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Y:\FONDS\1_FONDS SOUS GESTION\00 - FCT\FCT FRENCH PRIME CASH 2023\04 - MR\01 - Diffusion\Management Report\2024 07 25\"/>
    </mc:Choice>
  </mc:AlternateContent>
  <xr:revisionPtr revIDLastSave="0" documentId="8_{0A36FAF6-E9F2-4DAE-AD80-1F376D84997C}" xr6:coauthVersionLast="47" xr6:coauthVersionMax="47" xr10:uidLastSave="{00000000-0000-0000-0000-000000000000}"/>
  <bookViews>
    <workbookView xWindow="-24120" yWindow="-4335" windowWidth="24240" windowHeight="13020" tabRatio="916" xr2:uid="{AC26AAE4-EEEB-4785-BE0A-1880365283FF}"/>
  </bookViews>
  <sheets>
    <sheet name="00 - Cover" sheetId="23175" r:id="rId1"/>
    <sheet name="Controle" sheetId="23189" state="hidden" r:id="rId2"/>
    <sheet name="01 - Summary" sheetId="23176" state="hidden" r:id="rId3"/>
    <sheet name="02 - Eligibility Criteria" sheetId="23202" r:id="rId4"/>
    <sheet name="03 - Monthly Asset Follow up" sheetId="23183" r:id="rId5"/>
    <sheet name="04 - Monthly Collection" sheetId="23184" r:id="rId6"/>
    <sheet name="05 - Prepayment Rate" sheetId="23201" r:id="rId7"/>
    <sheet name="06 - Asset Amortisation Profile" sheetId="23197" r:id="rId8"/>
    <sheet name="07 - Breakdown Statistics" sheetId="23198" r:id="rId9"/>
    <sheet name="08 - Delinquent Home Loans Stat" sheetId="23200" r:id="rId10"/>
    <sheet name="09 - Default &amp; Recovery Stat" sheetId="23199" r:id="rId11"/>
    <sheet name="10 -Principal Deficiency Ledger" sheetId="23206" r:id="rId12"/>
    <sheet name="11 - Notes Follow-up" sheetId="23203" r:id="rId13"/>
    <sheet name="12 - Notes Interest" sheetId="23205" r:id="rId14"/>
    <sheet name="13 - Issuer Account" sheetId="23204" r:id="rId15"/>
    <sheet name="14 - Fees" sheetId="39" r:id="rId16"/>
    <sheet name="15 - Priority of Payments" sheetId="23177" r:id="rId17"/>
    <sheet name="16 - Simplified Balance Sheet" sheetId="23178" r:id="rId18"/>
    <sheet name="17 - Calendar" sheetId="23172" r:id="rId19"/>
    <sheet name="18 - Event" sheetId="23190" r:id="rId20"/>
    <sheet name="IR_Annex 12" sheetId="23209" r:id="rId21"/>
    <sheet name="IR_Annex 14" sheetId="23210" r:id="rId22"/>
    <sheet name="Neolink" sheetId="23208" state="hidden" r:id="rId23"/>
    <sheet name="Instructions" sheetId="23195" r:id="rId24"/>
    <sheet name="INPUT_DATA" sheetId="23207" state="hidden" r:id="rId25"/>
    <sheet name="15 - OD" sheetId="23193" state="veryHidden" r:id="rId26"/>
  </sheets>
  <definedNames>
    <definedName name="____a2" hidden="1">{#N/A,#N/A,FALSE,"Sheet1"}</definedName>
    <definedName name="____a3" hidden="1">{#N/A,#N/A,FALSE,"Sheet1"}</definedName>
    <definedName name="____e2" hidden="1">{#N/A,#N/A,FALSE,"FY97";#N/A,#N/A,FALSE,"FY98";#N/A,#N/A,FALSE,"FY99";#N/A,#N/A,FALSE,"FY00";#N/A,#N/A,FALSE,"FY01"}</definedName>
    <definedName name="____e4" hidden="1">{#N/A,#N/A,FALSE,"Cover";#N/A,#N/A,FALSE,"Projections";#N/A,#N/A,FALSE,"10 Year Summary";#N/A,#N/A,FALSE,"Balance Sheet Summary";#N/A,#N/A,FALSE,"Adjustments";#N/A,#N/A,FALSE,"Discount Rate";#N/A,#N/A,FALSE,"Comps";#N/A,#N/A,FALSE,"Executive Comp"}</definedName>
    <definedName name="____t34" hidden="1">{#N/A,#N/A,FALSE,"FY97";#N/A,#N/A,FALSE,"FY98";#N/A,#N/A,FALSE,"FY99";#N/A,#N/A,FALSE,"FY00";#N/A,#N/A,FALSE,"FY01"}</definedName>
    <definedName name="___a2" hidden="1">{#N/A,#N/A,FALSE,"Sheet1"}</definedName>
    <definedName name="___a3" hidden="1">{#N/A,#N/A,FALSE,"Sheet1"}</definedName>
    <definedName name="___CF2" hidden="1">{#N/A,#N/A,FALSE,"Aging Summary";#N/A,#N/A,FALSE,"Ratio Analysis";#N/A,#N/A,FALSE,"Test 120 Day Accts";#N/A,#N/A,FALSE,"Tickmarks"}</definedName>
    <definedName name="___e2" hidden="1">{#N/A,#N/A,FALSE,"FY97";#N/A,#N/A,FALSE,"FY98";#N/A,#N/A,FALSE,"FY99";#N/A,#N/A,FALSE,"FY00";#N/A,#N/A,FALSE,"FY01"}</definedName>
    <definedName name="___e4" hidden="1">{#N/A,#N/A,FALSE,"Cover";#N/A,#N/A,FALSE,"Projections";#N/A,#N/A,FALSE,"10 Year Summary";#N/A,#N/A,FALSE,"Balance Sheet Summary";#N/A,#N/A,FALSE,"Adjustments";#N/A,#N/A,FALSE,"Discount Rate";#N/A,#N/A,FALSE,"Comps";#N/A,#N/A,FALSE,"Executive Comp"}</definedName>
    <definedName name="___o1" hidden="1">{"det (May)",#N/A,FALSE,"June";"sum (MAY YTD)",#N/A,FALSE,"June YTD"}</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hidden="1">{#N/A,#N/A,FALSE,"Aging Summary";#N/A,#N/A,FALSE,"Ratio Analysis";#N/A,#N/A,FALSE,"Test 120 Day Accts";#N/A,#N/A,FALSE,"Tickmarks"}</definedName>
    <definedName name="__e2" hidden="1">{#N/A,#N/A,FALSE,"FY97";#N/A,#N/A,FALSE,"FY98";#N/A,#N/A,FALSE,"FY99";#N/A,#N/A,FALSE,"FY00";#N/A,#N/A,FALSE,"FY01"}</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hidden="1">{"det (May)",#N/A,FALSE,"June";"sum (MAY YTD)",#N/A,FALSE,"June YTD"}</definedName>
    <definedName name="__t34" hidden="1">{#N/A,#N/A,FALSE,"FY97";#N/A,#N/A,FALSE,"FY98";#N/A,#N/A,FALSE,"FY99";#N/A,#N/A,FALSE,"FY00";#N/A,#N/A,FALSE,"FY01"}</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hidden="1">{#N/A,#N/A,FALSE,"Sheet1"}</definedName>
    <definedName name="_a8" hidden="1">{#N/A,#N/A,FALSE,"Partnership Splits";#N/A,#N/A,FALSE,"Condensed Financials-Endo";#N/A,#N/A,FALSE,"Condensed Financials-Partner";#N/A,#N/A,FALSE,"P&amp;L Detail";#N/A,#N/A,FALSE,"Payments";#N/A,#N/A,FALSE,"Selling &amp; Mktg Summary (3)"}</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hidden="1">{#N/A,#N/A,FALSE,"FY97";#N/A,#N/A,FALSE,"FY98";#N/A,#N/A,FALSE,"FY99";#N/A,#N/A,FALSE,"FY00";#N/A,#N/A,FALSE,"FY01"}</definedName>
    <definedName name="_e4" hidden="1">{#N/A,#N/A,FALSE,"Cover";#N/A,#N/A,FALSE,"Projections";#N/A,#N/A,FALSE,"10 Year Summary";#N/A,#N/A,FALSE,"Balance Sheet Summary";#N/A,#N/A,FALSE,"Adjustments";#N/A,#N/A,FALSE,"Discount Rate";#N/A,#N/A,FALSE,"Comps";#N/A,#N/A,FALSE,"Executive Comp"}</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xlnm._FilterDatabase" localSheetId="25" hidden="1">'15 - OD'!$C$11:$I$58</definedName>
    <definedName name="_FU_Label" hidden="1">#REF!</definedName>
    <definedName name="_FV_Label" hidden="1">#REF!</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2" hidden="1">#REF!</definedName>
    <definedName name="_Key1" localSheetId="3" hidden="1">#REF!</definedName>
    <definedName name="_Key1" localSheetId="6" hidden="1">#REF!</definedName>
    <definedName name="_Key1" localSheetId="8" hidden="1">#REF!</definedName>
    <definedName name="_Key1" localSheetId="9" hidden="1">#REF!</definedName>
    <definedName name="_Key1" localSheetId="10" hidden="1">#REF!</definedName>
    <definedName name="_Key1" localSheetId="12" hidden="1">#REF!</definedName>
    <definedName name="_Key1" localSheetId="13" hidden="1">#REF!</definedName>
    <definedName name="_Key1" localSheetId="14" hidden="1">#REF!</definedName>
    <definedName name="_Key1" localSheetId="16" hidden="1">#REF!</definedName>
    <definedName name="_Key1" hidden="1">#REF!</definedName>
    <definedName name="_Key2" localSheetId="0" hidden="1">#REF!</definedName>
    <definedName name="_Key2" localSheetId="2" hidden="1">#REF!</definedName>
    <definedName name="_Key2" localSheetId="3" hidden="1">#REF!</definedName>
    <definedName name="_Key2" localSheetId="6" hidden="1">#REF!</definedName>
    <definedName name="_Key2" localSheetId="8" hidden="1">#REF!</definedName>
    <definedName name="_Key2" localSheetId="9" hidden="1">#REF!</definedName>
    <definedName name="_Key2" localSheetId="10" hidden="1">#REF!</definedName>
    <definedName name="_Key2" localSheetId="12" hidden="1">#REF!</definedName>
    <definedName name="_Key2" localSheetId="13" hidden="1">#REF!</definedName>
    <definedName name="_Key2" localSheetId="14" hidden="1">#REF!</definedName>
    <definedName name="_Key2" localSheetId="16"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hidden="1">{#N/A,#N/A,FALSE,"Aging Summary";#N/A,#N/A,FALSE,"Ratio Analysis";#N/A,#N/A,FALSE,"Test 120 Day Accts";#N/A,#N/A,FALSE,"Tickmarks"}</definedName>
    <definedName name="_Ref320204367" localSheetId="13">'12 - Notes Interest'!#REF!</definedName>
    <definedName name="_Regression_Int" hidden="1">1</definedName>
    <definedName name="_Regression_Out" hidden="1">#REF!</definedName>
    <definedName name="_Regression_X" hidden="1">#REF!</definedName>
    <definedName name="_Regression_Y" hidden="1">#REF!</definedName>
    <definedName name="_sdf2" hidden="1">{#N/A,#N/A,FALSE,"Calc";#N/A,#N/A,FALSE,"Sensitivity";#N/A,#N/A,FALSE,"LT Earn.Dil.";#N/A,#N/A,FALSE,"Dil. AVP"}</definedName>
    <definedName name="_Sort" localSheetId="0" hidden="1">#REF!</definedName>
    <definedName name="_Sort" localSheetId="2" hidden="1">#REF!</definedName>
    <definedName name="_Sort" localSheetId="3" hidden="1">#REF!</definedName>
    <definedName name="_Sort" localSheetId="6" hidden="1">#REF!</definedName>
    <definedName name="_Sort" localSheetId="8" hidden="1">#REF!</definedName>
    <definedName name="_Sort" localSheetId="9" hidden="1">#REF!</definedName>
    <definedName name="_Sort" localSheetId="10" hidden="1">#REF!</definedName>
    <definedName name="_Sort" localSheetId="12" hidden="1">#REF!</definedName>
    <definedName name="_Sort" localSheetId="13" hidden="1">#REF!</definedName>
    <definedName name="_Sort" localSheetId="14" hidden="1">#REF!</definedName>
    <definedName name="_Sort" localSheetId="16" hidden="1">#REF!</definedName>
    <definedName name="_Sort" hidden="1">#REF!</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hidden="1">{#N/A,#N/A,FALSE,"ORIX CSC"}</definedName>
    <definedName name="_Zcomps2" hidden="1">{0,0,0,0,1,-4105,28.3464566929134,28.3464566929134,28.346456664,28.3464566929134,2,TRUE,TRUE,FALSE,FALSE,FALSE,#N/A,1,85,1,2,"","","","&amp;""Kennerly,Roman Bold""&amp;14L&amp;12EHMAN &amp;14 B&amp;12ROTHERS","","",FALSE}</definedName>
    <definedName name="_Zprezzi" hidden="1">{0,0,0,0,1,-4105,53.8582677165354,53.8582677165354,70.8661417322835,70.8661417322835,2,TRUE,FALSE,FALSE,FALSE,FALSE,#N/A,1,FALSE,1,1,"","","","","","",FALSE}</definedName>
    <definedName name="aa" hidden="1">{#N/A,#N/A,TRUE,"Pro Forma";#N/A,#N/A,TRUE,"PF_Bal";#N/A,#N/A,TRUE,"PF_INC";#N/A,#N/A,TRUE,"CBE";#N/A,#N/A,TRUE,"SWK"}</definedName>
    <definedName name="AAA_DOCTOPS" hidden="1">"AAA_SET"</definedName>
    <definedName name="AAA_duser" hidden="1">"OFF"</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hidden="1">{"Eur Base Top",#N/A,FALSE,"Europe Base";"Eur Base Bottom",#N/A,FALSE,"Europe Base"}</definedName>
    <definedName name="abc" hidden="1">{"qchm_dcf",#N/A,FALSE,"QCHMDCF2";"qchm_terminal",#N/A,FALSE,"QCHMDCF2"}</definedName>
    <definedName name="Access_Button" hidden="1">"VASITA_DBA_List"</definedName>
    <definedName name="AccessDatabase" hidden="1">"F:\Models\NOVA model.mdb"</definedName>
    <definedName name="add" hidden="1">{"det (May)",#N/A,FALSE,"June";"sum (MAY YTD)",#N/A,FALSE,"June YTD"}</definedName>
    <definedName name="addg" hidden="1">{#N/A,#N/A,FALSE,"CBE";#N/A,#N/A,FALSE,"SWK"}</definedName>
    <definedName name="addsa" hidden="1">{"det (May)",#N/A,FALSE,"June";"sum (MAY YTD)",#N/A,FALSE,"June YTD"}</definedName>
    <definedName name="adf" hidden="1">{"standalone1",#N/A,FALSE,"DCFBase";"standalone2",#N/A,FALSE,"DCFBase"}</definedName>
    <definedName name="adfadasdf" hidden="1">{"Assumptions1",#N/A,FALSE,"Assumptions";"MergerPlans1","20yearamort",FALSE,"MergerPlans";"MergerPlans1","40yearamort",FALSE,"MergerPlans";"MergerPlans2",#N/A,FALSE,"MergerPlans";"inputs",#N/A,FALSE,"MergerPlans"}</definedName>
    <definedName name="ADopsterling" hidden="1">{#N/A,#N/A,FALSE,"Summary";#N/A,#N/A,FALSE,"CF";#N/A,#N/A,FALSE,"P&amp;L";#N/A,#N/A,FALSE,"BS";#N/A,#N/A,FALSE,"Returns";#N/A,#N/A,FALSE,"Assumptions";#N/A,#N/A,FALSE,"Analysis"}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hidden="1">{"NA Is w Ratios",#N/A,FALSE,"North America";"PF CFlow NA",#N/A,FALSE,"North America";"NA DCF Matrix",#N/A,FALSE,"North America"}</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hidden="1">{"CAP VOL",#N/A,FALSE,"CAPITAL";"CAP VAR",#N/A,FALSE,"CAPITAL";"CAP FIJ",#N/A,FALSE,"CAPITAL";"CAP CONS",#N/A,FALSE,"CAPITAL";"CAP DATA",#N/A,FALSE,"CAPITAL"}</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hidden="1">{"standalone1",#N/A,FALSE,"DCFBase";"standalone2",#N/A,FALSE,"DCFBase"}</definedName>
    <definedName name="anna2" hidden="1">{#N/A,#N/A,FALSE,"A&amp;E";#N/A,#N/A,FALSE,"HighTop";#N/A,#N/A,FALSE,"JG";#N/A,#N/A,FALSE,"RI";#N/A,#N/A,FALSE,"woHT";#N/A,#N/A,FALSE,"woHT&amp;JG"}</definedName>
    <definedName name="anscount" hidden="1">2</definedName>
    <definedName name="appendix4" hidden="1">{#N/A,#N/A,TRUE,"Cover sheet";#N/A,#N/A,TRUE,"Summary";#N/A,#N/A,TRUE,"Key Assumptions";#N/A,#N/A,TRUE,"Profit &amp; Loss";#N/A,#N/A,TRUE,"Balance Sheet";#N/A,#N/A,TRUE,"Cashflow";#N/A,#N/A,TRUE,"IRR";#N/A,#N/A,TRUE,"Ratios";#N/A,#N/A,TRUE,"Debt analysis"}</definedName>
    <definedName name="As" hidden="1">{#N/A,#N/A,FALSE,"ORIX CSC"}</definedName>
    <definedName name="AS2DocOpenMode" hidden="1">"AS2DocumentEdit"</definedName>
    <definedName name="AS2NamedRange" hidden="1">3</definedName>
    <definedName name="ASD" hidden="1">{"orixcsc",#N/A,FALSE,"ORIX CSC";"orixcsc2",#N/A,FALSE,"ORIX CSC"}</definedName>
    <definedName name="asdafaffasd" hidden="1">{"det (May)",#N/A,FALSE,"June";"sum (MAY YTD)",#N/A,FALSE,"June YTD"}</definedName>
    <definedName name="asdasd" hidden="1">{"det (May)",#N/A,FALSE,"June";"sum (MAY YTD)",#N/A,FALSE,"June YTD"}</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hidden="1">{"det (May)",#N/A,FALSE,"June";"sum (MAY YTD)",#N/A,FALSE,"June YTD"}</definedName>
    <definedName name="asdasdfasdf" hidden="1">{"NA Top",#N/A,FALSE,"NA-ULV";"NA Bottom",#N/A,FALSE,"NA-ULV"}</definedName>
    <definedName name="asdasdxczvv" hidden="1">{"NA Top",#N/A,FALSE,"NA Model";"NA Bottom",#N/A,FALSE,"NA Model"}</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hidden="1">{"a",#N/A,FALSE,"LBO - 100%, Sell C,CT 98......";"aa",#N/A,FALSE,"LBO - 100%, Sell C,CT 98......";"aaa",#N/A,FALSE,"LBO - 100%, Sell C,CT 98......";"aaaa",#N/A,FALSE,"LBO - 100%, Sell C,CT 98......";"aaaaa",#N/A,FALSE,"LBO - 100%, Sell C,CT 98......";"aaaaaa",#N/A,FALSE,"LBO - 100%, Sell C,CT 98......"}</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hidden="1">{"Assumptions1",#N/A,FALSE,"Assumptions";"MergerPlans1","20yearamort",FALSE,"MergerPlans";"MergerPlans1","40yearamort",FALSE,"MergerPlans";"MergerPlans2",#N/A,FALSE,"MergerPlans";"inputs",#N/A,FALSE,"MergerPlans"}</definedName>
    <definedName name="asdfasdfasfasd" hidden="1">{"Far East Top",#N/A,FALSE,"FE Model";"Far East Mid",#N/A,FALSE,"FE Model";"Far East Base",#N/A,FALSE,"FE Model"}</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hidden="1">{"Far East Top",#N/A,FALSE,"FE Model";"Far East Bottom",#N/A,FALSE,"FE Model"}</definedName>
    <definedName name="asfasdf" hidden="1">{"NA Is w Ratios",#N/A,FALSE,"North America";"PF CFlow NA",#N/A,FALSE,"North America";"NA DCF Matrix",#N/A,FALSE,"North America"}</definedName>
    <definedName name="asfsdaf" hidden="1">{"IS w Ratios",#N/A,FALSE,"Europe";"PF CF Europe",#N/A,FALSE,"Europe";"DCF Eur Matrix",#N/A,FALSE,"Europe"}</definedName>
    <definedName name="ass" hidden="1">{0,0,0,0,1,-4105,42.5196850393701,42.5196850393701,42.5196850393701,42.5196850393701,2,TRUE,TRUE,FALSE,FALSE,FALSE,#N/A,1,85,1,1,"","","","&amp;""Kennerly,Roman Bold""&amp;14L&amp;12EHMAN &amp;14 B&amp;12ROTHERS","","",FALSE}</definedName>
    <definedName name="ath" hidden="1">{#N/A,#N/A,FALSE,"94-95";"SAMANDR",#N/A,FALSE,"94-95"}</definedName>
    <definedName name="avb" hidden="1">{"ratios",#N/A,FALSE,"Analyse";"multiples",#N/A,FALSE,"Analyse";"places",#N/A,FALSE,"Analyse";"résultats_édition client",#N/A,FALSE,"Résultats";"reg_edition client",#N/A,FALSE,"Regressions";"SYNTHESE",#N/A,FALSE,"Synthese"}</definedName>
    <definedName name="AVP" hidden="1">{"JG FE Top",#N/A,FALSE,"JG FE $";"JG FE Bottom",#N/A,FALSE,"JG FE $"}</definedName>
    <definedName name="b" hidden="1">{"mgmt forecast",#N/A,FALSE,"Mgmt Forecast";"dcf table",#N/A,FALSE,"Mgmt Forecast";"sensitivity",#N/A,FALSE,"Mgmt Forecast";"table inputs",#N/A,FALSE,"Mgmt Forecast";"calculations",#N/A,FALSE,"Mgmt Forecast"}</definedName>
    <definedName name="B_2" localSheetId="13">#REF!</definedName>
    <definedName name="B_2">#REF!</definedName>
    <definedName name="BA" hidden="1">{#N/A,#N/A,FALSE,"94-95";"SAMANDR",#N/A,FALSE,"94-95"}</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hidden="1">{"mgmt forecast",#N/A,FALSE,"Mgmt Forecast";"dcf table",#N/A,FALSE,"Mgmt Forecast";"sensitivity",#N/A,FALSE,"Mgmt Forecast";"table inputs",#N/A,FALSE,"Mgmt Forecast";"calculations",#N/A,FALSE,"Mgmt Forecast"}</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2" hidden="1">{#N/A,#N/A,FALSE,"Sheet1";#N/A,#N/A,FALSE,"Sheet2";#N/A,#N/A,FALSE,"Sheet3";#N/A,#N/A,FALSE,"Sheet9";#N/A,#N/A,FALSE,"Sheet4";#N/A,#N/A,FALSE,"Sheet5";#N/A,#N/A,FALSE,"Sheet6";#N/A,#N/A,FALSE,"Sheet7";#N/A,#N/A,FALSE,"Sheet8";#N/A,#N/A,FALSE,"Sheet10";#N/A,#N/A,FALSE,"Sheet11";#N/A,#N/A,FALSE,"Sheet12";#N/A,#N/A,FALSE,"Sheet17";#N/A,#N/A,FALSE,"Sheet16"}</definedName>
    <definedName name="BBB" localSheetId="3"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9"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3"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3"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3" hidden="1">{#N/A,#N/A,FALSE,"Sheet1";#N/A,#N/A,FALSE,"Sheet2";#N/A,#N/A,FALSE,"Sheet3";#N/A,#N/A,FALSE,"Sheet9";#N/A,#N/A,FALSE,"Sheet4";#N/A,#N/A,FALSE,"Sheet5";#N/A,#N/A,FALSE,"Sheet6";#N/A,#N/A,FALSE,"Sheet7";#N/A,#N/A,FALSE,"Sheet8";#N/A,#N/A,FALSE,"Sheet10";#N/A,#N/A,FALSE,"Sheet11";#N/A,#N/A,FALSE,"Sheet12";#N/A,#N/A,FALSE,"Sheet17";#N/A,#N/A,FALSE,"Sheet16"}</definedName>
    <definedName name="BBBBis" localSheetId="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hidden="1">{#N/A,#N/A,FALSE,"attivo";#N/A,#N/A,FALSE,"passivo";#N/A,#N/A,FALSE,"garanzie";#N/A,#N/A,FALSE,"economico";#N/A,#N/A,FALSE,"elenco";#N/A,#N/A,FALSE,"costo";#N/A,#N/A,FALSE,"patrimonio";#N/A,#N/A,FALSE,"temporali"}</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hidden="1">{"det (May)",#N/A,FALSE,"June";"sum (MAY YTD)",#N/A,FALSE,"June YTD"}</definedName>
    <definedName name="bnmnbm" hidden="1">{"det (May)",#N/A,FALSE,"June";"sum (MAY YTD)",#N/A,FALSE,"June YTD"}</definedName>
    <definedName name="bnmv" hidden="1">{"det (May)",#N/A,FALSE,"June";"sum (MAY YTD)",#N/A,FALSE,"June YTD"}</definedName>
    <definedName name="boerse" hidden="1">{"standalone1",#N/A,FALSE,"DCFBase";"standalone2",#N/A,FALSE,"DCFBase"}</definedName>
    <definedName name="book" hidden="1">{"det (May)",#N/A,FALSE,"June";"sum (MAY YTD)",#N/A,FALSE,"June YTD"}</definedName>
    <definedName name="bxc" hidden="1">{"orixcsc",#N/A,FALSE,"ORIX CSC";"orixcsc2",#N/A,FALSE,"ORIX CSC"}</definedName>
    <definedName name="Cable" hidden="1">{#N/A,#N/A,FALSE,"Operations";#N/A,#N/A,FALSE,"Financials"}</definedName>
    <definedName name="Cable2" hidden="1">{#N/A,#N/A,FALSE,"Operations";#N/A,#N/A,FALSE,"Financials"}</definedName>
    <definedName name="calle" hidden="1">{#N/A,#N/A,FALSE,"CreditStat";#N/A,#N/A,FALSE,"SPbrkup";#N/A,#N/A,FALSE,"MerSPsyn";#N/A,#N/A,FALSE,"MerSPwKCsyn";#N/A,#N/A,FALSE,"MerSPwKCsyn (2)";#N/A,#N/A,FALSE,"CreditStat (2)"}</definedName>
    <definedName name="cantrib3" hidden="1">{"page1",#N/A,FALSE,"Temp";"page2",#N/A,FALSE,"Temp";"page3",#N/A,FALSE,"Temp";"page4",#N/A,FALSE,"Temp";"page5",#N/A,FALSE,"Temp";"page6",#N/A,FALSE,"Temp"}</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hidden="1">{"CAP VOL",#N/A,FALSE,"CAPITAL";"CAP VAR",#N/A,FALSE,"CAPITAL";"CAP FIJ",#N/A,FALSE,"CAPITAL";"CAP CONS",#N/A,FALSE,"CAPITAL";"CAP DATA",#N/A,FALSE,"CAPITAL"}</definedName>
    <definedName name="ccc" hidden="1">{"Print Top",#N/A,FALSE,"Europe Model";"Print Bottom",#N/A,FALSE,"Europe Model"}</definedName>
    <definedName name="cccc" hidden="1">{"det (May)",#N/A,FALSE,"June";"sum (MAY YTD)",#N/A,FALSE,"June YTD"}</definedName>
    <definedName name="ccccc" hidden="1">{"10yp key data",#N/A,FALSE,"Market Data"}</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hidden="1">{"PRO FORMA RIEPILOGO",#N/A,FALSE,"Pro forma";"PRO FORMA DETTAGLIO",#N/A,FALSE,"Pro forma";"IMPOSTE",#N/A,FALSE,"Imposte puntuali"}</definedName>
    <definedName name="cem" hidden="1">{"det (May)",#N/A,FALSE,"June";"sum (MAY YTD)",#N/A,FALSE,"June YTD"}</definedName>
    <definedName name="Charts" hidden="1">{#N/A,#N/A,FALSE,"Sheet1"}</definedName>
    <definedName name="CIQWBGuid" hidden="1">"Case Review List.xlsx"</definedName>
    <definedName name="cmw" hidden="1">{#N/A,#N/A,FALSE,"A&amp;E";#N/A,#N/A,FALSE,"HighTop";#N/A,#N/A,FALSE,"JG";#N/A,#N/A,FALSE,"RI";#N/A,#N/A,FALSE,"woHT";#N/A,#N/A,FALSE,"woHT&amp;JG"}</definedName>
    <definedName name="cnbfhshzk" hidden="1">#REF!</definedName>
    <definedName name="comp9" hidden="1">{#N/A,#N/A,FALSE,"Sheet1"}</definedName>
    <definedName name="Compco1" hidden="1">{"Page1",#N/A,FALSE,"CompCo";"Page2",#N/A,FALSE,"CompCo"}</definedName>
    <definedName name="Compco2" hidden="1">{"Page1",#N/A,FALSE,"CompCo";"Page2",#N/A,FALSE,"CompCo"}</definedName>
    <definedName name="cont" hidden="1">{"PRO FORMA RIEPILOGO",#N/A,TRUE,"Pro forma";"PRO FORMA DETTAGLIO",#N/A,TRUE,"Pro forma";#N/A,#N/A,TRUE,"Imposte puntuali"}</definedName>
    <definedName name="Contr"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hidden="1">{#N/A,#N/A,TRUE,"Pro Forma";#N/A,#N/A,TRUE,"PF_Bal";#N/A,#N/A,TRUE,"PF_INC";#N/A,#N/A,TRUE,"CBE";#N/A,#N/A,TRUE,"SWK"}</definedName>
    <definedName name="coucou" hidden="1">{#N/A,#N/A,TRUE,"Cover sheet";#N/A,#N/A,TRUE,"INPUTS";#N/A,#N/A,TRUE,"OUTPUTS";#N/A,#N/A,TRUE,"VALUATION"}</definedName>
    <definedName name="Cover.v1" hidden="1">{"mgmt forecast",#N/A,FALSE,"Mgmt Forecast";"dcf table",#N/A,FALSE,"Mgmt Forecast";"sensitivity",#N/A,FALSE,"Mgmt Forecast";"table inputs",#N/A,FALSE,"Mgmt Forecast";"calculations",#N/A,FALSE,"Mgmt Forecast"}</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hidden="1">{#N/A,#N/A,FALSE,"Contribution Analysis"}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3">#REF!</definedName>
    <definedName name="Database1">#REF!</definedName>
    <definedName name="DATE" localSheetId="13">#REF!</definedName>
    <definedName name="DATE">#REF!</definedName>
    <definedName name="Date_Actuelle" localSheetId="13">#REF!</definedName>
    <definedName name="Date_Actuelle">#REF!</definedName>
    <definedName name="dbfd" hidden="1">{#N/A,#N/A,TRUE,"Cover Page";#N/A,#N/A,TRUE,"Summary";#N/A,#N/A,TRUE,"Acquisition Analysis";#N/A,#N/A,TRUE,"Acquiror Financials";#N/A,#N/A,TRUE,"Target Financials";#N/A,#N/A,TRUE,"Pro Forma";#N/A,#N/A,TRUE,"Shares";#N/A,#N/A,TRUE,"ESOP Recon";#N/A,#N/A,TRUE,"IRR";#N/A,#N/A,TRUE,"Sensitivity";#N/A,#N/A,TRUE,"Inputs"}</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hidden="1">{#N/A,#N/A,FALSE}</definedName>
    <definedName name="ddd" hidden="1">{"standalone1",#N/A,FALSE,"DCFBase";"standalone2",#N/A,FALSE,"DCFBase"}</definedName>
    <definedName name="ddddd" hidden="1">{"10yp tariffs",#N/A,FALSE,"Celtel alternative 6"}</definedName>
    <definedName name="dddddd" hidden="1">{"10yp profit and loss",#N/A,FALSE,"Celtel alternative 6"}</definedName>
    <definedName name="dde" hidden="1">{#N/A,#N/A,TRUE,"Pro Forma";#N/A,#N/A,TRUE,"PF_Bal";#N/A,#N/A,TRUE,"PF_INC";#N/A,#N/A,TRUE,"CBE";#N/A,#N/A,TRUE,"SWK"}</definedName>
    <definedName name="ddfddddd" hidden="1">{#N/A,#N/A,FALSE,"DAOCM 2차 검토"}</definedName>
    <definedName name="ddfff" hidden="1">{"standalone1",#N/A,FALSE,"DCFBase";"standalone2",#N/A,FALSE,"DCFBase"}</definedName>
    <definedName name="ddsaas" hidden="1">{#N/A,#N/A,FALSE,"CreditStat";#N/A,#N/A,FALSE,"SPbrkup";#N/A,#N/A,FALSE,"MerSPsyn";#N/A,#N/A,FALSE,"MerSPwKCsyn";#N/A,#N/A,FALSE,"MerSPwKCsyn (2)";#N/A,#N/A,FALSE,"CreditStat (2)"}</definedName>
    <definedName name="def" hidden="1">{"histincome",#N/A,FALSE,"hyfins";"closing balance",#N/A,FALSE,"hyfins"}</definedName>
    <definedName name="deleteme" hidden="1">{#N/A,#N/A,FALSE,"Output";#N/A,#N/A,FALSE,"Cover Sheet";#N/A,#N/A,FALSE,"Current Mkt. Projections"}</definedName>
    <definedName name="deleteme2" hidden="1">{#N/A,#N/A,FALSE,"Output";#N/A,#N/A,FALSE,"Cover Sheet";#N/A,#N/A,FALSE,"Current Mkt. Projections"}</definedName>
    <definedName name="deleteme3" hidden="1">{#N/A,#N/A,FALSE,"Output";#N/A,#N/A,FALSE,"Cover Sheet";#N/A,#N/A,FALSE,"Current Mkt. Projections"}</definedName>
    <definedName name="deleteme333" hidden="1">{#N/A,#N/A,FALSE,"Output";#N/A,#N/A,FALSE,"Cover Sheet";#N/A,#N/A,FALSE,"Current Mkt. Projections"}</definedName>
    <definedName name="depwc" hidden="1">{#N/A,#N/A,FALSE,"Summary";#N/A,#N/A,FALSE,"CF";#N/A,#N/A,FALSE,"P&amp;L";#N/A,#N/A,FALSE,"BS";#N/A,#N/A,FALSE,"Returns";#N/A,#N/A,FALSE,"Assumptions";#N/A,#N/A,FALSE,"Analysis"}</definedName>
    <definedName name="df" hidden="1">{"det (May)",#N/A,FALSE,"June";"sum (MAY YTD)",#N/A,FALSE,"June YTD"}</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hidden="1">{"comp1",#N/A,FALSE,"COMPS";"footnotes",#N/A,FALSE,"COMPS"}</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hidden="1">{"det (May)",#N/A,FALSE,"June";"sum (MAY YTD)",#N/A,FALSE,"June YTD"}</definedName>
    <definedName name="dfjkndfkjndfk" hidden="1">{#VALUE!,#N/A,FALSE,0}</definedName>
    <definedName name="dfsd"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hidden="1">{"mgmt forecast",#N/A,FALSE,"Mgmt Forecast";"dcf table",#N/A,FALSE,"Mgmt Forecast";"sensitivity",#N/A,FALSE,"Mgmt Forecast";"table inputs",#N/A,FALSE,"Mgmt Forecast";"calculations",#N/A,FALSE,"Mgmt Forecast"}</definedName>
    <definedName name="dgsdg" hidden="1">{#N/A,#N/A,FALSE,"A&amp;E";#N/A,#N/A,FALSE,"HighTop";#N/A,#N/A,FALSE,"JG";#N/A,#N/A,FALSE,"RI";#N/A,#N/A,FALSE,"woHT";#N/A,#N/A,FALSE,"woHT&amp;JG"}</definedName>
    <definedName name="dh" hidden="1">{#N/A,#N/A,FALSE,"Antony Financials";#N/A,#N/A,FALSE,"Cowboy Financials";#N/A,#N/A,FALSE,"Combined";#N/A,#N/A,FALSE,"Valuematrix";#N/A,#N/A,FALSE,"DCFAntony";#N/A,#N/A,FALSE,"DCFCowboy";#N/A,#N/A,FALSE,"DCFCombined"}</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hidden="1">{#N/A,#N/A,FALSE,"P&amp;L";#N/A,#N/A,FALSE,"BS";#N/A,#N/A,FALSE,"HILITE";#N/A,#N/A,FALSE,"KEY"}</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hidden="1">{"Employee Efficiency",#N/A,FALSE,"Benchmarking"}</definedName>
    <definedName name="dsajsdj" hidden="1">{"mgmt forecast",#N/A,FALSE,"Mgmt Forecast";"dcf table",#N/A,FALSE,"Mgmt Forecast";"sensitivity",#N/A,FALSE,"Mgmt Forecast";"table inputs",#N/A,FALSE,"Mgmt Forecast";"calculations",#N/A,FALSE,"Mgmt Forecast"}</definedName>
    <definedName name="dsd" hidden="1">{"orixcsc",#N/A,FALSE,"ORIX CSC";"orixcsc2",#N/A,FALSE,"ORIX CSC"}</definedName>
    <definedName name="dsddsa" hidden="1">{#N/A,#N/A,FALSE,"A&amp;E";#N/A,#N/A,FALSE,"HighTop";#N/A,#N/A,FALSE,"JG";#N/A,#N/A,FALSE,"RI";#N/A,#N/A,FALSE,"woHT";#N/A,#N/A,FALSE,"woHT&amp;JG"}</definedName>
    <definedName name="dsfddsf" hidden="1">{"standalone1",#N/A,FALSE,"DCFBase";"standalone2",#N/A,FALSE,"DCFBase"}</definedName>
    <definedName name="dsfg" hidden="1">{"Eur Base Top",#N/A,FALSE,"Europe Base";"Eur Base Bottom",#N/A,FALSE,"Europe Base"}</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hidden="1">{"NA Is w Ratios",#N/A,FALSE,"North America";"PF CFlow NA",#N/A,FALSE,"North America";"NA DCF Matrix",#N/A,FALSE,"North America"}</definedName>
    <definedName name="dssd" hidden="1">{#N/A,#N/A,FALSE,"CreditStat";#N/A,#N/A,FALSE,"SPbrkup";#N/A,#N/A,FALSE,"MerSPsyn";#N/A,#N/A,FALSE,"MerSPwKCsyn";#N/A,#N/A,FALSE,"MerSPwKCsyn (2)";#N/A,#N/A,FALSE,"CreditStat (2)"}</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hidden="1">{"assumption 50 50",#N/A,TRUE,"Merger";"has gets cash",#N/A,TRUE,"Merger";"accretion dilution",#N/A,TRUE,"Merger";"comparison credit stats",#N/A,TRUE,"Merger";"pf credit stats",#N/A,TRUE,"Merger";"pf sheets",#N/A,TRUE,"Merger"}</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hidden="1">{"subs",#N/A,FALSE,"database ";"proportional",#N/A,FALSE,"database "}</definedName>
    <definedName name="eee" hidden="1">{"RESUMEN",#N/A,FALSE,"RESUMEN";"RESUMEN_MARG",#N/A,FALSE,"RESUMEN"}</definedName>
    <definedName name="eeeee" hidden="1">{"budget992000 tariff and usage",#N/A,FALSE,"Celtel alternative 6"}</definedName>
    <definedName name="eer" hidden="1">{#N/A,#N/A,FALSE,"Hoja1";#N/A,#N/A,FALSE,"Hoja2"}</definedName>
    <definedName name="ENDEX" hidden="1">{#N/A,#N/A,FALSE,"94-95";"SAMANDR",#N/A,FALSE,"94-95"}</definedName>
    <definedName name="er" hidden="1">{#N/A,#N/A,FALSE,"Cover";#N/A,#N/A,FALSE,"Projections";#N/A,#N/A,FALSE,"10 Year Summary";#N/A,#N/A,FALSE,"Balance Sheet Summary";#N/A,#N/A,FALSE,"Adjustments";#N/A,#N/A,FALSE,"Discount Rate";#N/A,#N/A,FALSE,"Comps";#N/A,#N/A,FALSE,"Executive Comp"}</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2" hidden="1">{#N/A,#N/A,FALSE,"fnma22pi";#N/A,#N/A,FALSE,"1888144"}</definedName>
    <definedName name="erthrt" localSheetId="3" hidden="1">{#N/A,#N/A,FALSE,"fnma22pi";#N/A,#N/A,FALSE,"1888144"}</definedName>
    <definedName name="erthrt" localSheetId="7" hidden="1">{#N/A,#N/A,FALSE,"fnma22pi";#N/A,#N/A,FALSE,"1888144"}</definedName>
    <definedName name="erthrt" localSheetId="12" hidden="1">{#N/A,#N/A,FALSE,"fnma22pi";#N/A,#N/A,FALSE,"1888144"}</definedName>
    <definedName name="erthrt" localSheetId="13" hidden="1">{#N/A,#N/A,FALSE,"fnma22pi";#N/A,#N/A,FALSE,"1888144"}</definedName>
    <definedName name="erthrt" localSheetId="14" hidden="1">{#N/A,#N/A,FALSE,"fnma22pi";#N/A,#N/A,FALSE,"1888144"}</definedName>
    <definedName name="erthrt" localSheetId="16" hidden="1">{#N/A,#N/A,FALSE,"fnma22pi";#N/A,#N/A,FALSE,"1888144"}</definedName>
    <definedName name="erthrt" hidden="1">{#N/A,#N/A,FALSE,"fnma22pi";#N/A,#N/A,FALSE,"1888144"}</definedName>
    <definedName name="erthx" localSheetId="0" hidden="1">#REF!</definedName>
    <definedName name="erthx" localSheetId="2" hidden="1">#REF!</definedName>
    <definedName name="erthx" localSheetId="3" hidden="1">#REF!</definedName>
    <definedName name="erthx" localSheetId="12" hidden="1">#REF!</definedName>
    <definedName name="erthx" localSheetId="13" hidden="1">#REF!</definedName>
    <definedName name="erthx" localSheetId="14" hidden="1">#REF!</definedName>
    <definedName name="erthx" localSheetId="16" hidden="1">#REF!</definedName>
    <definedName name="erthx" hidden="1">#REF!</definedName>
    <definedName name="esnrc100c1_values" hidden="1">{"FTSE100","COMPANIES",TRUE}</definedName>
    <definedName name="esnrc1c1" hidden="1">#REF!</definedName>
    <definedName name="esnrc33c1_values" hidden="1">{"EUMOT","COMPANIES",TRUE}</definedName>
    <definedName name="esnrc56c1_values" hidden="1">{"ASCONGRP","COMPANIES",TRUE}</definedName>
    <definedName name="esnrc63c1_values" hidden="1">{"EUUTIGRP","COMPANIES",TRUE}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hidden="1">{"CAP VOL",#N/A,FALSE,"CAPITAL";"CAP VAR",#N/A,FALSE,"CAPITAL";"CAP FIJ",#N/A,FALSE,"CAPITAL";"CAP CONS",#N/A,FALSE,"CAPITAL";"CAP DATA",#N/A,FALSE,"CAPITAL"}</definedName>
    <definedName name="ewarnall" hidden="1">{#N/A,#N/A,FALSE,"assumptions";#N/A,#N/A,FALSE,"v_projcy";#N/A,#N/A,FALSE,"tar_proj";#N/A,#N/A,FALSE,"contrib_annual";#N/A,#N/A,FALSE,"Proforma";#N/A,#N/A,FALSE,"purc_97";#N/A,#N/A,FALSE,"syn_purc_97";#N/A,#N/A,FALSE,"pool_97";#N/A,#N/A,FALSE,"syn_pool_97";#N/A,#N/A,FALSE,"pool1_FY2"}</definedName>
    <definedName name="ewet3" hidden="1">Main.SAPF4Help()</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hidden="1">{#N/A,#N/A,TRUE,"Cover Page";#N/A,#N/A,TRUE,"Summary";#N/A,#N/A,TRUE,"Acquisition Analysis";#N/A,#N/A,TRUE,"Pro Forma";#N/A,#N/A,TRUE,"Sensitivity";#N/A,#N/A,TRUE,"Inputs"}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hidden="1">{"standalone1",#N/A,FALSE,"DCFBase";"standalone2",#N/A,FALSE,"DCFBase"}</definedName>
    <definedName name="fasdfasdfc" hidden="1">{"Print Top",#N/A,FALSE,"Europe Model";"Print Bottom",#N/A,FALSE,"Europe Model"}</definedName>
    <definedName name="FD" hidden="1">{"IS w Ratios",#N/A,FALSE,"Europe";"PF CF Europe",#N/A,FALSE,"Europe";"DCF Eur Matrix",#N/A,FALSE,"Europe"}</definedName>
    <definedName name="fddfd" hidden="1">{#N/A,#N/A,FALSE,"CreditStat";#N/A,#N/A,FALSE,"SPbrkup";#N/A,#N/A,FALSE,"MerSPsyn";#N/A,#N/A,FALSE,"MerSPwKCsyn";#N/A,#N/A,FALSE,"MerSPwKCsyn (2)";#N/A,#N/A,FALSE,"CreditStat (2)"}</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2" hidden="1">{#N/A,#N/A,FALSE,"Sheet1";#N/A,#N/A,FALSE,"Sheet2";#N/A,#N/A,FALSE,"Sheet3";#N/A,#N/A,FALSE,"Sheet9";#N/A,#N/A,FALSE,"Sheet4";#N/A,#N/A,FALSE,"Sheet5";#N/A,#N/A,FALSE,"Sheet6";#N/A,#N/A,FALSE,"Sheet7";#N/A,#N/A,FALSE,"Sheet8";#N/A,#N/A,FALSE,"Sheet10";#N/A,#N/A,FALSE,"Sheet11";#N/A,#N/A,FALSE,"Sheet12";#N/A,#N/A,FALSE,"Sheet17";#N/A,#N/A,FALSE,"Sheet16"}</definedName>
    <definedName name="fdghdfghfg" localSheetId="3" hidden="1">{#N/A,#N/A,FALSE,"Sheet1";#N/A,#N/A,FALSE,"Sheet2";#N/A,#N/A,FALSE,"Sheet3";#N/A,#N/A,FALSE,"Sheet9";#N/A,#N/A,FALSE,"Sheet4";#N/A,#N/A,FALSE,"Sheet5";#N/A,#N/A,FALSE,"Sheet6";#N/A,#N/A,FALSE,"Sheet7";#N/A,#N/A,FALSE,"Sheet8";#N/A,#N/A,FALSE,"Sheet10";#N/A,#N/A,FALSE,"Sheet11";#N/A,#N/A,FALSE,"Sheet12";#N/A,#N/A,FALSE,"Sheet17";#N/A,#N/A,FALSE,"Sheet16"}</definedName>
    <definedName name="fdghdfghfg" localSheetId="7"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3"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2" hidden="1">{#N/A,#N/A,FALSE,"Sheet1";#N/A,#N/A,FALSE,"Sheet2";#N/A,#N/A,FALSE,"Sheet3";#N/A,#N/A,FALSE,"Sheet9";#N/A,#N/A,FALSE,"Sheet4";#N/A,#N/A,FALSE,"Sheet5";#N/A,#N/A,FALSE,"Sheet6";#N/A,#N/A,FALSE,"Sheet7";#N/A,#N/A,FALSE,"Sheet8";#N/A,#N/A,FALSE,"Sheet10";#N/A,#N/A,FALSE,"Sheet11";#N/A,#N/A,FALSE,"Sheet12";#N/A,#N/A,FALSE,"Sheet17";#N/A,#N/A,FALSE,"Sheet16"}</definedName>
    <definedName name="fdjtyj" localSheetId="3" hidden="1">{#N/A,#N/A,FALSE,"Sheet1";#N/A,#N/A,FALSE,"Sheet2";#N/A,#N/A,FALSE,"Sheet3";#N/A,#N/A,FALSE,"Sheet9";#N/A,#N/A,FALSE,"Sheet4";#N/A,#N/A,FALSE,"Sheet5";#N/A,#N/A,FALSE,"Sheet6";#N/A,#N/A,FALSE,"Sheet7";#N/A,#N/A,FALSE,"Sheet8";#N/A,#N/A,FALSE,"Sheet10";#N/A,#N/A,FALSE,"Sheet11";#N/A,#N/A,FALSE,"Sheet12";#N/A,#N/A,FALSE,"Sheet17";#N/A,#N/A,FALSE,"Sheet16"}</definedName>
    <definedName name="fdjtyj" localSheetId="7"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3"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hidden="1">{"standalone1",#N/A,FALSE,"DCFBase";"standalone2",#N/A,FALSE,"DCFBase"}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hidden="1">{"sweden",#N/A,FALSE,"Sweden";"germany",#N/A,FALSE,"Germany";"portugal",#N/A,FALSE,"Portugal";"belgium",#N/A,FALSE,"Belgium";"japan",#N/A,FALSE,"Japan ";"italy",#N/A,FALSE,"Italy";"spain",#N/A,FALSE,"Spain";"korea",#N/A,FALSE,"Korea"}</definedName>
    <definedName name="fff" hidden="1">{"Assumptions1",#N/A,FALSE,"Assumptions";"MergerPlans1","20yearamort",FALSE,"MergerPlans";"MergerPlans1","40yearamort",FALSE,"MergerPlans";"MergerPlans2",#N/A,FALSE,"MergerPlans";"inputs",#N/A,FALSE,"MergerPlans"}</definedName>
    <definedName name="ffffff" hidden="1">{"budget992000 capex",#N/A,FALSE,"Celtel alternative 6"}</definedName>
    <definedName name="fgfgf" hidden="1">{"subs",#N/A,FALSE,"database ";"proportional",#N/A,FALSE,"database "}</definedName>
    <definedName name="fggfh" hidden="1">{#N/A,#N/A,TRUE,"Cover Page";#N/A,#N/A,TRUE,"Summary";#N/A,#N/A,TRUE,"Acquisition Analysis";#N/A,#N/A,TRUE,"Acquiror Financials";#N/A,#N/A,TRUE,"Target Financials";#N/A,#N/A,TRUE,"Pro Forma";#N/A,#N/A,TRUE,"Shares";#N/A,#N/A,TRUE,"ESOP Recon";#N/A,#N/A,TRUE,"IRR";#N/A,#N/A,TRUE,"Sensitivity";#N/A,#N/A,TRUE,"Inputs"}</definedName>
    <definedName name="fgh" hidden="1">{#N/A,#N/A,FALSE,"ORIX CSC"}</definedName>
    <definedName name="fghdfhgd" localSheetId="0" hidden="1">#REF!</definedName>
    <definedName name="fghdfhgd" localSheetId="2" hidden="1">#REF!</definedName>
    <definedName name="fghdfhgd" localSheetId="3" hidden="1">#REF!</definedName>
    <definedName name="fghdfhgd" localSheetId="12" hidden="1">#REF!</definedName>
    <definedName name="fghdfhgd" localSheetId="13" hidden="1">#REF!</definedName>
    <definedName name="fghdfhgd" localSheetId="14" hidden="1">#REF!</definedName>
    <definedName name="fghdfhgd" localSheetId="16" hidden="1">#REF!</definedName>
    <definedName name="fghdfhgd" hidden="1">#REF!</definedName>
    <definedName name="Fig" hidden="1">{"det (May)",#N/A,FALSE,"June";"sum (MAY YTD)",#N/A,FALSE,"June YTD"}</definedName>
    <definedName name="finance" hidden="1">{"standalone1",#N/A,FALSE,"DCFBase";"standalone2",#N/A,FALSE,"DCFBase"}</definedName>
    <definedName name="finans" hidden="1">{#N/A,#N/A,FALSE,"Antony Financials";#N/A,#N/A,FALSE,"Cowboy Financials";#N/A,#N/A,FALSE,"Combined";#N/A,#N/A,FALSE,"Valuematrix";#N/A,#N/A,FALSE,"DCFAntony";#N/A,#N/A,FALSE,"DCFCowboy";#N/A,#N/A,FALSE,"DCFCombined"}</definedName>
    <definedName name="fine" hidden="1">{"standalone1",#N/A,FALSE,"DCFBase";"standalone2",#N/A,FALSE,"DCFBase"}</definedName>
    <definedName name="Folder" localSheetId="13">#REF!</definedName>
    <definedName name="Folder" localSheetId="14">#REF!</definedName>
    <definedName name="Folder">#REF!</definedName>
    <definedName name="Frank" hidden="1">{#N/A,#N/A,TRUE,"Cover sheet";#N/A,#N/A,TRUE,"DCF analysis";#N/A,#N/A,TRUE,"WACC calculation"}</definedName>
    <definedName name="FSDF" hidden="1">{"IS FE with Ratios",#N/A,FALSE,"Far East";"PF CF Far East",#N/A,FALSE,"Far East";"DCF Far East Matrix",#N/A,FALSE,"Far East"}</definedName>
    <definedName name="FSoPacific" hidden="1">{"BS",#N/A,FALSE,"USA"}</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hidden="1">{"mgmt forecast",#N/A,FALSE,"Mgmt Forecast";"dcf table",#N/A,FALSE,"Mgmt Forecast";"sensitivity",#N/A,FALSE,"Mgmt Forecast";"table inputs",#N/A,FALSE,"Mgmt Forecast";"calculations",#N/A,FALSE,"Mgmt Forecast"}</definedName>
    <definedName name="gbfb" hidden="1">{"NA Top",#N/A,FALSE,"NA-ULV";"NA Bottom",#N/A,FALSE,"NA-ULV"}</definedName>
    <definedName name="gd" hidden="1">{#N/A,#N/A,FALSE,"CreditStat";#N/A,#N/A,FALSE,"SPbrkup";#N/A,#N/A,FALSE,"MerSPsyn";#N/A,#N/A,FALSE,"MerSPwKCsyn";#N/A,#N/A,FALSE,"MerSPwKCsyn (2)";#N/A,#N/A,FALSE,"CreditStat (2)"}</definedName>
    <definedName name="gdgfdsf" hidden="1">{"Eur Base Top",#N/A,FALSE,"Europe Base";"Eur Base Bottom",#N/A,FALSE,"Europe Base"}</definedName>
    <definedName name="george" hidden="1">{"targetdcf",#N/A,FALSE,"Merger consequences";"TARGETASSU",#N/A,FALSE,"Merger consequences";"TERMINAL VALUE",#N/A,FALSE,"Merger consequences"}</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hidden="1">{#N/A,#N/A,FALSE,"A&amp;E";#N/A,#N/A,FALSE,"HighTop";#N/A,#N/A,FALSE,"JG";#N/A,#N/A,FALSE,"RI";#N/A,#N/A,FALSE,"woHT";#N/A,#N/A,FALSE,"woHT&amp;JG"}</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hidden="1">{"JG FE Top",#N/A,FALSE,"JG FE $";"JG FE Bottom",#N/A,FALSE,"JG FE $"}</definedName>
    <definedName name="gggdsattt" hidden="1">{"page1",#N/A,FALSE,"Temp";"page2",#N/A,FALSE,"Temp";"page3",#N/A,FALSE,"Temp";"page4",#N/A,FALSE,"Temp";"page5",#N/A,FALSE,"Temp";"page6",#N/A,FALSE,"Temp"}</definedName>
    <definedName name="ggggg" hidden="1">{"budget992000_customers",#N/A,FALSE,"Celtel alternative 6"}</definedName>
    <definedName name="ggggggg" hidden="1">{"budget992000 profit and loss",#N/A,FALSE,"Celtel alternative 6"}</definedName>
    <definedName name="gh" hidden="1">{#N/A,#N/A,FALSE,"CreditStat";#N/A,#N/A,FALSE,"SPbrkup";#N/A,#N/A,FALSE,"MerSPsyn";#N/A,#N/A,FALSE,"MerSPwKCsyn";#N/A,#N/A,FALSE,"MerSPwKCsyn (2)";#N/A,#N/A,FALSE,"CreditStat (2)"}</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2" hidden="1">{#N/A,#N/A,FALSE,"fnma22pi";#N/A,#N/A,FALSE,"1888144"}</definedName>
    <definedName name="ghjtj" localSheetId="3" hidden="1">{#N/A,#N/A,FALSE,"fnma22pi";#N/A,#N/A,FALSE,"1888144"}</definedName>
    <definedName name="ghjtj" localSheetId="7" hidden="1">{#N/A,#N/A,FALSE,"fnma22pi";#N/A,#N/A,FALSE,"1888144"}</definedName>
    <definedName name="ghjtj" localSheetId="12" hidden="1">{#N/A,#N/A,FALSE,"fnma22pi";#N/A,#N/A,FALSE,"1888144"}</definedName>
    <definedName name="ghjtj" localSheetId="13" hidden="1">{#N/A,#N/A,FALSE,"fnma22pi";#N/A,#N/A,FALSE,"1888144"}</definedName>
    <definedName name="ghjtj" localSheetId="14" hidden="1">{#N/A,#N/A,FALSE,"fnma22pi";#N/A,#N/A,FALSE,"1888144"}</definedName>
    <definedName name="ghjtj" localSheetId="16" hidden="1">{#N/A,#N/A,FALSE,"fnma22pi";#N/A,#N/A,FALSE,"1888144"}</definedName>
    <definedName name="ghjtj" hidden="1">{#N/A,#N/A,FALSE,"fnma22pi";#N/A,#N/A,FALSE,"1888144"}</definedName>
    <definedName name="gjgjg" hidden="1">{"IS FE with Ratios",#N/A,FALSE,"Far East";"PF CF Far East",#N/A,FALSE,"Far East";"DCF Far East Matrix",#N/A,FALSE,"Far East"}</definedName>
    <definedName name="gogo" hidden="1">{#N/A,#N/A,TRUE,"Cover sheet";#N/A,#N/A,TRUE,"INPUTS";#N/A,#N/A,TRUE,"OUTPUTS";#N/A,#N/A,TRUE,"VALUATION"}</definedName>
    <definedName name="gsdfgdsfg" hidden="1">{"IS w Ratios",#N/A,FALSE,"Europe";"PF CF Europe",#N/A,FALSE,"Europe";"DCF Eur Matrix",#N/A,FALSE,"Europe"}</definedName>
    <definedName name="gsdgfs" hidden="1">{"Far East Top",#N/A,FALSE,"FE Model";"Far East Bottom",#N/A,FALSE,"FE Model"}</definedName>
    <definedName name="hdf" hidden="1">{"mgmt forecast",#N/A,FALSE,"Mgmt Forecast";"dcf table",#N/A,FALSE,"Mgmt Forecast";"sensitivity",#N/A,FALSE,"Mgmt Forecast";"table inputs",#N/A,FALSE,"Mgmt Forecast";"calculations",#N/A,FALSE,"Mgmt Forecast"}</definedName>
    <definedName name="hdghdf" hidden="1">#N/A</definedName>
    <definedName name="hello" hidden="1">{"mgmt forecast",#N/A,FALSE,"Mgmt Forecast";"dcf table",#N/A,FALSE,"Mgmt Forecast";"sensitivity",#N/A,FALSE,"Mgmt Forecast";"table inputs",#N/A,FALSE,"Mgmt Forecast";"calculations",#N/A,FALSE,"Mgmt Forecast"}</definedName>
    <definedName name="hfds" hidden="1">{"IS w Ratios",#N/A,FALSE,"Europe";"PF CF Europe",#N/A,FALSE,"Europe";"DCF Eur Matrix",#N/A,FALSE,"Europe"}</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{"JG FE Top",#N/A,FALSE,"JG FE $";"JG FE Bottom",#N/A,FALSE,"JG FE $"}</definedName>
    <definedName name="hgfhdfg" hidden="1">{"NA Top",#N/A,FALSE,"NA Model";"NA Bottom",#N/A,FALSE,"NA Model"}</definedName>
    <definedName name="hgfhsf" hidden="1">{#N/A,#N/A,TRUE,"Cover Page";#N/A,#N/A,TRUE,"Summary";#N/A,#N/A,TRUE,"Acquisition Analysis";#N/A,#N/A,TRUE,"Pro Forma";#N/A,#N/A,TRUE,"Sensitivity";#N/A,#N/A,TRUE,"Inputs"}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hidden="1">{"JG FE Top",#N/A,FALSE,"JG FE ¥";"JG FE Bottom",#N/A,FALSE,"JG FE ¥"}</definedName>
    <definedName name="hhhsdf" hidden="1">{"up stand alones",#N/A,FALSE,"Acquiror"}</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hidden="1">{"AR",#N/A,FALSE,"ASMGTSUM";"INV",#N/A,FALSE,"ASMGTSUM";"HCCOMP",#N/A,FALSE,"ASMGTSUM";"cap.depr",#N/A,FALSE,"ASMGTSUM"}</definedName>
    <definedName name="hsfg" hidden="1">{"JG FE Top",#N/A,FALSE,"JG FE $";"JG FE Bottom",#N/A,FALSE,"JG FE $"}</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hidden="1">{#N/A,#N/A,FALSE,"A&amp;E";#N/A,#N/A,FALSE,"HighTop";#N/A,#N/A,FALSE,"JG";#N/A,#N/A,FALSE,"RI";#N/A,#N/A,FALSE,"woHT";#N/A,#N/A,FALSE,"woHT&amp;JG"}</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2" hidden="1">{"'Description'!$A$1:$G$45"}</definedName>
    <definedName name="HTML_Control" localSheetId="3"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9" hidden="1">{"'Description'!$A$1:$G$45"}</definedName>
    <definedName name="HTML_Control" localSheetId="10" hidden="1">{"'Description'!$A$1:$G$45"}</definedName>
    <definedName name="HTML_Control" localSheetId="12" hidden="1">{"'Description'!$A$1:$G$45"}</definedName>
    <definedName name="HTML_Control" localSheetId="13" hidden="1">{"'Description'!$A$1:$G$45"}</definedName>
    <definedName name="HTML_Control" localSheetId="14" hidden="1">{"'Description'!$A$1:$G$45"}</definedName>
    <definedName name="HTML_Control" localSheetId="16"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3">#REF!</definedName>
    <definedName name="ID" localSheetId="14">#REF!</definedName>
    <definedName name="ID">#REF!</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End_Date" localSheetId="13">#REF!</definedName>
    <definedName name="Input_End_Date">#REF!</definedName>
    <definedName name="Input_Invoice" localSheetId="13">#REF!</definedName>
    <definedName name="Input_Invoice">#REF!</definedName>
    <definedName name="Input_Name" localSheetId="13">#REF!</definedName>
    <definedName name="Input_Name">#REF!</definedName>
    <definedName name="Input_NAP" localSheetId="13">#REF!</definedName>
    <definedName name="Input_NAP">#REF!</definedName>
    <definedName name="Input_Price_HT" localSheetId="13">#REF!</definedName>
    <definedName name="Input_Price_HT">#REF!</definedName>
    <definedName name="Input_Price_TTC" localSheetId="13">#REF!</definedName>
    <definedName name="Input_Price_TTC">#REF!</definedName>
    <definedName name="Input_Services" localSheetId="13">#REF!</definedName>
    <definedName name="Input_Services">#REF!</definedName>
    <definedName name="Input_Start_Date" localSheetId="13">#REF!</definedName>
    <definedName name="Input_Start_Date">#REF!</definedName>
    <definedName name="Input_Total_HT" localSheetId="13">#REF!</definedName>
    <definedName name="Input_Total_HT">#REF!</definedName>
    <definedName name="Input_Total_TTC" localSheetId="13">#REF!</definedName>
    <definedName name="Input_Total_TTC">#REF!</definedName>
    <definedName name="InterestType" hidden="1">#REF!</definedName>
    <definedName name="Investor" localSheetId="13">#REF!</definedName>
    <definedName name="Investor" localSheetId="14">#REF!</definedName>
    <definedName name="Investor">#REF!</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hidden="1">{"det (May)",#N/A,FALSE,"June";"sum (MAY YTD)",#N/A,FALSE,"June YTD"}</definedName>
    <definedName name="ıopıopıp"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hidden="1">{"Print Top",#N/A,FALSE,"Europe Model";"Print Bottom",#N/A,FALSE,"Europe Model"}</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hidden="1">{#N/A,#N/A,FALSE,"CreditStat";#N/A,#N/A,FALSE,"SPbrkup";#N/A,#N/A,FALSE,"MerSPsyn";#N/A,#N/A,FALSE,"MerSPwKCsyn";#N/A,#N/A,FALSE,"MerSPwKCsyn (2)";#N/A,#N/A,FALSE,"CreditStat (2)"}</definedName>
    <definedName name="jjjj" hidden="1">{"Assumptions",#N/A,FALSE,"Sheet1";"Main Report",#N/A,FALSE,"Sheet1";"Results",#N/A,FALSE,"Sheet1";"Advances",#N/A,FALSE,"Sheet1"}</definedName>
    <definedName name="jjyfdjddjd" hidden="1">#N/A</definedName>
    <definedName name="jk" hidden="1">{#N/A,#N/A,FALSE,"FY97";#N/A,#N/A,FALSE,"FY98";#N/A,#N/A,FALSE,"FY99";#N/A,#N/A,FALSE,"FY00";#N/A,#N/A,FALSE,"FY01"}</definedName>
    <definedName name="jkşş" hidden="1">{"det (May)",#N/A,FALSE,"June";"sum (MAY YTD)",#N/A,FALSE,"June YTD"}</definedName>
    <definedName name="jljl" hidden="1">{"det (May)",#N/A,FALSE,"June";"sum (MAY YTD)",#N/A,FALSE,"June YTD"}</definedName>
    <definedName name="jnv" hidden="1">{#N/A,#N/A,FALSE,"Hoja1";#N/A,#N/A,FALSE,"Hoja2"}</definedName>
    <definedName name="JOE" hidden="1">{"Assumptions",#N/A,FALSE,"Model"}</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hidden="1">{"Dayanıklı tüketim",#N/A,FALSE,"9511kar(TL)"}</definedName>
    <definedName name="kasım_1" hidden="1">{"KOÇ TOP 2",#N/A,FALSE,"9511kar(TL)"}</definedName>
    <definedName name="kasım_2" hidden="1">{"Tofaş",#N/A,FALSE,"9511kar(TL)"}</definedName>
    <definedName name="kdfjkdfjfjd" hidden="1">{0,0,0,0}</definedName>
    <definedName name="kegs" hidden="1">{"det (May)",#N/A,FALSE,"June";"sum (MAY YTD)",#N/A,FALSE,"June YTD"}</definedName>
    <definedName name="kgnvbdneke" hidden="1">#REF!</definedName>
    <definedName name="KH" hidden="1">Main.SAPF4Help()</definedName>
    <definedName name="khyu" localSheetId="0" hidden="1">#REF!</definedName>
    <definedName name="khyu" localSheetId="2" hidden="1">#REF!</definedName>
    <definedName name="khyu" localSheetId="3" hidden="1">#REF!</definedName>
    <definedName name="khyu" localSheetId="12" hidden="1">#REF!</definedName>
    <definedName name="khyu" localSheetId="13" hidden="1">#REF!</definedName>
    <definedName name="khyu" localSheetId="14" hidden="1">#REF!</definedName>
    <definedName name="khyu" localSheetId="16" hidden="1">#REF!</definedName>
    <definedName name="khyu" hidden="1">#REF!</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hidden="1">{#N/A,#N/A,FALSE,"ORIX CSC"}</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hidden="1">{"det (May)",#N/A,FALSE,"June";"sum (MAY YTD)",#N/A,FALSE,"June YTD"}</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hidden="1">{"det (May)",#N/A,FALSE,"June";"sum (MAY YTD)",#N/A,FALSE,"June YTD"}</definedName>
    <definedName name="kl" hidden="1">{#N/A,#N/A,FALSE,"FY97";#N/A,#N/A,FALSE,"FY98";#N/A,#N/A,FALSE,"FY99";#N/A,#N/A,FALSE,"FY00";#N/A,#N/A,FALSE,"FY01"}</definedName>
    <definedName name="kmh" hidden="1">{#N/A,#N/A,TRUE,"Cover sheet";#N/A,#N/A,TRUE,"DCF analysis";#N/A,#N/A,TRUE,"WACC calculation"}</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hidden="1">{"det (May)",#N/A,FALSE,"June";"sum (MAY YTD)",#N/A,FALSE,"June YTD"}</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hidden="1">{"det (May)",#N/A,FALSE,"June";"sum (MAY YTD)",#N/A,FALSE,"June YTD"}</definedName>
    <definedName name="M" localSheetId="0" hidden="1">{#N/A,#N/A,FALSE,"fnma22pi";#N/A,#N/A,FALSE,"1888144"}</definedName>
    <definedName name="M" localSheetId="2" hidden="1">{#N/A,#N/A,FALSE,"fnma22pi";#N/A,#N/A,FALSE,"1888144"}</definedName>
    <definedName name="M" localSheetId="3"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9" hidden="1">{#N/A,#N/A,FALSE,"fnma22pi";#N/A,#N/A,FALSE,"1888144"}</definedName>
    <definedName name="M" localSheetId="10" hidden="1">{#N/A,#N/A,FALSE,"fnma22pi";#N/A,#N/A,FALSE,"1888144"}</definedName>
    <definedName name="M" localSheetId="12" hidden="1">{#N/A,#N/A,FALSE,"fnma22pi";#N/A,#N/A,FALSE,"1888144"}</definedName>
    <definedName name="M" localSheetId="13" hidden="1">{#N/A,#N/A,FALSE,"fnma22pi";#N/A,#N/A,FALSE,"1888144"}</definedName>
    <definedName name="M" localSheetId="14" hidden="1">{#N/A,#N/A,FALSE,"fnma22pi";#N/A,#N/A,FALSE,"1888144"}</definedName>
    <definedName name="M" localSheetId="16" hidden="1">{#N/A,#N/A,FALSE,"fnma22pi";#N/A,#N/A,FALSE,"1888144"}</definedName>
    <definedName name="M" hidden="1">{#N/A,#N/A,FALSE,"fnma22pi";#N/A,#N/A,FALSE,"1888144"}</definedName>
    <definedName name="mb_inputLocation" hidden="1">#REF!</definedName>
    <definedName name="mizan" hidden="1">#REF!</definedName>
    <definedName name="mj" hidden="1">{#N/A,#N/A,FALSE,"FY97";#N/A,#N/A,FALSE,"FY98";#N/A,#N/A,FALSE,"FY99";#N/A,#N/A,FALSE,"FY00";#N/A,#N/A,FALSE,"FY01"}</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hidden="1">{"det (May)",#N/A,FALSE,"June";"sum (MAY YTD)",#N/A,FALSE,"June YTD"}</definedName>
    <definedName name="New" hidden="1">{"subs",#N/A,FALSE,"database ";"proportional",#N/A,FALSE,"database "}</definedName>
    <definedName name="newDC" hidden="1">{#N/A,#N/A,TRUE,"Cover sheet";#N/A,#N/A,TRUE,"DCF analysis";#N/A,#N/A,TRUE,"WACC calculation"}</definedName>
    <definedName name="newer" hidden="1">{#N/A,#N/A,FALSE,"Sheet1"}</definedName>
    <definedName name="newer2" hidden="1">{#N/A,#N/A,FALSE,"Sheet1"}</definedName>
    <definedName name="NewSummary" hidden="1">{#N/A,#N/A,FALSE,"Cover";#N/A,#N/A,FALSE,"Projections";#N/A,#N/A,FALSE,"10 Year Summary";#N/A,#N/A,FALSE,"Balance Sheet Summary";#N/A,#N/A,FALSE,"Adjustments";#N/A,#N/A,FALSE,"Discount Rate";#N/A,#N/A,FALSE,"Comps";#N/A,#N/A,FALSE,"Executive Comp"}</definedName>
    <definedName name="ni" hidden="1">{#N/A,#N/A,FALSE,"2";#N/A,#N/A,FALSE,"2,1";#N/A,#N/A,FALSE,"Var annue tit.imm. ";#N/A,#N/A,FALSE,"2,3";#N/A,#N/A,FALSE,"Var annue titoli - prospetto"}</definedName>
    <definedName name="nn" hidden="1">{#N/A,#N/A,FALSE,"All Bus A";#N/A,#N/A,FALSE,"All Bus B";#N/A,#N/A,FALSE,"Tot UK A";#N/A,#N/A,FALSE,"Tot UK B";#N/A,#N/A,FALSE,"UK Dt A";#N/A,#N/A,FALSE,"UK Dt B";#N/A,#N/A,FALSE,"UK Bd A";#N/A,#N/A,FALSE,"UK Bd B";#N/A,#N/A,FALSE,"Int A";#N/A,#N/A,FALSE,"Int B"}</definedName>
    <definedName name="No" hidden="1">{#N/A,#N/A,FALSE,"Summary";#N/A,#N/A,FALSE,"Returns";#N/A,#N/A,FALSE,"IS";#N/A,#N/A,FALSE,"CFS";#N/A,#N/A,FALSE,"Opening BS";#N/A,#N/A,FALSE,"BS";#N/A,#N/A,FALSE,"Int. Rates";#N/A,#N/A,FALSE,"Int. Cost";#N/A,#N/A,FALSE,"Fees";#N/A,#N/A,FALSE,"Ratios";#N/A,#N/A,FALSE,"DCF"}</definedName>
    <definedName name="noidea" hidden="1">{#N/A,#N/A,FALSE,"Calc";#N/A,#N/A,FALSE,"Sensitivity";#N/A,#N/A,FALSE,"LT Earn.Dil.";#N/A,#N/A,FALSE,"Dil. AVP"}</definedName>
    <definedName name="NOIDEA2" hidden="1">{#N/A,#N/A,FALSE,"Calc";#N/A,#N/A,FALSE,"Sensitivity";#N/A,#N/A,FALSE,"LT Earn.Dil.";#N/A,#N/A,FALSE,"Dil. AVP"}</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hidden="1">{#N/A,#N/A,FALSE,"Development";#N/A,#N/A,FALSE,"Summary";#N/A,#N/A,FALSE,"People Time";#N/A,#N/A,FALSE,"Summary of People";#N/A,#N/A,FALSE,"Planing"}</definedName>
    <definedName name="oj" hidden="1">{#N/A,#N/A,FALSE,"RGD$";#N/A,#N/A,FALSE,"BG$";#N/A,#N/A,FALSE,"FC$"}</definedName>
    <definedName name="ömnö" hidden="1">{"det (May)",#N/A,FALSE,"June";"sum (MAY YTD)",#N/A,FALSE,"June YTD"}</definedName>
    <definedName name="ooo" hidden="1">{"IS FE with Ratios",#N/A,FALSE,"Far East";"PF CF Far East",#N/A,FALSE,"Far East";"DCF Far East Matrix",#N/A,FALSE,"Far East"}</definedName>
    <definedName name="OP" hidden="1">{#N/A,#N/A,FALSE,"Operations";#N/A,#N/A,FALSE,"Financials"}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 localSheetId="13">#REF!</definedName>
    <definedName name="pdfendname">#REF!</definedName>
    <definedName name="perbolag" hidden="1">{#N/A,#N/A,FALSE,"intag";#N/A,#N/A,FALSE,"budg";#N/A,#N/A,FALSE,"samtl"}</definedName>
    <definedName name="pi"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hidden="1">{"det (May)",#N/A,FALSE,"June";"sum (MAY YTD)",#N/A,FALSE,"June YTD"}</definedName>
    <definedName name="pop" hidden="1">{"det (May)",#N/A,FALSE,"June";"sum (MAY YTD)",#N/A,FALSE,"June YTD"}</definedName>
    <definedName name="ppp" hidden="1">{"Far East Top",#N/A,FALSE,"FE Model";"Far East Mid",#N/A,FALSE,"FE Model";"Far East Base",#N/A,FALSE,"FE Model"}</definedName>
    <definedName name="Pres" hidden="1">{#N/A,#N/A,TRUE,"Cover sheet";#N/A,#N/A,TRUE,"Summary";#N/A,#N/A,TRUE,"Key Assumptions";#N/A,#N/A,TRUE,"Profit &amp; Loss";#N/A,#N/A,TRUE,"Balance Sheet";#N/A,#N/A,TRUE,"Cashflow";#N/A,#N/A,TRUE,"IRR";#N/A,#N/A,TRUE,"Ratios";#N/A,#N/A,TRUE,"Debt analysis"}</definedName>
    <definedName name="Pres2" hidden="1">{"Print Top",#N/A,FALSE,"Europe Model";"Print Bottom",#N/A,FALSE,"Europe Model"}</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Cover'!$A$1:$I$48</definedName>
    <definedName name="_xlnm.Print_Area" localSheetId="2">'01 - Summary'!$A$1:$J$55</definedName>
    <definedName name="_xlnm.Print_Area" localSheetId="3">'02 - Eligibility Criteria'!$A$1:$M$67</definedName>
    <definedName name="_xlnm.Print_Area" localSheetId="6">'05 - Prepayment Rate'!$A$1:$H$72</definedName>
    <definedName name="_xlnm.Print_Area" localSheetId="7">'06 - Asset Amortisation Profile'!$A$1:$I$239</definedName>
    <definedName name="_xlnm.Print_Area" localSheetId="9">'08 - Delinquent Home Loans Stat'!$A$1:$L$72</definedName>
    <definedName name="_xlnm.Print_Area" localSheetId="10">'09 - Default &amp; Recovery Stat'!$A$1:$I$72</definedName>
    <definedName name="_xlnm.Print_Area" localSheetId="12">'11 - Notes Follow-up'!$A$1:$Y$220</definedName>
    <definedName name="_xlnm.Print_Area" localSheetId="13">'12 - Notes Interest'!$A$2:$J$26</definedName>
    <definedName name="_xlnm.Print_Area" localSheetId="14">'13 - Issuer Account'!$A$1:$R$70</definedName>
    <definedName name="_xlnm.Print_Area" localSheetId="15">'14 - Fees'!$A$1:$K$75</definedName>
    <definedName name="_xlnm.Print_Area" localSheetId="25">'15 - OD'!$A$1:$N$61</definedName>
    <definedName name="_xlnm.Print_Area" localSheetId="16">'15 - Priority of Payments'!$A$1:$N$95</definedName>
    <definedName name="_xlnm.Print_Area" localSheetId="17">'16 - Simplified Balance Sheet'!$A$1:$K$26</definedName>
    <definedName name="print4" hidden="1">{#N/A,#N/A,FALSE,"Operations";#N/A,#N/A,FALSE,"Financials"}</definedName>
    <definedName name="PRO" hidden="1">{"det (May)",#N/A,FALSE,"June";"sum (MAY YTD)",#N/A,FALSE,"June YTD"}</definedName>
    <definedName name="prof" hidden="1">{#N/A,#N/A,FALSE,"A3";#N/A,#N/A,FALSE,"AT2";#N/A,#N/A,FALSE,"PA2";#N/A,#N/A,FALSE,"GI2";#N/A,#N/A,FALSE,"EC2"}</definedName>
    <definedName name="qq" hidden="1">{#N/A,#N/A,FALSE,"Aging Summary";#N/A,#N/A,FALSE,"Ratio Analysis";#N/A,#N/A,FALSE,"Test 120 Day Accts";#N/A,#N/A,FALSE,"Tickmarks"}</definedName>
    <definedName name="qqq" hidden="1">{"NA Is w Ratios",#N/A,FALSE,"North America";"PF CFlow NA",#N/A,FALSE,"North America";"NA DCF Matrix",#N/A,FALSE,"North America"}</definedName>
    <definedName name="qqqq" hidden="1">{#N/A,#N/A,TRUE,"Sales Comparison";#N/A,#N/A,TRUE,"Cum. Summary FFR";#N/A,#N/A,TRUE,"Monthly Summary FFR";#N/A,#N/A,TRUE,"Cum. Summary TL";#N/A,#N/A,TRUE,"Monthly Summary TL"}</definedName>
    <definedName name="qqqqq" hidden="1">{#N/A,#N/A,FALSE,"Aging Summary";#N/A,#N/A,FALSE,"Ratio Analysis";#N/A,#N/A,FALSE,"Test 120 Day Accts";#N/A,#N/A,FALSE,"Tickmarks"}</definedName>
    <definedName name="qqqqqq" hidden="1">{#N/A,#N/A,FALSE,"Aging Summary";#N/A,#N/A,FALSE,"Ratio Analysis";#N/A,#N/A,FALSE,"Test 120 Day Accts";#N/A,#N/A,FALSE,"Tickmarks"}</definedName>
    <definedName name="qsfd" hidden="1">{#N/A,#N/A,TRUE,"Cover sheet";#N/A,#N/A,TRUE,"INPUTS";#N/A,#N/A,TRUE,"OUTPUTS";#N/A,#N/A,TRUE,"VALUATION"}</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hidden="1">{#N/A,#N/A,FALSE,"JKFLASH2";#N/A,#N/A,FALSE,"Page 4";#N/A,#N/A,FALSE,"page 3"}</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2" hidden="1">{#N/A,#N/A,FALSE,"DELQ";#N/A,#N/A,FALSE,"REO";#N/A,#N/A,FALSE,"WATCHDSC";#N/A,#N/A,FALSE,"2LOSSMOD";#N/A,#N/A,FALSE,"2LOSS";#N/A,#N/A,FALSE,"DSC";#N/A,#N/A,FALSE,"OPERAT";#N/A,#N/A,FALSE,"ADJUST";#N/A,#N/A,FALSE,"PAIDOFF";#N/A,#N/A,FALSE,"TENANT";#N/A,#N/A,FALSE,"LEASE EXPIRE"}</definedName>
    <definedName name="qzef" localSheetId="3" hidden="1">{#N/A,#N/A,FALSE,"DELQ";#N/A,#N/A,FALSE,"REO";#N/A,#N/A,FALSE,"WATCHDSC";#N/A,#N/A,FALSE,"2LOSSMOD";#N/A,#N/A,FALSE,"2LOSS";#N/A,#N/A,FALSE,"DSC";#N/A,#N/A,FALSE,"OPERAT";#N/A,#N/A,FALSE,"ADJUST";#N/A,#N/A,FALSE,"PAIDOFF";#N/A,#N/A,FALSE,"TENANT";#N/A,#N/A,FALSE,"LEASE EXPIRE"}</definedName>
    <definedName name="qzef" localSheetId="7"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3"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hidden="1">{"cap_structure",#N/A,FALSE,"Graph-Mkt Cap";"price",#N/A,FALSE,"Graph-Price";"ebit",#N/A,FALSE,"Graph-EBITDA";"ebitda",#N/A,FALSE,"Graph-EBITDA"}</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hidden="1">{0,0,"",0;0,0,0,0;0,0,0,0;0,0,0,0;0,0,0,0}</definedName>
    <definedName name="removed_name7" hidden="1">{0,0,"",0;0,0,0,0;0,0,0,0;0,0,0,0;0,0,0,0}</definedName>
    <definedName name="RepaymentType" hidden="1">#REF!</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hidden="1">{"hiden",#N/A,FALSE,"14";"hidden",#N/A,FALSE,"16";"hidden",#N/A,FALSE,"18";"hidden",#N/A,FALSE,"20"}</definedName>
    <definedName name="rrrrrr" hidden="1">{"cash plan",#N/A,FALSE,"fccashflow"}</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hidden="1">Main.SAPF4Help()</definedName>
    <definedName name="sbx" hidden="1">{"Consolidated IS w Ratios",#N/A,FALSE,"Consolidated";"Consolidated CF",#N/A,FALSE,"Consolidated";"Consolidated DCF",#N/A,FALSE,"Consolidated"}</definedName>
    <definedName name="scb" hidden="1">{#N/A,#N/A,FALSE,"Japan 2003";#N/A,#N/A,FALSE,"Sheet2"}</definedName>
    <definedName name="sd" hidden="1">{#N/A,#N/A,FALSE,"Contribution Analysis"}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hidden="1">{"JG FE Top",#N/A,FALSE,"JG FE $";"JG FE Bottom",#N/A,FALSE,"JG FE $"}</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hidden="1">{"det (May)",#N/A,FALSE,"June";"sum (MAY YTD)",#N/A,FALSE,"June YTD"}</definedName>
    <definedName name="sdfdsf" hidden="1">{"det (May)",#N/A,FALSE,"June";"sum (MAY YTD)",#N/A,FALSE,"June YTD"}</definedName>
    <definedName name="sdff" localSheetId="0" hidden="1">#REF!</definedName>
    <definedName name="sdff" localSheetId="2" hidden="1">#REF!</definedName>
    <definedName name="sdff" localSheetId="3" hidden="1">#REF!</definedName>
    <definedName name="sdff" localSheetId="12" hidden="1">#REF!</definedName>
    <definedName name="sdff" localSheetId="13" hidden="1">#REF!</definedName>
    <definedName name="sdff" localSheetId="14" hidden="1">#REF!</definedName>
    <definedName name="sdff" localSheetId="16" hidden="1">#REF!</definedName>
    <definedName name="sdff" hidden="1">#REF!</definedName>
    <definedName name="sdfg" hidden="1">{"mgmt forecast",#N/A,FALSE,"Mgmt Forecast";"dcf table",#N/A,FALSE,"Mgmt Forecast";"sensitivity",#N/A,FALSE,"Mgmt Forecast";"table inputs",#N/A,FALSE,"Mgmt Forecast";"calculations",#N/A,FALSE,"Mgmt Forecast"}</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{"Far East Top",#N/A,FALSE,"FE Model";"Far East Mid",#N/A,FALSE,"FE Model";"Far East Base",#N/A,FALSE,"FE Model"}</definedName>
    <definedName name="sdfsda" hidden="1">{"standalone1",#N/A,FALSE,"DCFBase";"standalone2",#N/A,FALSE,"DCFBase"}</definedName>
    <definedName name="sdfsdf" localSheetId="0" hidden="1">#REF!</definedName>
    <definedName name="sdfsdf" localSheetId="2" hidden="1">#REF!</definedName>
    <definedName name="sdfsdf" localSheetId="3" hidden="1">#REF!</definedName>
    <definedName name="sdfsdf" localSheetId="12" hidden="1">#REF!</definedName>
    <definedName name="sdfsdf" localSheetId="13" hidden="1">#REF!</definedName>
    <definedName name="sdfsdf" localSheetId="14" hidden="1">#REF!</definedName>
    <definedName name="sdfsdf" localSheetId="16" hidden="1">#REF!</definedName>
    <definedName name="sdfsdf" hidden="1">#REF!</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sds" hidden="1">{"standalone1",#N/A,FALSE,"DCFBase";"standalone2",#N/A,FALSE,"DCFBase"}</definedName>
    <definedName name="secteur" localSheetId="12">#REF!</definedName>
    <definedName name="secteur" localSheetId="13">#REF!</definedName>
    <definedName name="secteur" localSheetId="14">#REF!</definedName>
    <definedName name="secteur">#REF!</definedName>
    <definedName name="sencount" hidden="1">1</definedName>
    <definedName name="ses" hidden="1">{"RESUMEN",#N/A,FALSE,"RESUMEN";"RESUMEN_MARG",#N/A,FALSE,"RESUMEN"}</definedName>
    <definedName name="sfd" hidden="1">{#N/A,#N/A,FALSE,"Hoja1";#N/A,#N/A,FALSE,"Hoja2"}</definedName>
    <definedName name="sfdg" hidden="1">{#N/A,#N/A,FALSE,"A&amp;E";#N/A,#N/A,FALSE,"HighTop";#N/A,#N/A,FALSE,"JG";#N/A,#N/A,FALSE,"RI";#N/A,#N/A,FALSE,"woHT";#N/A,#N/A,FALSE,"woHT&amp;JG"}</definedName>
    <definedName name="SFDGHH" hidden="1">{#N/A,#N/A,TRUE,"Cover Page";#N/A,#N/A,TRUE,"Summary";#N/A,#N/A,TRUE,"Acquisition Analysis";#N/A,#N/A,TRUE,"Pro Forma";#N/A,#N/A,TRUE,"Sensitivity";#N/A,#N/A,TRUE,"Inputs"}</definedName>
    <definedName name="sfgh" localSheetId="0" hidden="1">#REF!</definedName>
    <definedName name="sfgh" localSheetId="2" hidden="1">#REF!</definedName>
    <definedName name="sfgh" localSheetId="3" hidden="1">#REF!</definedName>
    <definedName name="sfgh" localSheetId="12" hidden="1">#REF!</definedName>
    <definedName name="sfgh" localSheetId="13" hidden="1">#REF!</definedName>
    <definedName name="sfgh" localSheetId="14" hidden="1">#REF!</definedName>
    <definedName name="sfgh" localSheetId="16" hidden="1">#REF!</definedName>
    <definedName name="sfgh" hidden="1">#REF!</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hidden="1">{#N/A,#N/A,TRUE,"Pro Forma";#N/A,#N/A,TRUE,"PF_Bal";#N/A,#N/A,TRUE,"PF_INC";#N/A,#N/A,TRUE,"CBE";#N/A,#N/A,TRUE,"SWK"}</definedName>
    <definedName name="sgagaga" hidden="1">{#N/A,#N/A,FALSE,"Antony Financials";#N/A,#N/A,FALSE,"Cowboy Financials";#N/A,#N/A,FALSE,"Combined";#N/A,#N/A,FALSE,"Valuematrix";#N/A,#N/A,FALSE,"DCFAntony";#N/A,#N/A,FALSE,"DCFCowboy";#N/A,#N/A,FALSE,"DCFCombined"}</definedName>
    <definedName name="sgsdfgds" hidden="1">{#N/A,#N/A,FALSE,"ORIX CSC"}</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hidden="1">{#N/A,#N/A,FALSE,"A&amp;E";#N/A,#N/A,FALSE,"HighTop";#N/A,#N/A,FALSE,"JG";#N/A,#N/A,FALSE,"RI";#N/A,#N/A,FALSE,"woHT";#N/A,#N/A,FALSE,"woHT&amp;JG"}</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hidden="1">{#N/A,#N/A,FALSE,"DAOCM 2차 검토"}</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hidden="1">{"det (May)",#N/A,FALSE,"June";"sum (MAY YTD)",#N/A,FALSE,"June YTD"}</definedName>
    <definedName name="ssqf" localSheetId="0" hidden="1">{"'Description'!$A$1:$G$45"}</definedName>
    <definedName name="ssqf" localSheetId="2" hidden="1">{"'Description'!$A$1:$G$45"}</definedName>
    <definedName name="ssqf" localSheetId="3" hidden="1">{"'Description'!$A$1:$G$45"}</definedName>
    <definedName name="ssqf" localSheetId="7" hidden="1">{"'Description'!$A$1:$G$45"}</definedName>
    <definedName name="ssqf" localSheetId="12" hidden="1">{"'Description'!$A$1:$G$45"}</definedName>
    <definedName name="ssqf" localSheetId="13" hidden="1">{"'Description'!$A$1:$G$45"}</definedName>
    <definedName name="ssqf" localSheetId="14" hidden="1">{"'Description'!$A$1:$G$45"}</definedName>
    <definedName name="ssqf" localSheetId="16" hidden="1">{"'Description'!$A$1:$G$45"}</definedName>
    <definedName name="ssqf" hidden="1">{"'Description'!$A$1:$G$45"}</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hidden="1">{#N/A,#N/A,TRUE,"Cover sheet";#N/A,#N/A,TRUE,"Summary";#N/A,#N/A,TRUE,"Key Assumptions";#N/A,#N/A,TRUE,"Profit &amp; Loss";#N/A,#N/A,TRUE,"Balance Sheet";#N/A,#N/A,TRUE,"Cashflow";#N/A,#N/A,TRUE,"IRR";#N/A,#N/A,TRUE,"Ratios";#N/A,#N/A,TRUE,"Debt analysis"}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hidden="1">{#N/A,#N/A,TRUE,"Cover sheet";#N/A,#N/A,TRUE,"Summary";#N/A,#N/A,TRUE,"Key Assumptions";#N/A,#N/A,TRUE,"Profit &amp; Loss";#N/A,#N/A,TRUE,"Balance Sheet";#N/A,#N/A,TRUE,"Cashflow";#N/A,#N/A,TRUE,"IRR";#N/A,#N/A,TRUE,"Ratios";#N/A,#N/A,TRUE,"Debt analysis"}</definedName>
    <definedName name="stella" hidden="1">{"det (May)",#N/A,FALSE,"June";"sum (MAY YTD)",#N/A,FALSE,"June YTD"}</definedName>
    <definedName name="Summary">'07 - Breakdown Statistics'!$B$25:$C$41</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hidden="1">{#N/A,#N/A,FALSE,"Output";#N/A,#N/A,FALSE,"Cover Sheet";#N/A,#N/A,FALSE,"Current Mkt. Projections"}</definedName>
    <definedName name="Tempme3" hidden="1">{#N/A,#N/A,FALSE,"Output";#N/A,#N/A,FALSE,"Cover Sheet";#N/A,#N/A,FALSE,"Current Mkt. Projections"}</definedName>
    <definedName name="Tempme4" hidden="1">{#N/A,#N/A,FALSE,"Output";#N/A,#N/A,FALSE,"Cover Sheet";#N/A,#N/A,FALSE,"Current Mkt. Projections"}</definedName>
    <definedName name="Tempo5" hidden="1">{#N/A,#N/A,FALSE,"Output";#N/A,#N/A,FALSE,"Cover Sheet";#N/A,#N/A,FALSE,"Current Mkt. Projections"}</definedName>
    <definedName name="Tempo5a" hidden="1">{#N/A,#N/A,FALSE,"Output";#N/A,#N/A,FALSE,"Cover Sheet";#N/A,#N/A,FALSE,"Current Mkt. Projections"}</definedName>
    <definedName name="Tenure" hidden="1">#REF!</definedName>
    <definedName name="tewataa" hidden="1">{"page1",#N/A,FALSE,"Temp";"page2",#N/A,FALSE,"Temp";"page3",#N/A,FALSE,"Temp";"page4",#N/A,FALSE,"Temp";"page5",#N/A,FALSE,"Temp";"page6",#N/A,FALSE,"Temp"}</definedName>
    <definedName name="TextRefCopyRangeCount" hidden="1">13</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hidden="1">{"IS FE with Ratios",#N/A,FALSE,"Far East";"PF CF Far East",#N/A,FALSE,"Far East";"DCF Far East Matrix",#N/A,FALSE,"Far East"}</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2" hidden="1">{#N/A,#N/A,FALSE,"Sheet16";#N/A,#N/A,FALSE,"Sheet17";#N/A,#N/A,FALSE,"Sheet15";#N/A,#N/A,FALSE,"Sheet14";#N/A,#N/A,FALSE,"Sheet13";#N/A,#N/A,FALSE,"Sheet12";#N/A,#N/A,FALSE,"Sheet11";#N/A,#N/A,FALSE,"Sheet10";#N/A,#N/A,FALSE,"Sheet8";#N/A,#N/A,FALSE,"Sheet6";#N/A,#N/A,FALSE,"Sheet7";#N/A,#N/A,FALSE,"Sheet5";#N/A,#N/A,FALSE,"Sheet1";#N/A,#N/A,FALSE,"Sheet4"}</definedName>
    <definedName name="tyjuyj" localSheetId="3" hidden="1">{#N/A,#N/A,FALSE,"Sheet16";#N/A,#N/A,FALSE,"Sheet17";#N/A,#N/A,FALSE,"Sheet15";#N/A,#N/A,FALSE,"Sheet14";#N/A,#N/A,FALSE,"Sheet13";#N/A,#N/A,FALSE,"Sheet12";#N/A,#N/A,FALSE,"Sheet11";#N/A,#N/A,FALSE,"Sheet10";#N/A,#N/A,FALSE,"Sheet8";#N/A,#N/A,FALSE,"Sheet6";#N/A,#N/A,FALSE,"Sheet7";#N/A,#N/A,FALSE,"Sheet5";#N/A,#N/A,FALSE,"Sheet1";#N/A,#N/A,FALSE,"Sheet4"}</definedName>
    <definedName name="tyjuyj" localSheetId="7"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3"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2" hidden="1">{#N/A,#N/A,FALSE,"40645444";#N/A,#N/A,FALSE,"CITIBANK INTEREST"}</definedName>
    <definedName name="tyujyf" localSheetId="3" hidden="1">{#N/A,#N/A,FALSE,"40645444";#N/A,#N/A,FALSE,"CITIBANK INTEREST"}</definedName>
    <definedName name="tyujyf" localSheetId="7" hidden="1">{#N/A,#N/A,FALSE,"40645444";#N/A,#N/A,FALSE,"CITIBANK INTEREST"}</definedName>
    <definedName name="tyujyf" localSheetId="12" hidden="1">{#N/A,#N/A,FALSE,"40645444";#N/A,#N/A,FALSE,"CITIBANK INTEREST"}</definedName>
    <definedName name="tyujyf" localSheetId="13"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hidden="1">{#N/A,#N/A,FALSE,"40645444";#N/A,#N/A,FALSE,"CITIBANK INTEREST"}</definedName>
    <definedName name="tyur"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hidden="1">{"det (May)",#N/A,FALSE,"June";"sum (MAY YTD)",#N/A,FALSE,"June YTD"}</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hidden="1">{"det (May)",#N/A,FALSE,"June";"sum (MAY YTD)",#N/A,FALSE,"June YTD"}</definedName>
    <definedName name="ujyt" hidden="1">{"test2",#N/A,TRUE,"Prices"}</definedName>
    <definedName name="uu" hidden="1">{"Eur Base Top",#N/A,FALSE,"Europe Base";"Eur Base Bottom",#N/A,FALSE,"Europe Base"}</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hidden="1">{"mgmt forecast",#N/A,FALSE,"Mgmt Forecast";"dcf table",#N/A,FALSE,"Mgmt Forecast";"sensitivity",#N/A,FALSE,"Mgmt Forecast";"table inputs",#N/A,FALSE,"Mgmt Forecast";"calculations",#N/A,FALSE,"Mgmt Forecast"}</definedName>
    <definedName name="vbn" hidden="1">{"Assumptions1",#N/A,FALSE,"Assumptions";"MergerPlans1","20yearamort",FALSE,"MergerPlans";"MergerPlans1","40yearamort",FALSE,"MergerPlans";"MergerPlans2",#N/A,FALSE,"MergerPlans";"inputs",#N/A,FALSE,"MergerPlans"}</definedName>
    <definedName name="vision"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hidden="1">{"IS FE with Ratios",#N/A,FALSE,"Far East";"PF CF Far East",#N/A,FALSE,"Far East";"DCF Far East Matrix",#N/A,FALSE,"Far East"}</definedName>
    <definedName name="vvvv" hidden="1">{"Far East Top",#N/A,FALSE,"FE Model";"Far East Bottom",#N/A,FALSE,"FE Model"}</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ntr.dcf" hidden="1">{"DCF1",#N/A,FALSE,"SIERRA DCF";"MATRIX1",#N/A,FALSE,"SIERRA DCF"}</definedName>
    <definedName name="wrn" hidden="1">{"vue1",#N/A,FALSE,"synthese";"vue2",#N/A,FALSE,"synthese"}</definedName>
    <definedName name="wrn.1." hidden="1">{#N/A,#N/A,FALSE,"Calc";#N/A,#N/A,FALSE,"Sensitivity";#N/A,#N/A,FALSE,"LT Earn.Dil.";#N/A,#N/A,FALSE,"Dil. AVP"}</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2." hidden="1">{#N/A,#N/A,FALSE,"Calc";#N/A,#N/A,FALSE,"Sensitivity";#N/A,#N/A,FALSE,"LT Earn.Dil.";#N/A,#N/A,FALSE,"Dil. AVP"}</definedName>
    <definedName name="wrn.2._.pagers." hidden="1">{"Cover",#N/A,FALSE,"Cover";"Summary",#N/A,FALSE,"Summarpage"}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hidden="1">{#N/A,"Base",FALSE,"Dividend";#N/A,"Conservative",FALSE,"Dividend";#N/A,"Downside",FALSE,"Dividend"}</definedName>
    <definedName name="wrn.40645444." localSheetId="0" hidden="1">{#N/A,#N/A,FALSE,"40645444";#N/A,#N/A,FALSE,"CITIBANK INTEREST"}</definedName>
    <definedName name="wrn.40645444." localSheetId="2" hidden="1">{#N/A,#N/A,FALSE,"40645444";#N/A,#N/A,FALSE,"CITIBANK INTEREST"}</definedName>
    <definedName name="wrn.40645444." localSheetId="3"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9"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3"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hidden="1">{#N/A,#N/A,FALSE,"40645444";#N/A,#N/A,FALSE,"CITIBANK INTEREST"}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hidden="1">{#N/A,#N/A,FALSE,"Sheet1";#N/A,#N/A,FALSE,"Sheet1";#N/A,#N/A,FALSE,"Sheet1"}</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hidden="1">{"S&amp;U",#N/A,FALSE,"s&amp;u";"financing",#N/A,FALSE,"Input";"financing2",#N/A,FALSE,"Input";"Balance Sheet",#N/A,FALSE,"BS";"P&amp;L",#N/A,FALSE,"P&amp;L";"Cashflow",#N/A,FALSE,"CF"}</definedName>
    <definedName name="wrn.Acquisition_matrix." hidden="1">{"Acq_matrix",#N/A,FALSE,"Acquisition Matrix"}</definedName>
    <definedName name="wrn.Adjustments."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hidden="1">{#N/A,#N/A,FALSE,"Aging Summary";#N/A,#N/A,FALSE,"Ratio Analysis";#N/A,#N/A,FALSE,"Test 120 Day Accts";#N/A,#N/A,FALSE,"Tickmarks"}</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hidden="1">{#N/A,#N/A,FALSE,"Sum";#N/A,#N/A,FALSE,"Presentation";#N/A,#N/A,FALSE,"Constr Alt 1";#N/A,#N/A,FALSE,"US PD";#N/A,#N/A,FALSE,"US Presentation";#N/A,#N/A,FALSE,"Operation";#N/A,#N/A,FALSE,"Schedule";#N/A,#N/A,FALSE,"Net area";#N/A,#N/A,FALSE,"Projection"}</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hidden="1">{#N/A,#N/A,FALSE,"Balance Sheet";#N/A,#N/A,FALSE,"Income Statement";#N/A,#N/A,FALSE,"Changes in Financial Position"}</definedName>
    <definedName name="wrn.ALLF." hidden="1">{"COF",#N/A,TRUE,"CONS";"JAF",#N/A,TRUE,"JAP";"HKF",#N/A,TRUE,"HK";#N/A,#N/A,TRUE,"SP";"TAF",#N/A,TRUE,"TAIW";"INF",#N/A,TRUE,"IND";"THF",#N/A,TRUE,"THAI";"MAF",#N/A,TRUE,"MAL"}</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hidden="1">{"Exist Debt Amort",#N/A,TRUE,"Financials";"Intangible Amort",#N/A,TRUE,"Financials";"Proj Debt Amort",#N/A,TRUE,"Financials";"Proj Pfd Amort",#N/A,TRUE,"Financials"}</definedName>
    <definedName name="wrn.Analysis." hidden="1">{"ratios",#N/A,FALSE,"Analyse";"multiples",#N/A,FALSE,"Analyse";"places",#N/A,FALSE,"Analyse"}</definedName>
    <definedName name="wrn.AnnualRentRoll" hidden="1">{"AnnualRentRoll",#N/A,FALSE,"RentRoll"}</definedName>
    <definedName name="wrn.AnnualRentRoll." hidden="1">{"AnnualRentRoll",#N/A,FALSE,"RentRoll"}</definedName>
    <definedName name="wrn.Apple._.Report." hidden="1">{#N/A,#N/A,FALSE,"Cover";#N/A,#N/A,FALSE,"Projections";#N/A,#N/A,FALSE,"10 Year Summary";#N/A,#N/A,FALSE,"Balance Sheet Summary";#N/A,#N/A,FALSE,"Adjustments";#N/A,#N/A,FALSE,"Discount Rate";#N/A,#N/A,FALSE,"Comps";#N/A,#N/A,FALSE,"Executive Comp"}</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{"Rev and Exp",#N/A,TRUE,"Financials";"Working Capital",#N/A,TRUE,"Financials"}</definedName>
    <definedName name="wrn.aug" hidden="1">{"det (May)",#N/A,FALSE,"June";"sum (MAY YTD)",#N/A,FALSE,"June YTD"}</definedName>
    <definedName name="wrn.augyt" hidden="1">{"det (May)",#N/A,FALSE,"June";"sum (MAY YTD)",#N/A,FALSE,"June YTD"}</definedName>
    <definedName name="wrn.augYTD" hidden="1">{"det (May)",#N/A,FALSE,"June";"sum (MAY YTD)",#N/A,FALSE,"June YTD"}</definedName>
    <definedName name="wrn.Auto._.Comp." hidden="1">{#N/A,#N/A,FALSE,"Sheet1"}</definedName>
    <definedName name="wrn.away." hidden="1">{"away stand alones",#N/A,FALSE,"Target"}</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hidden="1">{#N/A,#N/A,FALSE,"Hoja1";#N/A,#N/A,FALSE,"Hoja2"}</definedName>
    <definedName name="wrn.Balance._.sheet." hidden="1">{"Balance sheet",#N/A,FALSE,"Model"}</definedName>
    <definedName name="wrn.baseDEV." hidden="1">{"cover",#N/A,TRUE,"Cover";"pnldet",#N/A,TRUE,"BaseCaseDEV";"pnl",#N/A,TRUE,"BaseCaseDEV";"bil",#N/A,TRUE,"BaseCaseDEV";"tabfi",#N/A,TRUE,"BaseCaseDEV";"ratios",#N/A,TRUE,"BaseCaseDEV";"variab",#N/A,TRUE,"BaseCaseDEV";"inv",#N/A,TRUE,"BaseCaseDEV"}</definedName>
    <definedName name="wrn.Basic._.Report." hidden="1">{#N/A,#N/A,FALSE,"New Depr Sch-150% DB";#N/A,#N/A,FALSE,"Cash Flows RLP";#N/A,#N/A,FALSE,"IRR";#N/A,#N/A,FALSE,"Proforma IS";#N/A,#N/A,FALSE,"Assumptions"}</definedName>
    <definedName name="wrn.Bilancio._.dicembre._.1995." hidden="1">{#N/A,#N/A,FALSE,"attivo";#N/A,#N/A,FALSE,"passivo";#N/A,#N/A,FALSE,"garanzie";#N/A,#N/A,FALSE,"economico";#N/A,#N/A,FALSE,"elenco";#N/A,#N/A,FALSE,"costo";#N/A,#N/A,FALSE,"patrimonio";#N/A,#N/A,FALSE,"temporali"}</definedName>
    <definedName name="wrn.brian." hidden="1">{#N/A,#N/A,FALSE,"output";#N/A,#N/A,FALSE,"contrib";#N/A,#N/A,FALSE,"profile";#N/A,#N/A,FALSE,"comps"}</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hidden="1">{"PMA Cap",#N/A,FALSE,"PMA Capital";"Re",#N/A,FALSE,"PMA Re";"PMA Group",#N/A,FALSE,"PMA Insur";"Caliber",#N/A,FALSE,"Caliber"}</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rofit._.and._.loss." hidden="1">{"budget992000 profit and loss",#N/A,FALSE,"Celtel alternative 6"}</definedName>
    <definedName name="wrn.budget._.tariffs._.and._.usage." hidden="1">{"budget992000 tariff and usage",#N/A,FALSE,"Celtel alternative 6"}</definedName>
    <definedName name="wrn.CAPITAL._.TODO." hidden="1">{"CAP VOL",#N/A,FALSE,"CAPITAL";"CAP VAR",#N/A,FALSE,"CAPITAL";"CAP FIJ",#N/A,FALSE,"CAPITAL";"CAP CONS",#N/A,FALSE,"CAPITAL";"CAP DATA",#N/A,FALSE,"CAPITAL"}</definedName>
    <definedName name="wrn.Cari._.Ay." hidden="1">{#N/A,#N/A,FALSE,"Bilanço";#N/A,#N/A,FALSE,"Kümülatif Gelir Tablosu";#N/A,#N/A,FALSE,"Aylık Gelir Tablosu";#N/A,#N/A,FALSE,"Raşyo 1"}</definedName>
    <definedName name="wrn.cash." hidden="1">{"assumption cash",#N/A,TRUE,"Merger";"has gets cash",#N/A,TRUE,"Merger";"accretion dilution",#N/A,TRUE,"Merger";"comparison credit stats",#N/A,TRUE,"Merger";"pf credit stats",#N/A,TRUE,"Merger";"pf sheets",#N/A,TRUE,"Merger"}</definedName>
    <definedName name="wrn.Cash._.flow." hidden="1">{"cash flow",#N/A,FALSE,"Model"}</definedName>
    <definedName name="wrn.Cash._.Plan." hidden="1">{"cash plan",#N/A,FALSE,"fccashflow"}</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hidden="1">{"Page1",#N/A,FALSE,"CompCo";"Page2",#N/A,FALSE,"CompCo"}</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hidden="1">{#N/A,#N/A,FALSE,"Assumptions";#N/A,#N/A,FALSE,"Proforma IS";#N/A,#N/A,FALSE,"Cash Flows RLP";#N/A,#N/A,FALSE,"IRR";#N/A,#N/A,FALSE,"New Depr Sch-150% DB";#N/A,#N/A,FALSE,"Comments"}</definedName>
    <definedName name="wrn.comps." hidden="1">{"comps",#N/A,FALSE,"Intl comps";"notes",#N/A,FALSE,"Intl comps"}</definedName>
    <definedName name="wrn.CON_DESCUENTO." hidden="1">{#N/A,"Carabeer",FALSE,"Dscto.";#N/A,"Disbracentro",FALSE,"Dscto.";#N/A,"Río Beer",FALSE,"Dscto.";#N/A,"Andes",FALSE,"Dscto."}</definedName>
    <definedName name="wrn.Consolidated._.Set." hidden="1">{"Consolidated IS w Ratios",#N/A,FALSE,"Consolidated";"Consolidated CF",#N/A,FALSE,"Consolidated";"Consolidated DCF",#N/A,FALSE,"Consolidated"}</definedName>
    <definedName name="wrn.CONSOLIDATION." hidden="1">{"PAGE1",#N/A,FALSE,"Consolidation";"PAGE2",#N/A,FALSE,"Consolidation";"PAGE3",#N/A,FALSE,"Consolidation";"PAGE4",#N/A,FALSE,"Consolidation";"PAGE5",#N/A,FALSE,"Consolidation";"PAGE6",#N/A,FALSE,"Consolidation";"PAGE7",#N/A,FALSE,"Consolidation"}</definedName>
    <definedName name="wrn.CONTO._.ECON._.PRO._.FORMA." hidden="1">{"PRO FORMA RIEPILOGO",#N/A,TRUE,"Pro forma";"PRO FORMA DETTAGLIO",#N/A,TRUE,"Pro forma";#N/A,#N/A,TRUE,"Imposte puntuali"}</definedName>
    <definedName name="wrn.Conto._.economico." hidden="1">{"PRO FORMA RIEPILOGO",#N/A,FALSE,"Pro forma";"PRO FORMA DETTAGLIO",#N/A,FALSE,"Pro forma";"IMPOSTE",#N/A,FALSE,"Imposte puntuali"}</definedName>
    <definedName name="wrn.contribution." hidden="1">{#N/A,#N/A,FALSE,"Contribution Analysis"}</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2" hidden="1">{#N/A,#N/A,FALSE,"Sheet1";#N/A,#N/A,FALSE,"Sheet2";#N/A,#N/A,FALSE,"Sheet3";#N/A,#N/A,FALSE,"Sheet9";#N/A,#N/A,FALSE,"Sheet4";#N/A,#N/A,FALSE,"Sheet5";#N/A,#N/A,FALSE,"Sheet6";#N/A,#N/A,FALSE,"Sheet7";#N/A,#N/A,FALSE,"Sheet8";#N/A,#N/A,FALSE,"Sheet10";#N/A,#N/A,FALSE,"Sheet11";#N/A,#N/A,FALSE,"Sheet12";#N/A,#N/A,FALSE,"Sheet17";#N/A,#N/A,FALSE,"Sheet16"}</definedName>
    <definedName name="wrn.CORMM." localSheetId="3"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9"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3"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hidden="1">{"Covenants",#N/A,FALSE,"Covs";"quarterly covenants",#N/A,FALSE,"Covs";"quarterly projections",#N/A,FALSE,"Covs"}</definedName>
    <definedName name="wrn.Cover." hidden="1">{"coverall",#N/A,FALSE,"Definitions";"cover1",#N/A,FALSE,"Definitions";"cover2",#N/A,FALSE,"Definitions";"cover3",#N/A,FALSE,"Definitions";"cover4",#N/A,FALSE,"Definitions";"cover5",#N/A,FALSE,"Definitions";"blank",#N/A,FALSE,"Definitions"}</definedName>
    <definedName name="wrn.cowboy." hidden="1">{"assumptions",#N/A,FALSE,"Assumption Summary";"proforma97",#N/A,FALSE,"97 pro forma";"sensitivity97",#N/A,FALSE,"97 sensitivity ";"proforma98",#N/A,FALSE,"98 pro forma";"sensitivity98",#N/A,FALSE,"98 sensitivity"}</definedName>
    <definedName name="wrn.CSC." hidden="1">{"Output1",#N/A,FALSE,"Output";"Ratios1",#N/A,FALSE,"Ratios"}</definedName>
    <definedName name="wrn.csc2." hidden="1">{#N/A,#N/A,FALSE,"ORIX CSC"}</definedName>
    <definedName name="wrn.DACOM._.광전송장치._.투찰가._.검토." hidden="1">{#N/A,#N/A,FALSE,"DAOCM 2차 검토"}</definedName>
    <definedName name="wrn.database." hidden="1">{"subs",#N/A,FALSE,"database ";"proportional",#N/A,FALSE,"database "}</definedName>
    <definedName name="wrn.database.?" hidden="1">{"subs",#N/A,FALSE,"database ";"proportional",#N/A,FALSE,"database "}</definedName>
    <definedName name="wrn.Dayanıklı._.tüketim." hidden="1">{"Dayanıklı tüketim",#N/A,FALSE,"9511kar(TL)"}</definedName>
    <definedName name="wrn.Dayanıklı._.tüketim._.dolar." hidden="1">{"Dayanıklı tüketimdolar",#N/A,FALSE,"9511kar($)"}</definedName>
    <definedName name="wrn.dcf"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hidden="1">{"qchm_dcf",#N/A,FALSE,"QCHMDCF2";"qchm_terminal",#N/A,FALSE,"QCHMDCF2"}</definedName>
    <definedName name="wrn.Depreciation." hidden="1">{"GAAP Deprec",#N/A,TRUE,"Financials";"Tax Deprec",#N/A,TRUE,"Financials"}</definedName>
    <definedName name="wrn.Development." hidden="1">{#N/A,#N/A,FALSE,"Development";#N/A,#N/A,FALSE,"Summary";#N/A,#N/A,FALSE,"People Time";#N/A,#N/A,FALSE,"Summary of People";#N/A,#N/A,FALSE,"Planing"}</definedName>
    <definedName name="wrn.dil_anal." hidden="1">{"hiden",#N/A,FALSE,"14";"hidden",#N/A,FALSE,"16";"hidden",#N/A,FALSE,"18";"hidden",#N/A,FALSE,"20"}</definedName>
    <definedName name="wrn.Dış._.ticaret." hidden="1">{"Dış ticaret",#N/A,FALSE,"9511kar(TL)"}</definedName>
    <definedName name="wrn.Dış._.ticaret._.dolar." hidden="1">{"Dış ticaret dolar",#N/A,FALSE,"9511kar($)"}</definedName>
    <definedName name="wrn.document." hidden="1">{"comp",#N/A,FALSE,"SPEC";"footnotes",#N/A,FALSE,"SPEC"}</definedName>
    <definedName name="wrn.documentaero." hidden="1">{"comps2",#N/A,FALSE,"AERO";"footnotes",#N/A,FALSE,"AERO"}</definedName>
    <definedName name="wrn.documenthand." hidden="1">{"comps",#N/A,FALSE,"HANDPACK";"footnotes",#N/A,FALSE,"HANDPACK"}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hidden="1">{"Savings",#N/A,FALSE,"East Jeff OP Surgery 090897";"OPS",#N/A,FALSE,"East Jeff OP Surgery 090897"}</definedName>
    <definedName name="wrn.Employee._.Efficiency." hidden="1">{"Employee Efficiency",#N/A,FALSE,"Benchmarking"}</definedName>
    <definedName name="wrn.Enerji._.maden." hidden="1">{"Enerji maden",#N/A,FALSE,"9511kar(TL)"}</definedName>
    <definedName name="wrn.Enerji._.maden._.dolar." hidden="1">{"Enerji maden dolar",#N/A,FALSE,"9511kar($)"}</definedName>
    <definedName name="wrn.Ensemble_client." hidden="1">{"ratios",#N/A,FALSE,"Analyse";"multiples",#N/A,FALSE,"Analyse";"places",#N/A,FALSE,"Analyse";"résultats_édition client",#N/A,FALSE,"Résultats";"reg_edition client",#N/A,FALSE,"Regressions";"SYNTHESE",#N/A,FALSE,"Synthese"}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hidden="1">{#N/A,#N/A,FALSE,"ExitStratigy"}</definedName>
    <definedName name="wrn.Far._.East._.Set." hidden="1">{"IS FE with Ratios",#N/A,FALSE,"Far East";"PF CF Far East",#N/A,FALSE,"Far East";"DCF Far East Matrix",#N/A,FALSE,"Far East"}</definedName>
    <definedName name="wrn.FE._.Sensitivity." hidden="1">{"Far East Top",#N/A,FALSE,"FE Model";"Far East Mid",#N/A,FALSE,"FE Model";"Far East Base",#N/A,FALSE,"FE Model"}</definedName>
    <definedName name="wrn.Fergus._.and._.Nigel._.Variances." hidden="1">{"Total",#N/A,FALSE,"TOTAL";"5300",#N/A,FALSE,"5300";"5302",#N/A,FALSE,"5302";"5303",#N/A,FALSE,"5303";"5304",#N/A,FALSE,"5304";"5305",#N/A,FALSE,"5305";"5306",#N/A,FALSE,"5306";"Conformance",#N/A,FALSE,"CONFORM"}</definedName>
    <definedName name="wrn.Final._.Copy." hidden="1">{#N/A,#N/A,TRUE,"Assumptions";#N/A,#N/A,TRUE,"Financial  Statements";#N/A,#N/A,TRUE,"Unl. Free CF Valuation ";#N/A,#N/A,TRUE,"Funding Schedule";#N/A,#N/A,TRUE,"High Yield &amp; Equity Schedule"}</definedName>
    <definedName name="wrn.financial._.model." hidden="1">{#N/A,#N/A,FALSE,"Financials";#N/A,#N/A,FALSE,"B.S.";#N/A,#N/A,FALSE,"Costs";#N/A,#N/A,FALSE,"Fixed Assets";#N/A,#N/A,FALSE,"DCF";#N/A,#N/A,FALSE,"AVP"}</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hidden="1">{"Finansman",#N/A,FALSE,"9511kar(TL)"}</definedName>
    <definedName name="wrn.Finansman._.dolar." hidden="1">{"Finansman dolar",#N/A,FALSE,"9511kar($)"}</definedName>
    <definedName name="wrn.FINSTM." hidden="1">{#N/A,#N/A,FALSE,"P&amp;L";#N/A,#N/A,FALSE,"BS";#N/A,#N/A,FALSE,"HILITE";#N/A,#N/A,FALSE,"KEY"}</definedName>
    <definedName name="wrn.Flash." hidden="1">{#N/A,#N/A,FALSE,"JKFLASH2";#N/A,#N/A,FALSE,"Page 4";#N/A,#N/A,FALSE,"page 3"}</definedName>
    <definedName name="wrn.FNMA22PI." localSheetId="0" hidden="1">{#N/A,#N/A,FALSE,"fnma22pi";#N/A,#N/A,FALSE,"1888144"}</definedName>
    <definedName name="wrn.FNMA22PI." localSheetId="2" hidden="1">{#N/A,#N/A,FALSE,"fnma22pi";#N/A,#N/A,FALSE,"1888144"}</definedName>
    <definedName name="wrn.FNMA22PI." localSheetId="3"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9"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3" hidden="1">{#N/A,#N/A,FALSE,"fnma22pi";#N/A,#N/A,FALSE,"1888144"}</definedName>
    <definedName name="wrn.FNMA22PI." localSheetId="14" hidden="1">{#N/A,#N/A,FALSE,"fnma22pi";#N/A,#N/A,FALSE,"1888144"}</definedName>
    <definedName name="wrn.FNMA22PI." localSheetId="16" hidden="1">{#N/A,#N/A,FALSE,"fnma22pi";#N/A,#N/A,FALSE,"1888144"}</definedName>
    <definedName name="wrn.FNMA22PI." hidden="1">{#N/A,#N/A,FALSE,"fnma22pi";#N/A,#N/A,FALSE,"1888144"}</definedName>
    <definedName name="wrn.fred." hidden="1">{"cover",#N/A,TRUE,"BaseCase";"pnl",#N/A,TRUE,"BaseCase";"pnldet",#N/A,TRUE,"BaseCase";"bil",#N/A,TRUE,"BaseCase";"tabfi",#N/A,TRUE,"BaseCase";"ratios",#N/A,TRUE,"BaseCase";"variab",#N/A,TRUE,"BaseCase";"inv",#N/A,TRUE,"BaseCase"}</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hidden="1">{#N/A,#N/A,TRUE,"Cover sheet";#N/A,#N/A,TRUE,"Summary";#N/A,#N/A,TRUE,"Key Assumptions";#N/A,#N/A,TRUE,"Profit &amp; Loss";#N/A,#N/A,TRUE,"Balance Sheet";#N/A,#N/A,TRUE,"Cashflow";#N/A,#N/A,TRUE,"IRR";#N/A,#N/A,TRUE,"Ratios";#N/A,#N/A,TRUE,"Debt analysis"}</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hidden="1">{#N/A,#N/A,TRUE,"Consolidated";#N/A,#N/A,TRUE,"New Home";#N/A,#N/A,TRUE,"Resale";#N/A,#N/A,TRUE,"Insurance";#N/A,#N/A,TRUE,"Services";#N/A,#N/A,TRUE,"Comparison";#N/A,#N/A,TRUE,"Intercompany Adjustments";#N/A,#N/A,TRUE,"FCF";#N/A,#N/A,TRUE,"DCF";#N/A,#N/A,TRUE,"DCF_Sensitivity"}</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hidden="1">{"Funding Summary",#N/A,FALSE,"P&amp;L Analysis"}</definedName>
    <definedName name="wrn.funds." hidden="1">{"gscp",#N/A,FALSE,"Funds";"asia",#N/A,FALSE,"Funds";"gscp",#N/A,FALSE,"Funds";"gscpII",#N/A,FALSE,"Funds"}</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CC." hidden="1">{#N/A,#N/A,FALSE,"IRR"}</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hidden="1">{#N/A,#N/A,FALSE,"Output";#N/A,#N/A,FALSE,"Cover Sheet";#N/A,#N/A,FALSE,"Current Mkt. Projections"}</definedName>
    <definedName name="wrn.HOLDCO." hidden="1">{"page1",#N/A,FALSE,"TEMPLATE";"page2",#N/A,FALSE,"TEMPLATE";"page3",#N/A,FALSE,"TEMPLATE";"page3a",#N/A,FALSE,"TEMPLATE";"page4",#N/A,FALSE,"TEMPLATE"}</definedName>
    <definedName name="wrn.imp." hidden="1">{"vue1",#N/A,FALSE,"synthese";"vue2",#N/A,FALSE,"synthese"}</definedName>
    <definedName name="wrn.IMPRESION." hidden="1">{#N/A,#N/A,FALSE,"Hoja1";#N/A,#N/A,FALSE,"Hoja2"}</definedName>
    <definedName name="wrn.Income._.Statement." hidden="1">{#N/A,#N/A,FALSE}</definedName>
    <definedName name="wrn.Input." hidden="1">{"données",#N/A,FALSE,"Input"}</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hidden="1">{"Input1",#N/A,FALSE,"PF";"Input2",#N/A,FALSE,"PF";"Input3",#N/A,FALSE,"PF"}</definedName>
    <definedName name="wrn.Inputs.2" hidden="1">{"Input1",#N/A,FALSE,"PF";"Input2",#N/A,FALSE,"PF";"Input3",#N/A,FALSE,"PF"}</definedName>
    <definedName name="wrn.İnşaat." hidden="1">{"İnşaat",#N/A,FALSE,"9511kar(TL)"}</definedName>
    <definedName name="wrn.İnşaat._.dolar." hidden="1">{"İnşaatdolar",#N/A,FALSE,"9511kar($)"}</definedName>
    <definedName name="wrn.international." hidden="1">{"sweden",#N/A,FALSE,"Sweden";"germany",#N/A,FALSE,"Germany";"portugal",#N/A,FALSE,"Portugal";"belgium",#N/A,FALSE,"Belgium";"japan",#N/A,FALSE,"Japan ";"italy",#N/A,FALSE,"Italy";"spain",#N/A,FALSE,"Spain";"korea",#N/A,FALSE,"Korea"}</definedName>
    <definedName name="wrn.IPO._.Valuation." hidden="1">{"assumptions",#N/A,FALSE,"Scenario 1";"valuation",#N/A,FALSE,"Scenario 1"}</definedName>
    <definedName name="wrn.IRR." hidden="1">{"IRR",#N/A,FALSE,"Model"}</definedName>
    <definedName name="wrn.JAP._.CONS._.OTB." hidden="1">{"CON US6",#N/A,FALSE,"CONS";"JAPAN US3",#N/A,FALSE,"JAP";"OTB WITH ALT US6",#N/A,FALSE,"OTB";"OTB US5",#N/A,FALSE,"OTB"}</definedName>
    <definedName name="wrn.JG._.FE._.Dollar." hidden="1">{"JG FE Top",#N/A,FALSE,"JG FE $";"JG FE Bottom",#N/A,FALSE,"JG FE $"}</definedName>
    <definedName name="wrn.JG._.FE._.Yen." hidden="1">{"JG FE Top",#N/A,FALSE,"JG FE ¥";"JG FE Bottom",#N/A,FALSE,"JG FE ¥"}</definedName>
    <definedName name="wrn.June." hidden="1">{"det (May)",#N/A,FALSE,"June";"sum (MAY YTD)",#N/A,FALSE,"June YTD"}</definedName>
    <definedName name="wrn.Kenngb." hidden="1">{#N/A,#N/A,FALSE,"SKG_SC";#N/A,#N/A,FALSE,"SKG_KP";#N/A,#N/A,FALSE,"SCG_KC";#N/A,#N/A,FALSE,"SKG_PM";#N/A,#N/A,FALSE,"SKG_Asta";#N/A,#N/A,FALSE,"SKG_DE";#N/A,#N/A,FALSE,"SKG_FA";#N/A,#N/A,FALSE,"SKG_EM";#N/A,#N/A,FALSE,"SKG_AK";#N/A,#N/A,FALSE,"SKG_CER";#N/A,#N/A,FALSE,"SKG_BA";#N/A,#N/A,FALSE,"SKG_KO"}</definedName>
    <definedName name="wrn.Koç._.Top." hidden="1">{"Koç Top",#N/A,FALSE,"9511kar(TL)"}</definedName>
    <definedName name="wrn.KOÇ._.TOP._.2." hidden="1">{"KOÇ TOP 2",#N/A,FALSE,"9511kar(TL)"}</definedName>
    <definedName name="wrn.Koç._.Top._.dolar." hidden="1">{"Koç Top dolar",#N/A,FALSE,"9511kar($)"}</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gal." hidden="1">{"long",#N/A,FALSE,"ESC"}</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hidden="1">{"Line Efficiency",#N/A,FALSE,"Benchmarking"}</definedName>
    <definedName name="wrn.LoanInformation." hidden="1">{#N/A,#N/A,FALSE,"LoanAssumptions"}</definedName>
    <definedName name="wrn.Lyndas._.variances." hidden="1">{"5303",#N/A,FALSE,"5303";"5304",#N/A,FALSE,"5304";"5306",#N/A,FALSE,"5306"}</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hidden="1">{"Area1",#N/A,TRUE,"Obiettivo";"Area2",#N/A,TRUE,"Dati per Direzione"}</definedName>
    <definedName name="wrn.Mario." hidden="1">{"Area1",#N/A,TRUE,"Obiettivo";"Area2",#N/A,TRUE,"Dati per Direzione"}</definedName>
    <definedName name="wrn.Marks._.variances." hidden="1">{"5303",#N/A,FALSE,"5303"}</definedName>
    <definedName name="wrn.memo." hidden="1">{#N/A,#N/A,TRUE,"financial";#N/A,#N/A,TRUE,"plants"}</definedName>
    <definedName name="wrn.Memorial." hidden="1">{"Savings",#N/A,FALSE,"Memorial OP Surgery 090997";"OPS",#N/A,FALSE,"Memorial OP Surgery 090997"}</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onthly._.Report." hidden="1">{#N/A,#N/A,TRUE,"Sales Comparison";#N/A,#N/A,TRUE,"Cum. Summary FFR";#N/A,#N/A,TRUE,"Monthly Summary FFR";#N/A,#N/A,TRUE,"Cum. Summary TL";#N/A,#N/A,TRUE,"Monthly Summary TL"}</definedName>
    <definedName name="wrn.Monthly._.Variance._.Reports." hidden="1">{"Total Header",#N/A,FALSE,"Headers for Reports";"Variance Report Prints",#N/A,FALSE,"travel";"Variance Report Prints",#N/A,FALSE,"Cost Centre Summary"}</definedName>
    <definedName name="wrn.MonthlyRentRoll." hidden="1">{"MonthlyRentRoll",#N/A,FALSE,"RentRoll"}</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hidden="1">{"NA Top",#N/A,FALSE,"NA Model";"NA Bottom",#N/A,FALSE,"NA Model"}</definedName>
    <definedName name="wrn.NA_ULV._.Tand._.B." hidden="1">{"NA Top",#N/A,FALSE,"NA-ULV";"NA Bottom",#N/A,FALSE,"NA-ULV"}</definedName>
    <definedName name="wrn.newDEV." hidden="1">{"cover",#N/A,TRUE,"Cover";"pnl_NEWDEV",#N/A,TRUE,"NewCaseDEV";"bil_NEWDEV",#N/A,TRUE,"NewCaseDEV";"tabfi_NEWDEV",#N/A,TRUE,"NewCaseDEV";"ratios_NEWDEV",#N/A,TRUE,"NewCaseDEV";"variab_NEWDEV",#N/A,TRUE,"NewCaseDEV";"inv_NEWDEV",#N/A,TRUE,"NewCaseDEV"}</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2" hidden="1">{#N/A,#N/A,FALSE,"Sheet16";#N/A,#N/A,FALSE,"Sheet17";#N/A,#N/A,FALSE,"Sheet15";#N/A,#N/A,FALSE,"Sheet14";#N/A,#N/A,FALSE,"Sheet13";#N/A,#N/A,FALSE,"Sheet12";#N/A,#N/A,FALSE,"Sheet11";#N/A,#N/A,FALSE,"Sheet10";#N/A,#N/A,FALSE,"Sheet8";#N/A,#N/A,FALSE,"Sheet6";#N/A,#N/A,FALSE,"Sheet7";#N/A,#N/A,FALSE,"Sheet5";#N/A,#N/A,FALSE,"Sheet1";#N/A,#N/A,FALSE,"Sheet4"}</definedName>
    <definedName name="wrn.NORMMRPT." localSheetId="3"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9"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3"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hidden="1">{"NA Is w Ratios",#N/A,FALSE,"North America";"PF CFlow NA",#N/A,FALSE,"North America";"NA DCF Matrix",#N/A,FALSE,"North America"}</definedName>
    <definedName name="wrn.NOTA._.INTEGRATIVA._.TITOLI." hidden="1">{#N/A,#N/A,FALSE,"2";#N/A,#N/A,FALSE,"2,1";#N/A,#N/A,FALSE,"Var annue tit.imm. ";#N/A,#N/A,FALSE,"2,3";#N/A,#N/A,FALSE,"Var annue titoli - prospetto"}</definedName>
    <definedName name="wrn.OP._.Case._.Rates." hidden="1">{"OP Case Rates",#N/A,FALSE,"OP Case Rates"}</definedName>
    <definedName name="wrn.OperatingAssumtions." hidden="1">{#N/A,#N/A,FALSE,"OperatingAssumptions"}</definedName>
    <definedName name="wrn.Otosan." hidden="1">{"Otosan",#N/A,FALSE,"9511kar(TL)"}</definedName>
    <definedName name="wrn.Otosandolar." hidden="1">{"Otosandolar",#N/A,FALSE,"9511kar($)"}</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hidden="1">{"Page1",#N/A,FALSE,"Model"}</definedName>
    <definedName name="wrn.Pendleton." hidden="1">{"Savings",#N/A,FALSE,"Pendleton OP Surgery 09097";"OPS",#N/A,FALSE,"Pendleton OP Surgery 09097"}</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hidden="1">{"p_l",#N/A,FALSE,"Summary Accounts"}</definedName>
    <definedName name="wrn.pr3sty." hidden="1">{#N/A,#N/A,FALSE,"intag";#N/A,#N/A,FALSE,"budg";#N/A,#N/A,FALSE,"samtl"}</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{#N/A,#N/A,TRUE,"Summary";"AnnualRentRoll",#N/A,TRUE,"RentRoll";#N/A,#N/A,TRUE,"ExitStratigy";#N/A,#N/A,TRUE,"OperatingAssumptions"}</definedName>
    <definedName name="wrn.PRESS._.RELEASE." hidden="1">{#N/A,#N/A,FALSE,"SUM";#N/A,#N/A,FALSE,"QLOSS"}</definedName>
    <definedName name="wrn.Price._.Multiples." hidden="1">{"Comp1",#N/A,FALSE,"Comps"}</definedName>
    <definedName name="wrn.PrimeCo." hidden="1">{"print 1",#N/A,FALSE,"PrimeCo PCS";"print 2",#N/A,FALSE,"PrimeCo PCS";"valuation",#N/A,FALSE,"PrimeCo PCS"}</definedName>
    <definedName name="wrn.print." hidden="1">{#N/A,#N/A,FALSE,"Japan 2003";#N/A,#N/A,FALSE,"Sheet2"}</definedName>
    <definedName name="wrn.print._.all." hidden="1">{"sum of the parts",#N/A,FALSE,"Sum-of-the-Parts";"LBO analysis",#N/A,FALSE,"LBO P&amp;L";"p&amp;L",#N/A,FALSE,"LBO P&amp;L";"cash flow",#N/A,FALSE,"CF";"cap struct",#N/A,FALSE,"LBO P&amp;L";"equity return",#N/A,FALSE,"return"}</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hidden="1">{"Print Top",#N/A,FALSE,"Europe Model";"Print Bottom",#N/A,FALSE,"Europe Model"}</definedName>
    <definedName name="wrn.Print._.FE._.T._.and._.B." hidden="1">{"Far East Top",#N/A,FALSE,"FE Model";"Far East Bottom",#N/A,FALSE,"FE Model"}</definedName>
    <definedName name="wrn.PRINT._.FULL."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hidden="1">{"cap_structure",#N/A,FALSE,"Graph-Mkt Cap";"price",#N/A,FALSE,"Graph-Price";"ebit",#N/A,FALSE,"Graph-EBITDA";"ebitda",#N/A,FALSE,"Graph-EBITDA"}</definedName>
    <definedName name="wrn.print._.pages." hidden="1">{#N/A,#N/A,FALSE,"Spain MKT";#N/A,#N/A,FALSE,"Assumptions";#N/A,#N/A,FALSE,"Adve";#N/A,#N/A,FALSE,"E-Commerce";#N/A,#N/A,FALSE,"Opex";#N/A,#N/A,FALSE,"P&amp;L";#N/A,#N/A,FALSE,"FCF &amp; DCF"}</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hidden="1">{"inputs raw data",#N/A,TRUE,"INPUT"}</definedName>
    <definedName name="wrn.Print._.Report." hidden="1">{"Comp1",#N/A,FALSE,"Comps";"Comp2",#N/A,FALSE,"Comps";"Comp3",#N/A,FALSE,"Comps";"Comp5",#N/A,FALSE,"Comps";"Comp4",#N/A,FALSE,"Comps"}</definedName>
    <definedName name="wrn.print._.standalone." hidden="1">{"standalone1",#N/A,FALSE,"DCFBase";"standalone2",#N/A,FALSE,"DCFBase"}</definedName>
    <definedName name="wrn.print._.summary._.sheets." hidden="1">{"summary1",#N/A,TRUE,"Comps";"summary2",#N/A,TRUE,"Comps";"summary3",#N/A,TRUE,"Comps"}</definedName>
    <definedName name="wrn.Print._.Titlepage._.Template." hidden="1">{#N/A,#N/A,FALSE,"Titlepage Template";#N/A,#N/A,FALSE,"Sheet2"}</definedName>
    <definedName name="wrn.print.2" hidden="1">{"page1",#N/A,FALSE,"PF";"page2",#N/A,FALSE,"PF";"page3",#N/A,FALSE,"PF";"page4",#N/A,FALSE,"Bal_Sht"}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hidden="1">{"page1",#N/A,FALSE,"PF";"page2",#N/A,FALSE,"PF";"page3",#N/A,FALSE,"PF";"page4",#N/A,FALSE,"Bal_Sht"}</definedName>
    <definedName name="wrn.PRINT12" hidden="1">{"page1",#N/A,FALSE,"PF";"page2",#N/A,FALSE,"PF";"page3",#N/A,FALSE,"PF";"page4",#N/A,FALSE,"Bal_Sht"}</definedName>
    <definedName name="wrn.Profit._.and._.Loss." hidden="1">{"Profit and Loss",#N/A,FALSE,"Model"}</definedName>
    <definedName name="wrn.PropertyInformation." hidden="1">{#N/A,#N/A,FALSE,"PropertyInfo"}</definedName>
    <definedName name="wrn.PROSPETTI._.PROFORMA." hidden="1">{#N/A,#N/A,FALSE,"A3";#N/A,#N/A,FALSE,"AT2";#N/A,#N/A,FALSE,"PA2";#N/A,#N/A,FALSE,"GI2";#N/A,#N/A,FALSE,"EC2"}</definedName>
    <definedName name="wrn.public." hidden="1">{"Foreign_currency",#N/A,FALSE,"Public Market Values_Currency";"Public_values",#N/A,FALSE,"Public Market Values_Currency"}</definedName>
    <definedName name="wrn.Pulp." hidden="1">{"Pulp Production",#N/A,FALSE,"Pulp";"Pulp Earnings",#N/A,FALSE,"Pulp"}</definedName>
    <definedName name="wrn.PVFP._.Output." hidden="1">{#N/A,#N/A,TRUE,"Summary";#N/A,#N/A,TRUE,"IFA";#N/A,#N/A,TRUE,"AAN";#N/A,#N/A,TRUE,"ASLD";#N/A,#N/A,TRUE,"Key";#N/A,#N/A,TRUE,"Other"}</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hidden="1">{"ratios",#N/A,FALSE,"Summary Accounts"}</definedName>
    <definedName name="wrn.Régression_client." hidden="1">{"reg_edition client",#N/A,FALSE,"Regressions"}</definedName>
    <definedName name="wrn.Régression_travail." hidden="1">{"reg_travail",#N/A,FALSE,"Regressions"}</definedName>
    <definedName name="wrn.régressions._.corrigées." hidden="1">{"regression corrigées",#N/A,FALSE,"Regressions"}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hidden="1">{"lbo-1",#N/A,FALSE,"TEMPLATE";"lbo-2",#N/A,FALSE,"TEMPLATE";"lbo-3",#N/A,FALSE,"TEMPLATE";"lbo-4",#N/A,FALSE,"TEMPLATE";"lbo-5",#N/A,FALSE,"TEMPLATE"}</definedName>
    <definedName name="wrn.Report1." hidden="1">{#N/A,#N/A,FALSE,"Operations";#N/A,#N/A,FALSE,"Financials"}</definedName>
    <definedName name="wrn.Reporte._.1." hidden="1">{#N/A,#N/A,FALSE,"PRECIO FULL";#N/A,#N/A,FALSE,"LARA";#N/A,#N/A,FALSE,"CARACAS";#N/A,#N/A,FALSE,"DISBRACENTRO";#N/A,#N/A,FALSE,"ANDES";#N/A,#N/A,FALSE,"MAR CARIBE";#N/A,#N/A,FALSE,"RIO BEER";#N/A,#N/A,FALSE,"DISBRAH"}</definedName>
    <definedName name="wrn.Résultats_édition._.client." hidden="1">{"résultats_édition client",#N/A,FALSE,"Résultats"}</definedName>
    <definedName name="wrn.Résultats_travail." hidden="1">{"res_travail",#N/A,FALSE,"Résultats"}</definedName>
    <definedName name="wrn.RESUMEN." hidden="1">{"RESUMEN",#N/A,FALSE,"RESUMEN";"RESUMEN_MARG",#N/A,FALSE,"RESUMEN"}</definedName>
    <definedName name="wrn.RGD_BG_FC." hidden="1">{#N/A,#N/A,FALSE,"RGD$";#N/A,#N/A,FALSE,"BG$";#N/A,#N/A,FALSE,"FC$"}</definedName>
    <definedName name="wrn.Roberts._.variances." hidden="1">{"5304",#N/A,FALSE,"5304"}</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hidden="1">{#N/A,#N/A,FALSE,"H1H2";"Sales by division",#N/A,FALSE,"H1H2";"LFL assumptions",#N/A,FALSE,"H1H2"}</definedName>
    <definedName name="wrn.SAMANDR." hidden="1">{#N/A,#N/A,FALSE,"94-95";"SAMANDR",#N/A,FALSE,"94-95"}</definedName>
    <definedName name="wrn.sens." hidden="1">{"sens1\",#N/A,FALSE,"PF";"sens2",#N/A,FALSE,"PF";"sens3",#N/A,FALSE,"PF";"sens4",#N/A,FALSE,"PF"}</definedName>
    <definedName name="wrn.sensitivity." hidden="1">{"sensitivity",#N/A,FALSE,"Sensitivity"}</definedName>
    <definedName name="wrn.sensitivity._.analyses." hidden="1">{"general",#N/A,FALSE,"Assumptions"}</definedName>
    <definedName name="wrn.Short._.Print." hidden="1">{#N/A,#N/A,FALSE,"Summary";#N/A,#N/A,FALSE,"Returns";#N/A,#N/A,FALSE,"Opening BS";#N/A,#N/A,FALSE,"EMO";#N/A,#N/A,FALSE,"BS";#N/A,#N/A,FALSE,"IS";#N/A,#N/A,FALSE,"Metalworking IS";#N/A,#N/A,FALSE,"CFS";#N/A,#N/A,FALSE,"Ratios"}</definedName>
    <definedName name="wrn.SKSCS1." hidden="1">{#N/A,#N/A,FALSE,"Antony Financials";#N/A,#N/A,FALSE,"Cowboy Financials";#N/A,#N/A,FALSE,"Combined";#N/A,#N/A,FALSE,"Valuematrix";#N/A,#N/A,FALSE,"DCFAntony";#N/A,#N/A,FALSE,"DCFCowboy";#N/A,#N/A,FALSE,"DCFCombined"}</definedName>
    <definedName name="wrn.Slidell." hidden="1">{"Savings",#N/A,FALSE,"Slidell OP Surgery 090997";"OPS",#N/A,FALSE,"Slidell OP Surgery 090997"}</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hidden="1">{#N/A,#N/A,FALSE,"CBE";#N/A,#N/A,FALSE,"SWK"}</definedName>
    <definedName name="wrn.summary" hidden="1">{#N/A,#N/A,FALSE,"Summary";#N/A,#N/A,FALSE,"CF";#N/A,#N/A,FALSE,"P&amp;L";"summary",#N/A,FALSE,"Returns";#N/A,#N/A,FALSE,"BS";"summary",#N/A,FALSE,"Analysis";#N/A,#N/A,FALSE,"Assumptions"}</definedName>
    <definedName name="wrn.Summary." hidden="1">{#N/A,#N/A,FALSE,"Summary"}</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2" hidden="1">{#N/A,#N/A,FALSE,"DELQ";#N/A,#N/A,FALSE,"REO";#N/A,#N/A,FALSE,"WATCHDSC";#N/A,#N/A,FALSE,"2LOSSMOD";#N/A,#N/A,FALSE,"2LOSS";#N/A,#N/A,FALSE,"DSC";#N/A,#N/A,FALSE,"OPERAT";#N/A,#N/A,FALSE,"ADJUST";#N/A,#N/A,FALSE,"PAIDOFF";#N/A,#N/A,FALSE,"TENANT";#N/A,#N/A,FALSE,"LEASE EXPIRE"}</definedName>
    <definedName name="wrn.surveillance." localSheetId="3"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9"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3"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hidden="1">{#N/A,#N/A,FALSE,"P.L.Full";#N/A,#N/A,FALSE,"P.L.Desc."}</definedName>
    <definedName name="wrn.TARGET._.DCF."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es." hidden="1">{"Def Tax Long",#N/A,TRUE,"Financials";"Def Tax Short",#N/A,TRUE,"Financials";"Cons Tax Sched",#N/A,TRUE,"Financials"}</definedName>
    <definedName name="wrn.Tekstil." hidden="1">{"Tekstil",#N/A,FALSE,"9511kar(TL)"}</definedName>
    <definedName name="wrn.Tekstil._.dolar." hidden="1">{"Tekstil dolar",#N/A,FALSE,"9511kar($)"}</definedName>
    <definedName name="wrn.test." hidden="1">{"test2",#N/A,TRUE,"Prices"}</definedName>
    <definedName name="wrn.Thomas_Case." hidden="1">{#N/A,#N/A,TRUE,"Thomas Case";#N/A,#N/A,TRUE,"Corporate Overhead";#N/A,#N/A,TRUE,"Arizona";#N/A,#N/A,TRUE,"Cal";#N/A,#N/A,TRUE,"Illinois";#N/A,#N/A,TRUE,"Indiana";#N/A,#N/A,TRUE,"Ohio";#N/A,#N/A,TRUE,"Pennsylvania";#N/A,#N/A,TRUE,"Growth";#N/A,#N/A,TRUE,"Anthem";#N/A,#N/A,TRUE,"Pipeline"}</definedName>
    <definedName name="wrn.Ticaret._.ve._.turizm." hidden="1">{"Ticaret ve turizm",#N/A,FALSE,"9511kar(TL)"}</definedName>
    <definedName name="wrn.Ticaret._.ve._.turizm._.dolar." hidden="1">{"Ticaret ve turizm dolar",#N/A,FALSE,"9511kar($)"}</definedName>
    <definedName name="wrn.Todas._.las._.tablas." hidden="1">{#N/A,#N/A,FALSE,"Resumen";#N/A,#N/A,FALSE,"Full";#N/A,"Carabeer",FALSE,"Dscto.";#N/A,"Disbracentro",FALSE,"Dscto.";#N/A,"Andes",FALSE,"Dscto.";#N/A,"Mar Caribe",FALSE,"Dscto.";#N/A,"Río Beer",FALSE,"Dscto.";#N/A,#N/A,FALSE,"P.L.Full";#N/A,#N/A,FALSE,"P.L.Desc."}</definedName>
    <definedName name="wrn.Tofaş." hidden="1">{"Tofaş",#N/A,FALSE,"9511kar(TL)"}</definedName>
    <definedName name="wrn.Tofaşdolar." hidden="1">{"Tofaşdolar",#N/A,FALSE,"9511kar($)"}</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hidden="1">{"comp1",#N/A,FALSE,"COMPS";"footnotes",#N/A,FALSE,"COMPS"}</definedName>
    <definedName name="wrn.Touro." hidden="1">{"Savings",#N/A,FALSE,"Touro OP Surgery 090997";"OPS",#N/A,FALSE,"Touro OP Surgery 090997"}</definedName>
    <definedName name="wrn.trans._.sum." hidden="1">{"trans assumptions",#N/A,FALSE,"Merger";"trans accretion",#N/A,FALSE,"Merger"}</definedName>
    <definedName name="wrn.Tüketim." hidden="1">{"Tüketim",#N/A,FALSE,"9511kar(TL)"}</definedName>
    <definedName name="wrn.Tüketim._.dolar." hidden="1">{"Tüketim dolar",#N/A,FALSE,"9511kar($)"}</definedName>
    <definedName name="wrn.Tweety." hidden="1">{#N/A,#N/A,FALSE,"A&amp;E";#N/A,#N/A,FALSE,"HighTop";#N/A,#N/A,FALSE,"JG";#N/A,#N/A,FALSE,"RI";#N/A,#N/A,FALSE,"woHT";#N/A,#N/A,FALSE,"woHT&amp;JG"}</definedName>
    <definedName name="wrn.UHCO._.Statutory._.Results." hidden="1">{#N/A,#N/A,FALSE,"UHCO Statutory Info ----&gt;";#N/A,#N/A,FALSE,"UHCO Source_Use";#N/A,#N/A,FALSE,"UHCO_Debt Paydown";#N/A,#N/A,FALSE,"Union Bankers";#N/A,#N/A,FALSE,"Penn Life";#N/A,#N/A,FALSE,"Constitution"}</definedName>
    <definedName name="wrn.UK._.Retail._.PLs." hidden="1">{"Clothing PL",#N/A,FALSE,"H1H2";"Food PL",#N/A,FALSE,"H1H2";"Group PL",#N/A,FALSE,"H1H2";"Home Furnishings PL",#N/A,FALSE,"H1H2"}</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TL._.Position." hidden="1">{"UTL effect",#N/A,FALSE,"Sensitivity"}</definedName>
    <definedName name="wrn.values" hidden="1">{"gs_bsif",#N/A,FALSE,"Values";"gs_rdcp",#N/A,FALSE,"Values";"SSF",#N/A,FALSE,"Values";"total",#N/A,FALSE,"Values"}</definedName>
    <definedName name="wrn.values." hidden="1">{"gs_bsif",#N/A,FALSE,"Values";"gs_rdcp",#N/A,FALSE,"Values";"SSF",#N/A,FALSE,"Values";"total",#N/A,FALSE,"Values"}</definedName>
    <definedName name="wrn.Yan._.sanayi." hidden="1">{"Yan sanayi",#N/A,FALSE,"9511kar(TL)"}</definedName>
    <definedName name="wrn.Yansanayidolar." hidden="1">{"Yansanayidolar",#N/A,FALSE,"9511kar($)"}</definedName>
    <definedName name="wrn.Детальный._.отчет." hidden="1">{#N/A,#N/A,FALSE,"Sheet1"}</definedName>
    <definedName name="wrn1.aug" hidden="1">{"det (May)",#N/A,FALSE,"June";"sum (MAY YTD)",#N/A,FALSE,"June YTD"}</definedName>
    <definedName name="wrn1.augtyd" hidden="1">{"det (May)",#N/A,FALSE,"June";"sum (MAY YTD)",#N/A,FALSE,"June YTD"}</definedName>
    <definedName name="wrn1.augyt" hidden="1">{"det (May)",#N/A,FALSE,"June";"sum (MAY YTD)",#N/A,FALSE,"June YTD"}</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hidden="1">{"det (May)",#N/A,FALSE,"June";"sum (MAY YTD)",#N/A,FALSE,"June YTD"}</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hidden="1">{"consolidated",#N/A,FALSE,"Sheet1";"cms",#N/A,FALSE,"Sheet1";"fse",#N/A,FALSE,"Sheet1"}</definedName>
    <definedName name="wrn2.Handout" hidden="1">{#N/A,#N/A,FALSE,"Output";#N/A,#N/A,FALSE,"Cover Sheet";#N/A,#N/A,FALSE,"Current Mkt. Projections"}</definedName>
    <definedName name="wrn2.june" hidden="1">{"det (May)",#N/A,FALSE,"June";"sum (MAY YTD)",#N/A,FALSE,"June YTD"}</definedName>
    <definedName name="wrnfy97" hidden="1">{#N/A,#N/A,FALSE,"FY97";#N/A,#N/A,FALSE,"FY98";#N/A,#N/A,FALSE,"FY99";#N/A,#N/A,FALSE,"FY00";#N/A,#N/A,FALSE,"FY01"}</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hidden="1">{#N/A,#N/A,FALSE,"FY97";#N/A,#N/A,FALSE,"FY98";#N/A,#N/A,FALSE,"FY99";#N/A,#N/A,FALSE,"FY00";#N/A,#N/A,FALSE,"FY01"}</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{"subs",#N/A,FALSE,"database ";"proportional",#N/A,FALSE,"database "}</definedName>
    <definedName name="www" hidden="1">{#N/A,#N/A,FALSE,"ORIX CSC"}</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hidden="1">{#N/A,#N/A,FALSE,"A&amp;E";#N/A,#N/A,FALSE,"HighTop";#N/A,#N/A,FALSE,"JG";#N/A,#N/A,FALSE,"RI";#N/A,#N/A,FALSE,"woHT";#N/A,#N/A,FALSE,"woHT&amp;JG"}</definedName>
    <definedName name="xbcbekdhehz" hidden="1">#REF!</definedName>
    <definedName name="xrm" hidden="1">{"vue1",#N/A,FALSE,"synthese";"vue2",#N/A,FALSE,"synthese"}</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hidden="1">{"det (May)",#N/A,FALSE,"June";"sum (MAY YTD)",#N/A,FALSE,"June YTD"}</definedName>
    <definedName name="xxxxx" hidden="1">{"10yp capex",#N/A,FALSE,"Celtel alternative 6"}</definedName>
    <definedName name="xxxxxx" hidden="1">{"10yp graphs",#N/A,FALSE,"Market Data"}</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hidden="1">{#N/A,#N/A,FALSE,"Aging Summary";#N/A,#N/A,FALSE,"Ratio Analysis";#N/A,#N/A,FALSE,"Test 120 Day Accts";#N/A,#N/A,FALSE,"Tickmarks"}</definedName>
    <definedName name="yrey" hidden="1">{"up stand alones",#N/A,FALSE,"Acquiror"}</definedName>
    <definedName name="yrtrt"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2" hidden="1">#REF!</definedName>
    <definedName name="yukyu" localSheetId="3" hidden="1">#REF!</definedName>
    <definedName name="yukyu" localSheetId="12" hidden="1">#REF!</definedName>
    <definedName name="yukyu" localSheetId="13" hidden="1">#REF!</definedName>
    <definedName name="yukyu" localSheetId="14" hidden="1">#REF!</definedName>
    <definedName name="yukyu" localSheetId="16" hidden="1">#REF!</definedName>
    <definedName name="yukyu" hidden="1">#REF!</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hidden="1">{"ratios",#N/A,FALSE,"Summary Accounts"}</definedName>
    <definedName name="yy" hidden="1">{"Eur Base Top",#N/A,FALSE,"Europe Base";"Eur Base Bottom",#N/A,FALSE,"Europe Base"}</definedName>
    <definedName name="YYY" hidden="1">{"mgmt forecast",#N/A,FALSE,"Mgmt Forecast";"dcf table",#N/A,FALSE,"Mgmt Forecast";"sensitivity",#N/A,FALSE,"Mgmt Forecast";"table inputs",#N/A,FALSE,"Mgmt Forecast";"calculations",#N/A,FALSE,"Mgmt Forecast"}</definedName>
    <definedName name="yyyyyy" hidden="1">{"p_l",#N/A,FALSE,"Summary Accounts"}</definedName>
    <definedName name="zeljka" hidden="1">{"det (May)",#N/A,FALSE,"June";"sum (MAY YTD)",#N/A,FALSE,"June YTD"}</definedName>
    <definedName name="zeljka1" hidden="1">{"det (May)",#N/A,FALSE,"June";"sum (MAY YTD)",#N/A,FALSE,"June YTD"}</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hidden="1">{"det (May)",#N/A,FALSE,"June";"sum (MAY YTD)",#N/A,FALSE,"June YTD"}</definedName>
    <definedName name="zez" localSheetId="0" hidden="1">#REF!</definedName>
    <definedName name="zez" localSheetId="2" hidden="1">#REF!</definedName>
    <definedName name="zez" localSheetId="3" hidden="1">#REF!</definedName>
    <definedName name="zez" localSheetId="12" hidden="1">#REF!</definedName>
    <definedName name="zez" localSheetId="13" hidden="1">#REF!</definedName>
    <definedName name="zez" localSheetId="14" hidden="1">#REF!</definedName>
    <definedName name="zez" localSheetId="16" hidden="1">#REF!</definedName>
    <definedName name="zez" hidden="1">#REF!</definedName>
    <definedName name="zldjfldjkasjfkljal" hidden="1">{#N/A,#N/A,FALSE,"DAOCM 2차 검토"}</definedName>
    <definedName name="zvxcxv" hidden="1">{"IS FE with Ratios",#N/A,FALSE,"Far East";"PF CF Far East",#N/A,FALSE,"Far East";"DCF Far East Matrix",#N/A,FALSE,"Far East"}</definedName>
    <definedName name="zxcxzc" hidden="1">{"det (May)",#N/A,FALSE,"June";"sum (MAY YTD)",#N/A,FALSE,"June YTD"}</definedName>
    <definedName name="zxczxc" hidden="1">{"det (May)",#N/A,FALSE,"June";"sum (MAY YTD)",#N/A,FALSE,"June YTD"}</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hidden="1">{"AR",#N/A,FALSE,"ASMGTSUM";"INV",#N/A,FALSE,"ASMGTSUM";"HCCOMP",#N/A,FALSE,"ASMGTSUM";"cap.depr",#N/A,FALSE,"ASMGTSUM"}</definedName>
    <definedName name="관리" hidden="1">{#N/A,#N/A,FALSE,"DAOCM 2차 검토"}</definedName>
    <definedName name="권혁성" hidden="1">{#N/A,#N/A,FALSE,"DAOCM 2차 검토"}</definedName>
    <definedName name="나라" hidden="1">{#N/A,#N/A,FALSE,"DAOCM 2차 검토"}</definedName>
    <definedName name="대여" hidden="1">{#N/A,#N/A,FALSE,"DAOCM 2차 검토"}</definedName>
    <definedName name="매출" hidden="1">{#N/A,#N/A,FALSE,"DAOCM 2차 검토"}</definedName>
    <definedName name="본사" hidden="1">{#N/A,#N/A,FALSE,"DAOCM 2차 검토"}</definedName>
    <definedName name="수수료" hidden="1">{#N/A,#N/A,FALSE,"DAOCM 2차 검토"}</definedName>
    <definedName name="수입" hidden="1">{#N/A,#N/A,FALSE,"DAOCM 2차 검토"}</definedName>
    <definedName name="수출3" hidden="1">{#N/A,#N/A,FALSE,"DAOCM 2차 검토"}</definedName>
    <definedName name="ㅇㅇ" hidden="1">{#N/A,#N/A,FALSE,"DAOCM 2차 검토"}</definedName>
    <definedName name="원가" hidden="1">{#N/A,#N/A,FALSE,"DAOCM 2차 검토"}</definedName>
    <definedName name="이통" hidden="1">{#N/A,#N/A,FALSE,"DAOCM 2차 검토"}</definedName>
    <definedName name="전송영업1" hidden="1">{#N/A,#N/A,FALSE,"DAOCM 2차 검토"}</definedName>
    <definedName name="전송영업2" hidden="1">{#N/A,#N/A,FALSE,"DAOCM 2차 검토"}</definedName>
    <definedName name="정주" hidden="1">{#N/A,#N/A,FALSE,"DAOCM 2차 검토"}</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23177" l="1"/>
  <c r="L15" i="23195"/>
  <c r="L17" i="23208" s="1"/>
  <c r="E16" i="23208"/>
  <c r="F16" i="23208" s="1"/>
  <c r="G16" i="23208"/>
  <c r="M16" i="23208"/>
  <c r="P16" i="23208"/>
  <c r="Q16" i="23208"/>
  <c r="R16" i="23208"/>
  <c r="S16" i="23208"/>
  <c r="T16" i="23208"/>
  <c r="U16" i="23208"/>
  <c r="V16" i="23208"/>
  <c r="Y16" i="23208"/>
  <c r="G17" i="23208"/>
  <c r="M17" i="23208"/>
  <c r="P17" i="23208"/>
  <c r="Q17" i="23208"/>
  <c r="R17" i="23208"/>
  <c r="S17" i="23208"/>
  <c r="T17" i="23208"/>
  <c r="U17" i="23208"/>
  <c r="V17" i="23208"/>
  <c r="Y17" i="23208"/>
  <c r="M17" i="23204"/>
  <c r="L17" i="23204"/>
  <c r="J9" i="39"/>
  <c r="I119" i="23210"/>
  <c r="I118" i="23210"/>
  <c r="I195" i="23210"/>
  <c r="H17" i="23208" l="1"/>
  <c r="O17" i="23208" s="1"/>
  <c r="Z16" i="23208"/>
  <c r="I193" i="23210"/>
  <c r="I199" i="23210" s="1"/>
  <c r="J79" i="23210"/>
  <c r="K79" i="23210"/>
  <c r="L79" i="23210"/>
  <c r="M79" i="23210"/>
  <c r="N79" i="23210"/>
  <c r="O79" i="23210"/>
  <c r="P79" i="23210"/>
  <c r="Q79" i="23210"/>
  <c r="R79" i="23210"/>
  <c r="I79" i="23210"/>
  <c r="L75" i="23210"/>
  <c r="L72" i="23210"/>
  <c r="L73" i="23210" s="1"/>
  <c r="K72" i="23210"/>
  <c r="K73" i="23210" s="1"/>
  <c r="J72" i="23210"/>
  <c r="J73" i="23210" s="1"/>
  <c r="I72" i="23210"/>
  <c r="I73" i="23210" s="1"/>
  <c r="AC50" i="23209" l="1"/>
  <c r="AD50" i="23209"/>
  <c r="AE50" i="23209"/>
  <c r="AF50" i="23209"/>
  <c r="AG50" i="23209"/>
  <c r="AH50" i="23209"/>
  <c r="AI50" i="23209"/>
  <c r="AJ50" i="23209"/>
  <c r="AK50" i="23209"/>
  <c r="AL50" i="23209"/>
  <c r="W50" i="23209"/>
  <c r="X50" i="23209"/>
  <c r="Y50" i="23209"/>
  <c r="Z50" i="23209"/>
  <c r="AA50" i="23209"/>
  <c r="AB50" i="23209"/>
  <c r="N50" i="23209"/>
  <c r="O50" i="23209"/>
  <c r="P50" i="23209"/>
  <c r="Q50" i="23209"/>
  <c r="R50" i="23209"/>
  <c r="S50" i="23209"/>
  <c r="T50" i="23209"/>
  <c r="U50" i="23209"/>
  <c r="V50" i="23209"/>
  <c r="J50" i="23209"/>
  <c r="K50" i="23209"/>
  <c r="L50" i="23209"/>
  <c r="M50" i="23209"/>
  <c r="I50" i="23209"/>
  <c r="I5" i="23209"/>
  <c r="J40" i="23210" l="1"/>
  <c r="J41" i="23210" s="1"/>
  <c r="I40" i="23210"/>
  <c r="I41" i="23210" s="1"/>
  <c r="J63" i="23210"/>
  <c r="I63" i="23210"/>
  <c r="J35" i="23210"/>
  <c r="I35" i="23210"/>
  <c r="J50" i="23210"/>
  <c r="I50" i="23210"/>
  <c r="J49" i="23210"/>
  <c r="I49" i="23210"/>
  <c r="J32" i="23210"/>
  <c r="I32" i="23210"/>
  <c r="J30" i="23210"/>
  <c r="J31" i="23210" s="1"/>
  <c r="I30" i="23210"/>
  <c r="I31" i="23210" s="1"/>
  <c r="I28" i="23210"/>
  <c r="J28" i="23210" s="1"/>
  <c r="I3" i="23210"/>
  <c r="I117" i="23210" s="1"/>
  <c r="I192" i="23210" l="1"/>
  <c r="I139" i="23210"/>
  <c r="I212" i="23210"/>
  <c r="I71" i="23210"/>
  <c r="J71" i="23210" s="1"/>
  <c r="K71" i="23210" s="1"/>
  <c r="L71" i="23210" s="1"/>
  <c r="I89" i="23210"/>
  <c r="N62" i="23209" a="1"/>
  <c r="Q62" i="23209" s="1"/>
  <c r="I62" i="23209" a="1"/>
  <c r="I62" i="23209" s="1"/>
  <c r="X62" i="23209" l="1"/>
  <c r="P62" i="23209"/>
  <c r="O62" i="23209"/>
  <c r="Z62" i="23209"/>
  <c r="N62" i="23209"/>
  <c r="Y62" i="23209"/>
  <c r="T62" i="23209"/>
  <c r="R62" i="23209"/>
  <c r="W62" i="23209"/>
  <c r="V62" i="23209"/>
  <c r="U62" i="23209"/>
  <c r="S62" i="23209"/>
  <c r="J62" i="23209"/>
  <c r="L62" i="23209"/>
  <c r="M62" i="23209"/>
  <c r="K62" i="23209"/>
  <c r="J61" i="23209"/>
  <c r="K61" i="23209"/>
  <c r="L61" i="23209"/>
  <c r="M61" i="23209"/>
  <c r="N61" i="23209"/>
  <c r="O61" i="23209"/>
  <c r="P61" i="23209"/>
  <c r="Q61" i="23209"/>
  <c r="R61" i="23209"/>
  <c r="S61" i="23209"/>
  <c r="T61" i="23209"/>
  <c r="U61" i="23209"/>
  <c r="V61" i="23209"/>
  <c r="W61" i="23209"/>
  <c r="X61" i="23209"/>
  <c r="Y61" i="23209"/>
  <c r="Z61" i="23209"/>
  <c r="I61" i="23209"/>
  <c r="I3" i="23209" l="1"/>
  <c r="AE48" i="23209" l="1"/>
  <c r="AF48" i="23209"/>
  <c r="AG48" i="23209"/>
  <c r="AH48" i="23209"/>
  <c r="AI48" i="23209"/>
  <c r="W48" i="23209"/>
  <c r="X48" i="23209"/>
  <c r="AJ48" i="23209"/>
  <c r="Y48" i="23209"/>
  <c r="AK48" i="23209"/>
  <c r="Z48" i="23209"/>
  <c r="AL48" i="23209"/>
  <c r="AA48" i="23209"/>
  <c r="AB48" i="23209"/>
  <c r="AC48" i="23209"/>
  <c r="AD48" i="23209"/>
  <c r="J48" i="23209"/>
  <c r="V48" i="23209"/>
  <c r="K48" i="23209"/>
  <c r="I48" i="23209"/>
  <c r="N48" i="23209"/>
  <c r="Q48" i="23209"/>
  <c r="R48" i="23209"/>
  <c r="O48" i="23209"/>
  <c r="P48" i="23209"/>
  <c r="T48" i="23209"/>
  <c r="U48" i="23209"/>
  <c r="I59" i="23209"/>
  <c r="J59" i="23209" s="1"/>
  <c r="L48" i="23209"/>
  <c r="M48" i="23209"/>
  <c r="S48" i="23209"/>
  <c r="W59" i="23209"/>
  <c r="L59" i="23209"/>
  <c r="X59" i="23209"/>
  <c r="P59" i="23209"/>
  <c r="R59" i="23209"/>
  <c r="H15" i="23195"/>
  <c r="U15" i="23195"/>
  <c r="E17" i="23208" s="1"/>
  <c r="L14" i="23195"/>
  <c r="L16" i="23208" s="1"/>
  <c r="H16" i="23208" s="1"/>
  <c r="O16" i="23208" s="1"/>
  <c r="H14" i="23195"/>
  <c r="P7" i="23208"/>
  <c r="P13" i="23208"/>
  <c r="P15" i="23208"/>
  <c r="P10" i="23208"/>
  <c r="P6" i="23208"/>
  <c r="P5" i="23208"/>
  <c r="E14" i="23208"/>
  <c r="F14" i="23208" s="1"/>
  <c r="G14" i="23208"/>
  <c r="M14" i="23208"/>
  <c r="P14" i="23208"/>
  <c r="Q14" i="23208"/>
  <c r="R14" i="23208"/>
  <c r="S14" i="23208"/>
  <c r="T14" i="23208"/>
  <c r="U14" i="23208"/>
  <c r="V14" i="23208"/>
  <c r="Y14" i="23208"/>
  <c r="E15" i="23208"/>
  <c r="Z15" i="23208" s="1"/>
  <c r="G15" i="23208"/>
  <c r="M15" i="23208"/>
  <c r="Q15" i="23208"/>
  <c r="R15" i="23208"/>
  <c r="S15" i="23208"/>
  <c r="T15" i="23208"/>
  <c r="U15" i="23208"/>
  <c r="V15" i="23208"/>
  <c r="Y15" i="23208"/>
  <c r="E5" i="23208"/>
  <c r="F5" i="23208" s="1"/>
  <c r="G5" i="23208"/>
  <c r="M5" i="23208"/>
  <c r="Q5" i="23208"/>
  <c r="R5" i="23208"/>
  <c r="S5" i="23208"/>
  <c r="T5" i="23208"/>
  <c r="U5" i="23208"/>
  <c r="V5" i="23208"/>
  <c r="Y5" i="23208"/>
  <c r="E6" i="23208"/>
  <c r="Z6" i="23208" s="1"/>
  <c r="G6" i="23208"/>
  <c r="M6" i="23208"/>
  <c r="Q6" i="23208"/>
  <c r="R6" i="23208"/>
  <c r="S6" i="23208"/>
  <c r="T6" i="23208"/>
  <c r="U6" i="23208"/>
  <c r="V6" i="23208"/>
  <c r="Y6" i="23208"/>
  <c r="E7" i="23208"/>
  <c r="Z7" i="23208" s="1"/>
  <c r="G7" i="23208"/>
  <c r="M7" i="23208"/>
  <c r="Q7" i="23208"/>
  <c r="R7" i="23208"/>
  <c r="S7" i="23208"/>
  <c r="T7" i="23208"/>
  <c r="U7" i="23208"/>
  <c r="V7" i="23208"/>
  <c r="Y7" i="23208"/>
  <c r="P8" i="23208"/>
  <c r="E8" i="23208"/>
  <c r="F8" i="23208" s="1"/>
  <c r="G8" i="23208"/>
  <c r="M8" i="23208"/>
  <c r="Q8" i="23208"/>
  <c r="R8" i="23208"/>
  <c r="S8" i="23208"/>
  <c r="T8" i="23208"/>
  <c r="U8" i="23208"/>
  <c r="V8" i="23208"/>
  <c r="Y8" i="23208"/>
  <c r="P9" i="23208"/>
  <c r="E9" i="23208"/>
  <c r="F9" i="23208" s="1"/>
  <c r="G9" i="23208"/>
  <c r="M9" i="23208"/>
  <c r="Q9" i="23208"/>
  <c r="R9" i="23208"/>
  <c r="S9" i="23208"/>
  <c r="T9" i="23208"/>
  <c r="U9" i="23208"/>
  <c r="V9" i="23208"/>
  <c r="Y9" i="23208"/>
  <c r="E10" i="23208"/>
  <c r="F10" i="23208" s="1"/>
  <c r="G10" i="23208"/>
  <c r="M10" i="23208"/>
  <c r="Q10" i="23208"/>
  <c r="R10" i="23208"/>
  <c r="S10" i="23208"/>
  <c r="T10" i="23208"/>
  <c r="U10" i="23208"/>
  <c r="V10" i="23208"/>
  <c r="Y10" i="23208"/>
  <c r="P11" i="23208"/>
  <c r="E11" i="23208"/>
  <c r="F11" i="23208" s="1"/>
  <c r="G11" i="23208"/>
  <c r="M11" i="23208"/>
  <c r="Q11" i="23208"/>
  <c r="R11" i="23208"/>
  <c r="S11" i="23208"/>
  <c r="T11" i="23208"/>
  <c r="U11" i="23208"/>
  <c r="V11" i="23208"/>
  <c r="Y11" i="23208"/>
  <c r="E12" i="23208"/>
  <c r="F12" i="23208" s="1"/>
  <c r="G12" i="23208"/>
  <c r="M12" i="23208"/>
  <c r="P12" i="23208"/>
  <c r="Q12" i="23208"/>
  <c r="R12" i="23208"/>
  <c r="S12" i="23208"/>
  <c r="T12" i="23208"/>
  <c r="U12" i="23208"/>
  <c r="V12" i="23208"/>
  <c r="Y12" i="23208"/>
  <c r="E13" i="23208"/>
  <c r="Z13" i="23208" s="1"/>
  <c r="G13" i="23208"/>
  <c r="M13" i="23208"/>
  <c r="Q13" i="23208"/>
  <c r="R13" i="23208"/>
  <c r="S13" i="23208"/>
  <c r="T13" i="23208"/>
  <c r="U13" i="23208"/>
  <c r="V13" i="23208"/>
  <c r="Y13" i="23208"/>
  <c r="Y4" i="23208"/>
  <c r="V4" i="23208"/>
  <c r="U4" i="23208"/>
  <c r="L11" i="23195"/>
  <c r="L13" i="23208" s="1"/>
  <c r="H13" i="23208" s="1"/>
  <c r="O13" i="23208" s="1"/>
  <c r="L13" i="23195"/>
  <c r="L15" i="23208" s="1"/>
  <c r="H15" i="23208" s="1"/>
  <c r="O15" i="23208" s="1"/>
  <c r="L12" i="23195"/>
  <c r="L14" i="23208" s="1"/>
  <c r="H14" i="23208" s="1"/>
  <c r="O14" i="23208" s="1"/>
  <c r="L6" i="23195"/>
  <c r="L8" i="23208" s="1"/>
  <c r="H8" i="23208" s="1"/>
  <c r="O8" i="23208" s="1"/>
  <c r="L7" i="23195"/>
  <c r="L9" i="23208" s="1"/>
  <c r="H9" i="23208" s="1"/>
  <c r="O9" i="23208" s="1"/>
  <c r="L8" i="23195"/>
  <c r="L10" i="23208" s="1"/>
  <c r="H10" i="23208" s="1"/>
  <c r="O10" i="23208" s="1"/>
  <c r="L9" i="23195"/>
  <c r="L11" i="23208" s="1"/>
  <c r="H11" i="23208" s="1"/>
  <c r="O11" i="23208" s="1"/>
  <c r="L10" i="23195"/>
  <c r="L12" i="23208" s="1"/>
  <c r="H12" i="23208" s="1"/>
  <c r="O12" i="23208" s="1"/>
  <c r="L5" i="23195"/>
  <c r="L7" i="23208" s="1"/>
  <c r="H7" i="23208" s="1"/>
  <c r="O7" i="23208" s="1"/>
  <c r="L4" i="23195"/>
  <c r="L6" i="23208" s="1"/>
  <c r="H6" i="23208" s="1"/>
  <c r="O6" i="23208" s="1"/>
  <c r="L3" i="23195"/>
  <c r="L5" i="23208" s="1"/>
  <c r="H5" i="23208" s="1"/>
  <c r="O5" i="23208" s="1"/>
  <c r="L2" i="23195"/>
  <c r="L4" i="23208" s="1"/>
  <c r="G4" i="23208"/>
  <c r="E4" i="23208"/>
  <c r="F4" i="23208" s="1"/>
  <c r="AC3" i="23208" a="1"/>
  <c r="AC3" i="23208" s="1"/>
  <c r="P4" i="23208"/>
  <c r="M4" i="23208"/>
  <c r="Q4" i="23208"/>
  <c r="R4" i="23208"/>
  <c r="S4" i="23208"/>
  <c r="T4" i="23208"/>
  <c r="H13" i="23195"/>
  <c r="H12" i="23195"/>
  <c r="H11" i="23195"/>
  <c r="H10" i="23195"/>
  <c r="H9" i="23195"/>
  <c r="H8" i="23195"/>
  <c r="H7" i="23195"/>
  <c r="H6" i="23195"/>
  <c r="H5" i="23195"/>
  <c r="H4" i="23195"/>
  <c r="H3" i="23195"/>
  <c r="H2" i="23195"/>
  <c r="H4" i="23208" l="1"/>
  <c r="O4" i="23208" s="1"/>
  <c r="F25" i="23208" a="1"/>
  <c r="Z17" i="23208"/>
  <c r="F17" i="23208"/>
  <c r="U59" i="23209"/>
  <c r="O59" i="23209"/>
  <c r="Y59" i="23209"/>
  <c r="M59" i="23209"/>
  <c r="V59" i="23209"/>
  <c r="T59" i="23209"/>
  <c r="S59" i="23209"/>
  <c r="Z59" i="23209"/>
  <c r="K59" i="23209"/>
  <c r="N59" i="23209"/>
  <c r="Q59" i="23209"/>
  <c r="Z8" i="23208"/>
  <c r="Z10" i="23208"/>
  <c r="F7" i="23208"/>
  <c r="Z5" i="23208"/>
  <c r="Z4" i="23208"/>
  <c r="F15" i="23208"/>
  <c r="F13" i="23208"/>
  <c r="F6" i="23208"/>
  <c r="Z12" i="23208"/>
  <c r="Z14" i="23208"/>
  <c r="Z11" i="23208"/>
  <c r="Z9" i="23208"/>
  <c r="F25" i="23208" l="1"/>
  <c r="D15" i="23178"/>
  <c r="G15" i="23204" l="1"/>
  <c r="H55" i="23204"/>
  <c r="E2" i="23195" l="1"/>
  <c r="D4" i="23208" s="1"/>
  <c r="I55" i="23204"/>
  <c r="H46" i="23204"/>
  <c r="I36" i="23177"/>
  <c r="G68" i="39" l="1"/>
  <c r="J68" i="39" s="1"/>
  <c r="G66" i="39"/>
  <c r="J66" i="39" s="1"/>
  <c r="G55" i="39"/>
  <c r="G53" i="39"/>
  <c r="J53" i="39" s="1"/>
  <c r="G52" i="39"/>
  <c r="J52" i="39" s="1"/>
  <c r="G51" i="39"/>
  <c r="J51" i="39" s="1"/>
  <c r="G50" i="39"/>
  <c r="J50" i="39" s="1"/>
  <c r="G48" i="39"/>
  <c r="G21" i="39" l="1"/>
  <c r="J21" i="39" s="1"/>
  <c r="C244" i="23198" l="1"/>
  <c r="E244" i="23198"/>
  <c r="J47" i="23177" l="1"/>
  <c r="K47" i="23177" s="1"/>
  <c r="J54" i="23177"/>
  <c r="K54" i="23177" s="1"/>
  <c r="J55" i="23177"/>
  <c r="K55" i="23177" s="1"/>
  <c r="J45" i="23177"/>
  <c r="K45" i="23177" s="1"/>
  <c r="I27" i="23177"/>
  <c r="J27" i="23177" s="1"/>
  <c r="K27" i="23177" l="1"/>
  <c r="I12" i="23206" l="1"/>
  <c r="F12" i="23206"/>
  <c r="D23" i="23205"/>
  <c r="G65" i="39"/>
  <c r="J65" i="39" s="1"/>
  <c r="G64" i="39"/>
  <c r="J64" i="39" s="1"/>
  <c r="G34" i="39"/>
  <c r="J34" i="39" s="1"/>
  <c r="G29" i="39"/>
  <c r="J29" i="39" s="1"/>
  <c r="G28" i="39"/>
  <c r="J28" i="39" s="1"/>
  <c r="G58" i="39"/>
  <c r="G59" i="39"/>
  <c r="J59" i="39" s="1"/>
  <c r="G57" i="39"/>
  <c r="S24" i="23203" l="1"/>
  <c r="V24" i="23203" s="1"/>
  <c r="L24" i="23203"/>
  <c r="G12" i="23206" s="1"/>
  <c r="H24" i="23203"/>
  <c r="I13" i="23204"/>
  <c r="D24" i="23203" l="1"/>
  <c r="I151" i="23210" s="1"/>
  <c r="I152" i="23210" s="1"/>
  <c r="C17" i="23205"/>
  <c r="X24" i="23203"/>
  <c r="K19" i="23178"/>
  <c r="C23" i="23205"/>
  <c r="O62" i="23204" l="1"/>
  <c r="O60" i="23204"/>
  <c r="J12" i="23206"/>
  <c r="C37" i="23198"/>
  <c r="C31" i="23198"/>
  <c r="C32" i="23198"/>
  <c r="C33" i="23198"/>
  <c r="C34" i="23198"/>
  <c r="C35" i="23198"/>
  <c r="C36" i="23198"/>
  <c r="C30" i="23198"/>
  <c r="C29" i="23198"/>
  <c r="G59" i="23198"/>
  <c r="G60" i="23198"/>
  <c r="G61" i="23198"/>
  <c r="G62" i="23198"/>
  <c r="G63" i="23198"/>
  <c r="G64" i="23198"/>
  <c r="G65" i="23198"/>
  <c r="G66" i="23198"/>
  <c r="E417" i="23198"/>
  <c r="E418" i="23198"/>
  <c r="E419" i="23198"/>
  <c r="E420" i="23198"/>
  <c r="E421" i="23198"/>
  <c r="E422" i="23198"/>
  <c r="E423" i="23198"/>
  <c r="E424" i="23198"/>
  <c r="E425" i="23198"/>
  <c r="E426" i="23198"/>
  <c r="E427" i="23198"/>
  <c r="E428" i="23198"/>
  <c r="E429" i="23198"/>
  <c r="E430" i="23198"/>
  <c r="E431" i="23198"/>
  <c r="E432" i="23198"/>
  <c r="E433" i="23198"/>
  <c r="E434" i="23198"/>
  <c r="E435" i="23198"/>
  <c r="E436" i="23198"/>
  <c r="E437" i="23198"/>
  <c r="E438" i="23198"/>
  <c r="E439" i="23198"/>
  <c r="E440" i="23198"/>
  <c r="E441" i="23198"/>
  <c r="E442" i="23198"/>
  <c r="E443" i="23198"/>
  <c r="E444" i="23198"/>
  <c r="E445" i="23198"/>
  <c r="E446" i="23198"/>
  <c r="E447" i="23198"/>
  <c r="E448" i="23198"/>
  <c r="E449" i="23198"/>
  <c r="E450" i="23198"/>
  <c r="E451" i="23198"/>
  <c r="E452" i="23198"/>
  <c r="E453" i="23198"/>
  <c r="E454" i="23198"/>
  <c r="E455" i="23198"/>
  <c r="E456" i="23198"/>
  <c r="E457" i="23198"/>
  <c r="E458" i="23198"/>
  <c r="E459" i="23198"/>
  <c r="E460" i="23198"/>
  <c r="E461" i="23198"/>
  <c r="E462" i="23198"/>
  <c r="E463" i="23198"/>
  <c r="E464" i="23198"/>
  <c r="E465" i="23198"/>
  <c r="E466" i="23198"/>
  <c r="E467" i="23198"/>
  <c r="E468" i="23198"/>
  <c r="E469" i="23198"/>
  <c r="E470" i="23198"/>
  <c r="E471" i="23198"/>
  <c r="E472" i="23198"/>
  <c r="E473" i="23198"/>
  <c r="E474" i="23198"/>
  <c r="E475" i="23198"/>
  <c r="E476" i="23198"/>
  <c r="E477" i="23198"/>
  <c r="E478" i="23198"/>
  <c r="E479" i="23198"/>
  <c r="E480" i="23198"/>
  <c r="E481" i="23198"/>
  <c r="E482" i="23198"/>
  <c r="E483" i="23198"/>
  <c r="E484" i="23198"/>
  <c r="E485" i="23198"/>
  <c r="E486" i="23198"/>
  <c r="E487" i="23198"/>
  <c r="E488" i="23198"/>
  <c r="E489" i="23198"/>
  <c r="E490" i="23198"/>
  <c r="E491" i="23198"/>
  <c r="E492" i="23198"/>
  <c r="E493" i="23198"/>
  <c r="E494" i="23198"/>
  <c r="E495" i="23198"/>
  <c r="E496" i="23198"/>
  <c r="E497" i="23198"/>
  <c r="E498" i="23198"/>
  <c r="E499" i="23198"/>
  <c r="E500" i="23198"/>
  <c r="E501" i="23198"/>
  <c r="E502" i="23198"/>
  <c r="E503" i="23198"/>
  <c r="E504" i="23198"/>
  <c r="E505" i="23198"/>
  <c r="E506" i="23198"/>
  <c r="E507" i="23198"/>
  <c r="E508" i="23198"/>
  <c r="E509" i="23198"/>
  <c r="E510" i="23198"/>
  <c r="E511" i="23198"/>
  <c r="E512" i="23198"/>
  <c r="E513" i="23198"/>
  <c r="E514" i="23198"/>
  <c r="E515" i="23198"/>
  <c r="E516" i="23198"/>
  <c r="E517" i="23198"/>
  <c r="E518" i="23198"/>
  <c r="E310" i="23198"/>
  <c r="E311" i="23198"/>
  <c r="E312" i="23198"/>
  <c r="E313" i="23198"/>
  <c r="E314" i="23198"/>
  <c r="E315" i="23198"/>
  <c r="E316" i="23198"/>
  <c r="E317" i="23198"/>
  <c r="E318" i="23198"/>
  <c r="E319" i="23198"/>
  <c r="E320" i="23198"/>
  <c r="E321" i="23198"/>
  <c r="E322" i="23198"/>
  <c r="E323" i="23198"/>
  <c r="E324" i="23198"/>
  <c r="E325" i="23198"/>
  <c r="E326" i="23198"/>
  <c r="E327" i="23198"/>
  <c r="E328" i="23198"/>
  <c r="E329" i="23198"/>
  <c r="E330" i="23198"/>
  <c r="E331" i="23198"/>
  <c r="E332" i="23198"/>
  <c r="E333" i="23198"/>
  <c r="E334" i="23198"/>
  <c r="E335" i="23198"/>
  <c r="E336" i="23198"/>
  <c r="E337" i="23198"/>
  <c r="E338" i="23198"/>
  <c r="E339" i="23198"/>
  <c r="E340" i="23198"/>
  <c r="E341" i="23198"/>
  <c r="E342" i="23198"/>
  <c r="E343" i="23198"/>
  <c r="E344" i="23198"/>
  <c r="E345" i="23198"/>
  <c r="E346" i="23198"/>
  <c r="E347" i="23198"/>
  <c r="E348" i="23198"/>
  <c r="E349" i="23198"/>
  <c r="E350" i="23198"/>
  <c r="E351" i="23198"/>
  <c r="E352" i="23198"/>
  <c r="E353" i="23198"/>
  <c r="E354" i="23198"/>
  <c r="E355" i="23198"/>
  <c r="E356" i="23198"/>
  <c r="E357" i="23198"/>
  <c r="E358" i="23198"/>
  <c r="E359" i="23198"/>
  <c r="E360" i="23198"/>
  <c r="E361" i="23198"/>
  <c r="E362" i="23198"/>
  <c r="E363" i="23198"/>
  <c r="E364" i="23198"/>
  <c r="E365" i="23198"/>
  <c r="E366" i="23198"/>
  <c r="E367" i="23198"/>
  <c r="E368" i="23198"/>
  <c r="E369" i="23198"/>
  <c r="E370" i="23198"/>
  <c r="E371" i="23198"/>
  <c r="E372" i="23198"/>
  <c r="E373" i="23198"/>
  <c r="E374" i="23198"/>
  <c r="E375" i="23198"/>
  <c r="E376" i="23198"/>
  <c r="E377" i="23198"/>
  <c r="E378" i="23198"/>
  <c r="E379" i="23198"/>
  <c r="E380" i="23198"/>
  <c r="E381" i="23198"/>
  <c r="E382" i="23198"/>
  <c r="E383" i="23198"/>
  <c r="E384" i="23198"/>
  <c r="E385" i="23198"/>
  <c r="E386" i="23198"/>
  <c r="E387" i="23198"/>
  <c r="E388" i="23198"/>
  <c r="E389" i="23198"/>
  <c r="E390" i="23198"/>
  <c r="E391" i="23198"/>
  <c r="E392" i="23198"/>
  <c r="E393" i="23198"/>
  <c r="E394" i="23198"/>
  <c r="E395" i="23198"/>
  <c r="E396" i="23198"/>
  <c r="E397" i="23198"/>
  <c r="E398" i="23198"/>
  <c r="E399" i="23198"/>
  <c r="E400" i="23198"/>
  <c r="E401" i="23198"/>
  <c r="E402" i="23198"/>
  <c r="E403" i="23198"/>
  <c r="E404" i="23198"/>
  <c r="E405" i="23198"/>
  <c r="E406" i="23198"/>
  <c r="E407" i="23198"/>
  <c r="E408" i="23198"/>
  <c r="E409" i="23198"/>
  <c r="E410" i="23198"/>
  <c r="E411" i="23198"/>
  <c r="E285" i="23198"/>
  <c r="E286" i="23198"/>
  <c r="E287" i="23198"/>
  <c r="E288" i="23198"/>
  <c r="E289" i="23198"/>
  <c r="E290" i="23198"/>
  <c r="E291" i="23198"/>
  <c r="E292" i="23198"/>
  <c r="E293" i="23198"/>
  <c r="E294" i="23198"/>
  <c r="E295" i="23198"/>
  <c r="E296" i="23198"/>
  <c r="E297" i="23198"/>
  <c r="E298" i="23198"/>
  <c r="E299" i="23198"/>
  <c r="E300" i="23198"/>
  <c r="E301" i="23198"/>
  <c r="E302" i="23198"/>
  <c r="E303" i="23198"/>
  <c r="E304" i="23198"/>
  <c r="E270" i="23198"/>
  <c r="E271" i="23198"/>
  <c r="E272" i="23198"/>
  <c r="E273" i="23198"/>
  <c r="E274" i="23198"/>
  <c r="E275" i="23198"/>
  <c r="E276" i="23198"/>
  <c r="E277" i="23198"/>
  <c r="E278" i="23198"/>
  <c r="E279" i="23198"/>
  <c r="E260" i="23198"/>
  <c r="E261" i="23198"/>
  <c r="E262" i="23198"/>
  <c r="E263" i="23198"/>
  <c r="E264" i="23198"/>
  <c r="E250" i="23198"/>
  <c r="E251" i="23198"/>
  <c r="E252" i="23198"/>
  <c r="E253" i="23198"/>
  <c r="E254" i="23198"/>
  <c r="E234" i="23198"/>
  <c r="E235" i="23198"/>
  <c r="E236" i="23198"/>
  <c r="E237" i="23198"/>
  <c r="E238" i="23198"/>
  <c r="E239" i="23198"/>
  <c r="E240" i="23198"/>
  <c r="E241" i="23198"/>
  <c r="E242" i="23198"/>
  <c r="E243" i="23198"/>
  <c r="E218" i="23198"/>
  <c r="E219" i="23198"/>
  <c r="E220" i="23198"/>
  <c r="E221" i="23198"/>
  <c r="E222" i="23198"/>
  <c r="E223" i="23198"/>
  <c r="E224" i="23198"/>
  <c r="E225" i="23198"/>
  <c r="E226" i="23198"/>
  <c r="E227" i="23198"/>
  <c r="E228" i="23198"/>
  <c r="E202" i="23198"/>
  <c r="E203" i="23198"/>
  <c r="E204" i="23198"/>
  <c r="E205" i="23198"/>
  <c r="E206" i="23198"/>
  <c r="E207" i="23198"/>
  <c r="E208" i="23198"/>
  <c r="E209" i="23198"/>
  <c r="E210" i="23198"/>
  <c r="E211" i="23198"/>
  <c r="E212" i="23198"/>
  <c r="E187" i="23198"/>
  <c r="E188" i="23198"/>
  <c r="E189" i="23198"/>
  <c r="E190" i="23198"/>
  <c r="E191" i="23198"/>
  <c r="E192" i="23198"/>
  <c r="E193" i="23198"/>
  <c r="E194" i="23198"/>
  <c r="E195" i="23198"/>
  <c r="E196" i="23198"/>
  <c r="E186" i="23198"/>
  <c r="E170" i="23198"/>
  <c r="E171" i="23198"/>
  <c r="E172" i="23198"/>
  <c r="E173" i="23198"/>
  <c r="E174" i="23198"/>
  <c r="E175" i="23198"/>
  <c r="E176" i="23198"/>
  <c r="E177" i="23198"/>
  <c r="E178" i="23198"/>
  <c r="E179" i="23198"/>
  <c r="E180" i="23198"/>
  <c r="E161" i="23198"/>
  <c r="E162" i="23198"/>
  <c r="E163" i="23198"/>
  <c r="E164" i="23198"/>
  <c r="E143" i="23198"/>
  <c r="E144" i="23198"/>
  <c r="E145" i="23198"/>
  <c r="E146" i="23198"/>
  <c r="E147" i="23198"/>
  <c r="E148" i="23198"/>
  <c r="E149" i="23198"/>
  <c r="E150" i="23198"/>
  <c r="E151" i="23198"/>
  <c r="E152" i="23198"/>
  <c r="E153" i="23198"/>
  <c r="E154" i="23198"/>
  <c r="E155" i="23198"/>
  <c r="E132" i="23198"/>
  <c r="E133" i="23198"/>
  <c r="E134" i="23198"/>
  <c r="E135" i="23198"/>
  <c r="E136" i="23198"/>
  <c r="E137" i="23198"/>
  <c r="E106" i="23198"/>
  <c r="E107" i="23198"/>
  <c r="E108" i="23198"/>
  <c r="E109" i="23198"/>
  <c r="E110" i="23198"/>
  <c r="E111" i="23198"/>
  <c r="E112" i="23198"/>
  <c r="E113" i="23198"/>
  <c r="E114" i="23198"/>
  <c r="E115" i="23198"/>
  <c r="E116" i="23198"/>
  <c r="E117" i="23198"/>
  <c r="E118" i="23198"/>
  <c r="E119" i="23198"/>
  <c r="E120" i="23198"/>
  <c r="E121" i="23198"/>
  <c r="E122" i="23198"/>
  <c r="E123" i="23198"/>
  <c r="E124" i="23198"/>
  <c r="E125" i="23198"/>
  <c r="E126" i="23198"/>
  <c r="E94" i="23198"/>
  <c r="E95" i="23198"/>
  <c r="E96" i="23198"/>
  <c r="E97" i="23198"/>
  <c r="E98" i="23198"/>
  <c r="E99" i="23198"/>
  <c r="E100" i="23198"/>
  <c r="E83" i="23198"/>
  <c r="E84" i="23198"/>
  <c r="E85" i="23198"/>
  <c r="E86" i="23198"/>
  <c r="E87" i="23198"/>
  <c r="E88" i="23198"/>
  <c r="E72" i="23198"/>
  <c r="E73" i="23198"/>
  <c r="E74" i="23198"/>
  <c r="E75" i="23198"/>
  <c r="E76" i="23198"/>
  <c r="E77" i="23198"/>
  <c r="C417" i="23198"/>
  <c r="C418" i="23198"/>
  <c r="C419" i="23198"/>
  <c r="C420" i="23198"/>
  <c r="C421" i="23198"/>
  <c r="C422" i="23198"/>
  <c r="C423" i="23198"/>
  <c r="C424" i="23198"/>
  <c r="C425" i="23198"/>
  <c r="C426" i="23198"/>
  <c r="C427" i="23198"/>
  <c r="C428" i="23198"/>
  <c r="C429" i="23198"/>
  <c r="C430" i="23198"/>
  <c r="C431" i="23198"/>
  <c r="C432" i="23198"/>
  <c r="C433" i="23198"/>
  <c r="C434" i="23198"/>
  <c r="C435" i="23198"/>
  <c r="C436" i="23198"/>
  <c r="C437" i="23198"/>
  <c r="C438" i="23198"/>
  <c r="C439" i="23198"/>
  <c r="C440" i="23198"/>
  <c r="C441" i="23198"/>
  <c r="C442" i="23198"/>
  <c r="C443" i="23198"/>
  <c r="C444" i="23198"/>
  <c r="C445" i="23198"/>
  <c r="C446" i="23198"/>
  <c r="C447" i="23198"/>
  <c r="C448" i="23198"/>
  <c r="C449" i="23198"/>
  <c r="C450" i="23198"/>
  <c r="C451" i="23198"/>
  <c r="C452" i="23198"/>
  <c r="C453" i="23198"/>
  <c r="C454" i="23198"/>
  <c r="C455" i="23198"/>
  <c r="C456" i="23198"/>
  <c r="C457" i="23198"/>
  <c r="C458" i="23198"/>
  <c r="C459" i="23198"/>
  <c r="C460" i="23198"/>
  <c r="C461" i="23198"/>
  <c r="C462" i="23198"/>
  <c r="C463" i="23198"/>
  <c r="C464" i="23198"/>
  <c r="C465" i="23198"/>
  <c r="C466" i="23198"/>
  <c r="C467" i="23198"/>
  <c r="C468" i="23198"/>
  <c r="C469" i="23198"/>
  <c r="C470" i="23198"/>
  <c r="C471" i="23198"/>
  <c r="C472" i="23198"/>
  <c r="C473" i="23198"/>
  <c r="C474" i="23198"/>
  <c r="C475" i="23198"/>
  <c r="C476" i="23198"/>
  <c r="C477" i="23198"/>
  <c r="C478" i="23198"/>
  <c r="C479" i="23198"/>
  <c r="C480" i="23198"/>
  <c r="C481" i="23198"/>
  <c r="C482" i="23198"/>
  <c r="C483" i="23198"/>
  <c r="C484" i="23198"/>
  <c r="C485" i="23198"/>
  <c r="C486" i="23198"/>
  <c r="C487" i="23198"/>
  <c r="C488" i="23198"/>
  <c r="C489" i="23198"/>
  <c r="C490" i="23198"/>
  <c r="C491" i="23198"/>
  <c r="C492" i="23198"/>
  <c r="C493" i="23198"/>
  <c r="C494" i="23198"/>
  <c r="C495" i="23198"/>
  <c r="C496" i="23198"/>
  <c r="C497" i="23198"/>
  <c r="C498" i="23198"/>
  <c r="C499" i="23198"/>
  <c r="C500" i="23198"/>
  <c r="C501" i="23198"/>
  <c r="C502" i="23198"/>
  <c r="C503" i="23198"/>
  <c r="C504" i="23198"/>
  <c r="C505" i="23198"/>
  <c r="C506" i="23198"/>
  <c r="C507" i="23198"/>
  <c r="C508" i="23198"/>
  <c r="C509" i="23198"/>
  <c r="C510" i="23198"/>
  <c r="C511" i="23198"/>
  <c r="C512" i="23198"/>
  <c r="C513" i="23198"/>
  <c r="C514" i="23198"/>
  <c r="C515" i="23198"/>
  <c r="C516" i="23198"/>
  <c r="C517" i="23198"/>
  <c r="C518" i="23198"/>
  <c r="C310" i="23198"/>
  <c r="C311" i="23198"/>
  <c r="C312" i="23198"/>
  <c r="C313" i="23198"/>
  <c r="C314" i="23198"/>
  <c r="C315" i="23198"/>
  <c r="C316" i="23198"/>
  <c r="C317" i="23198"/>
  <c r="C318" i="23198"/>
  <c r="C319" i="23198"/>
  <c r="C320" i="23198"/>
  <c r="C321" i="23198"/>
  <c r="C322" i="23198"/>
  <c r="C323" i="23198"/>
  <c r="C324" i="23198"/>
  <c r="C325" i="23198"/>
  <c r="C326" i="23198"/>
  <c r="C327" i="23198"/>
  <c r="C328" i="23198"/>
  <c r="C329" i="23198"/>
  <c r="C330" i="23198"/>
  <c r="C331" i="23198"/>
  <c r="C332" i="23198"/>
  <c r="C333" i="23198"/>
  <c r="C334" i="23198"/>
  <c r="C335" i="23198"/>
  <c r="C336" i="23198"/>
  <c r="C337" i="23198"/>
  <c r="C338" i="23198"/>
  <c r="C339" i="23198"/>
  <c r="C340" i="23198"/>
  <c r="C341" i="23198"/>
  <c r="C342" i="23198"/>
  <c r="C343" i="23198"/>
  <c r="C344" i="23198"/>
  <c r="C345" i="23198"/>
  <c r="C346" i="23198"/>
  <c r="C347" i="23198"/>
  <c r="C348" i="23198"/>
  <c r="C349" i="23198"/>
  <c r="C350" i="23198"/>
  <c r="C351" i="23198"/>
  <c r="C352" i="23198"/>
  <c r="C353" i="23198"/>
  <c r="C354" i="23198"/>
  <c r="C355" i="23198"/>
  <c r="C356" i="23198"/>
  <c r="C357" i="23198"/>
  <c r="C358" i="23198"/>
  <c r="C359" i="23198"/>
  <c r="C360" i="23198"/>
  <c r="C361" i="23198"/>
  <c r="C362" i="23198"/>
  <c r="C363" i="23198"/>
  <c r="C364" i="23198"/>
  <c r="C365" i="23198"/>
  <c r="C366" i="23198"/>
  <c r="C367" i="23198"/>
  <c r="C368" i="23198"/>
  <c r="C369" i="23198"/>
  <c r="C370" i="23198"/>
  <c r="C371" i="23198"/>
  <c r="C372" i="23198"/>
  <c r="C373" i="23198"/>
  <c r="C374" i="23198"/>
  <c r="C375" i="23198"/>
  <c r="C376" i="23198"/>
  <c r="C377" i="23198"/>
  <c r="C378" i="23198"/>
  <c r="C379" i="23198"/>
  <c r="C380" i="23198"/>
  <c r="C381" i="23198"/>
  <c r="C382" i="23198"/>
  <c r="C383" i="23198"/>
  <c r="C384" i="23198"/>
  <c r="C385" i="23198"/>
  <c r="C386" i="23198"/>
  <c r="C387" i="23198"/>
  <c r="C388" i="23198"/>
  <c r="C389" i="23198"/>
  <c r="C390" i="23198"/>
  <c r="C391" i="23198"/>
  <c r="C392" i="23198"/>
  <c r="C393" i="23198"/>
  <c r="C394" i="23198"/>
  <c r="C395" i="23198"/>
  <c r="C396" i="23198"/>
  <c r="C397" i="23198"/>
  <c r="C398" i="23198"/>
  <c r="C399" i="23198"/>
  <c r="C400" i="23198"/>
  <c r="C401" i="23198"/>
  <c r="C402" i="23198"/>
  <c r="C403" i="23198"/>
  <c r="C404" i="23198"/>
  <c r="C405" i="23198"/>
  <c r="C406" i="23198"/>
  <c r="C407" i="23198"/>
  <c r="C408" i="23198"/>
  <c r="C409" i="23198"/>
  <c r="C410" i="23198"/>
  <c r="C411" i="23198"/>
  <c r="C285" i="23198"/>
  <c r="C286" i="23198"/>
  <c r="C287" i="23198"/>
  <c r="C288" i="23198"/>
  <c r="C289" i="23198"/>
  <c r="C290" i="23198"/>
  <c r="C291" i="23198"/>
  <c r="C292" i="23198"/>
  <c r="C293" i="23198"/>
  <c r="C294" i="23198"/>
  <c r="C295" i="23198"/>
  <c r="C296" i="23198"/>
  <c r="C297" i="23198"/>
  <c r="C298" i="23198"/>
  <c r="C299" i="23198"/>
  <c r="C300" i="23198"/>
  <c r="C301" i="23198"/>
  <c r="C302" i="23198"/>
  <c r="C303" i="23198"/>
  <c r="C304" i="23198"/>
  <c r="C270" i="23198"/>
  <c r="C271" i="23198"/>
  <c r="C272" i="23198"/>
  <c r="C273" i="23198"/>
  <c r="C274" i="23198"/>
  <c r="C275" i="23198"/>
  <c r="C276" i="23198"/>
  <c r="C277" i="23198"/>
  <c r="C278" i="23198"/>
  <c r="C279" i="23198"/>
  <c r="C260" i="23198"/>
  <c r="C261" i="23198"/>
  <c r="C262" i="23198"/>
  <c r="C263" i="23198"/>
  <c r="C264" i="23198"/>
  <c r="C250" i="23198"/>
  <c r="C251" i="23198"/>
  <c r="C252" i="23198"/>
  <c r="C253" i="23198"/>
  <c r="C254" i="23198"/>
  <c r="C234" i="23198"/>
  <c r="C235" i="23198"/>
  <c r="C236" i="23198"/>
  <c r="C237" i="23198"/>
  <c r="C238" i="23198"/>
  <c r="C239" i="23198"/>
  <c r="C240" i="23198"/>
  <c r="C241" i="23198"/>
  <c r="C242" i="23198"/>
  <c r="C243" i="23198"/>
  <c r="C218" i="23198"/>
  <c r="C219" i="23198"/>
  <c r="C220" i="23198"/>
  <c r="C221" i="23198"/>
  <c r="C222" i="23198"/>
  <c r="C223" i="23198"/>
  <c r="C224" i="23198"/>
  <c r="C225" i="23198"/>
  <c r="C226" i="23198"/>
  <c r="C227" i="23198"/>
  <c r="C228" i="23198"/>
  <c r="C202" i="23198"/>
  <c r="C203" i="23198"/>
  <c r="C204" i="23198"/>
  <c r="C205" i="23198"/>
  <c r="C206" i="23198"/>
  <c r="C207" i="23198"/>
  <c r="C208" i="23198"/>
  <c r="C209" i="23198"/>
  <c r="C210" i="23198"/>
  <c r="C211" i="23198"/>
  <c r="C212" i="23198"/>
  <c r="C187" i="23198"/>
  <c r="C188" i="23198"/>
  <c r="C189" i="23198"/>
  <c r="C190" i="23198"/>
  <c r="C191" i="23198"/>
  <c r="C192" i="23198"/>
  <c r="C193" i="23198"/>
  <c r="C194" i="23198"/>
  <c r="C195" i="23198"/>
  <c r="C196" i="23198"/>
  <c r="C186" i="23198"/>
  <c r="C170" i="23198"/>
  <c r="C171" i="23198"/>
  <c r="C172" i="23198"/>
  <c r="C173" i="23198"/>
  <c r="C174" i="23198"/>
  <c r="C175" i="23198"/>
  <c r="C176" i="23198"/>
  <c r="C177" i="23198"/>
  <c r="C178" i="23198"/>
  <c r="C179" i="23198"/>
  <c r="C180" i="23198"/>
  <c r="C161" i="23198"/>
  <c r="C162" i="23198"/>
  <c r="C163" i="23198"/>
  <c r="C164" i="23198"/>
  <c r="C143" i="23198"/>
  <c r="C144" i="23198"/>
  <c r="C145" i="23198"/>
  <c r="C146" i="23198"/>
  <c r="C147" i="23198"/>
  <c r="C148" i="23198"/>
  <c r="C149" i="23198"/>
  <c r="C150" i="23198"/>
  <c r="C151" i="23198"/>
  <c r="C152" i="23198"/>
  <c r="C153" i="23198"/>
  <c r="C154" i="23198"/>
  <c r="C155" i="23198"/>
  <c r="C132" i="23198"/>
  <c r="C133" i="23198"/>
  <c r="C134" i="23198"/>
  <c r="C135" i="23198"/>
  <c r="C136" i="23198"/>
  <c r="C137" i="23198"/>
  <c r="C106" i="23198"/>
  <c r="C107" i="23198"/>
  <c r="C108" i="23198"/>
  <c r="C109" i="23198"/>
  <c r="C110" i="23198"/>
  <c r="C111" i="23198"/>
  <c r="C112" i="23198"/>
  <c r="C113" i="23198"/>
  <c r="C114" i="23198"/>
  <c r="C115" i="23198"/>
  <c r="C116" i="23198"/>
  <c r="C117" i="23198"/>
  <c r="C118" i="23198"/>
  <c r="C119" i="23198"/>
  <c r="C120" i="23198"/>
  <c r="C121" i="23198"/>
  <c r="C122" i="23198"/>
  <c r="C123" i="23198"/>
  <c r="C124" i="23198"/>
  <c r="C125" i="23198"/>
  <c r="C126" i="23198"/>
  <c r="C94" i="23198"/>
  <c r="C95" i="23198"/>
  <c r="C96" i="23198"/>
  <c r="C97" i="23198"/>
  <c r="C98" i="23198"/>
  <c r="C99" i="23198"/>
  <c r="C100" i="23198"/>
  <c r="C88" i="23198"/>
  <c r="C87" i="23198"/>
  <c r="C86" i="23198"/>
  <c r="C85" i="23198"/>
  <c r="C84" i="23198"/>
  <c r="C83" i="23198"/>
  <c r="C72" i="23198"/>
  <c r="C73" i="23198"/>
  <c r="C74" i="23198"/>
  <c r="C75" i="23198"/>
  <c r="C76" i="23198"/>
  <c r="C77" i="23198"/>
  <c r="E59" i="23198"/>
  <c r="E60" i="23198"/>
  <c r="E61" i="23198"/>
  <c r="E62" i="23198"/>
  <c r="E63" i="23198"/>
  <c r="E64" i="23198"/>
  <c r="E65" i="23198"/>
  <c r="E66" i="23198"/>
  <c r="C59" i="23198"/>
  <c r="C60" i="23198"/>
  <c r="C61" i="23198"/>
  <c r="C62" i="23198"/>
  <c r="C63" i="23198"/>
  <c r="C64" i="23198"/>
  <c r="C65" i="23198"/>
  <c r="C66" i="23198"/>
  <c r="E46" i="23198"/>
  <c r="E47" i="23198"/>
  <c r="E48" i="23198"/>
  <c r="E49" i="23198"/>
  <c r="E50" i="23198"/>
  <c r="E51" i="23198"/>
  <c r="E52" i="23198"/>
  <c r="E53" i="23198"/>
  <c r="C46" i="23198"/>
  <c r="C47" i="23198"/>
  <c r="C48" i="23198"/>
  <c r="C49" i="23198"/>
  <c r="C50" i="23198"/>
  <c r="C51" i="23198"/>
  <c r="C52" i="23198"/>
  <c r="C53" i="23198"/>
  <c r="E165" i="23198" l="1"/>
  <c r="F162" i="23198" s="1"/>
  <c r="E265" i="23198"/>
  <c r="F261" i="23198" s="1"/>
  <c r="G67" i="23198"/>
  <c r="C27" i="23198" s="1"/>
  <c r="E245" i="23198"/>
  <c r="F240" i="23198" s="1"/>
  <c r="E280" i="23198"/>
  <c r="F276" i="23198" s="1"/>
  <c r="C101" i="23198"/>
  <c r="D98" i="23198" s="1"/>
  <c r="C265" i="23198"/>
  <c r="D264" i="23198" s="1"/>
  <c r="C245" i="23198"/>
  <c r="E412" i="23198"/>
  <c r="F352" i="23198" s="1"/>
  <c r="C412" i="23198"/>
  <c r="D383" i="23198" s="1"/>
  <c r="E519" i="23198"/>
  <c r="F464" i="23198" s="1"/>
  <c r="E229" i="23198"/>
  <c r="F225" i="23198" s="1"/>
  <c r="C229" i="23198"/>
  <c r="D228" i="23198" s="1"/>
  <c r="E101" i="23198"/>
  <c r="F96" i="23198" s="1"/>
  <c r="E181" i="23198"/>
  <c r="F175" i="23198" s="1"/>
  <c r="C165" i="23198"/>
  <c r="D161" i="23198" s="1"/>
  <c r="C40" i="23198" s="1"/>
  <c r="C181" i="23198"/>
  <c r="D176" i="23198" s="1"/>
  <c r="C280" i="23198"/>
  <c r="D278" i="23198" s="1"/>
  <c r="C519" i="23198"/>
  <c r="D509" i="23198" s="1"/>
  <c r="F263" i="23198" l="1"/>
  <c r="D163" i="23198"/>
  <c r="C38" i="23198" s="1"/>
  <c r="F264" i="23198"/>
  <c r="F161" i="23198"/>
  <c r="F163" i="23198"/>
  <c r="F164" i="23198"/>
  <c r="F238" i="23198"/>
  <c r="F235" i="23198"/>
  <c r="D234" i="23198"/>
  <c r="D244" i="23198"/>
  <c r="F236" i="23198"/>
  <c r="F244" i="23198"/>
  <c r="F262" i="23198"/>
  <c r="F241" i="23198"/>
  <c r="F260" i="23198"/>
  <c r="F270" i="23198"/>
  <c r="F274" i="23198"/>
  <c r="F272" i="23198"/>
  <c r="F242" i="23198"/>
  <c r="F275" i="23198"/>
  <c r="F278" i="23198"/>
  <c r="F234" i="23198"/>
  <c r="D260" i="23198"/>
  <c r="F271" i="23198"/>
  <c r="F243" i="23198"/>
  <c r="F279" i="23198"/>
  <c r="F277" i="23198"/>
  <c r="F239" i="23198"/>
  <c r="F237" i="23198"/>
  <c r="F98" i="23198"/>
  <c r="F273" i="23198"/>
  <c r="F377" i="23198"/>
  <c r="D325" i="23198"/>
  <c r="D222" i="23198"/>
  <c r="D463" i="23198"/>
  <c r="D398" i="23198"/>
  <c r="D95" i="23198"/>
  <c r="F331" i="23198"/>
  <c r="D351" i="23198"/>
  <c r="F493" i="23198"/>
  <c r="D417" i="23198"/>
  <c r="D352" i="23198"/>
  <c r="F506" i="23198"/>
  <c r="D341" i="23198"/>
  <c r="D226" i="23198"/>
  <c r="F495" i="23198"/>
  <c r="D419" i="23198"/>
  <c r="D354" i="23198"/>
  <c r="D170" i="23198"/>
  <c r="F484" i="23198"/>
  <c r="D343" i="23198"/>
  <c r="F485" i="23198"/>
  <c r="D332" i="23198"/>
  <c r="D243" i="23198"/>
  <c r="F486" i="23198"/>
  <c r="D458" i="23198"/>
  <c r="D393" i="23198"/>
  <c r="F326" i="23198"/>
  <c r="D483" i="23198"/>
  <c r="F399" i="23198"/>
  <c r="D424" i="23198"/>
  <c r="D359" i="23198"/>
  <c r="F316" i="23198"/>
  <c r="D485" i="23198"/>
  <c r="F418" i="23198"/>
  <c r="F430" i="23198"/>
  <c r="F442" i="23198"/>
  <c r="F454" i="23198"/>
  <c r="F466" i="23198"/>
  <c r="F478" i="23198"/>
  <c r="F490" i="23198"/>
  <c r="F502" i="23198"/>
  <c r="F514" i="23198"/>
  <c r="F419" i="23198"/>
  <c r="F431" i="23198"/>
  <c r="F443" i="23198"/>
  <c r="F455" i="23198"/>
  <c r="F467" i="23198"/>
  <c r="F479" i="23198"/>
  <c r="F491" i="23198"/>
  <c r="F503" i="23198"/>
  <c r="F515" i="23198"/>
  <c r="F389" i="23198"/>
  <c r="D337" i="23198"/>
  <c r="F227" i="23198"/>
  <c r="D475" i="23198"/>
  <c r="D410" i="23198"/>
  <c r="F343" i="23198"/>
  <c r="F228" i="23198"/>
  <c r="D363" i="23198"/>
  <c r="D179" i="23198"/>
  <c r="F505" i="23198"/>
  <c r="D429" i="23198"/>
  <c r="D364" i="23198"/>
  <c r="D180" i="23198"/>
  <c r="F518" i="23198"/>
  <c r="F218" i="23198"/>
  <c r="D353" i="23198"/>
  <c r="F507" i="23198"/>
  <c r="D431" i="23198"/>
  <c r="D366" i="23198"/>
  <c r="D162" i="23198"/>
  <c r="C41" i="23198" s="1"/>
  <c r="F496" i="23198"/>
  <c r="D355" i="23198"/>
  <c r="D171" i="23198"/>
  <c r="F497" i="23198"/>
  <c r="D344" i="23198"/>
  <c r="F498" i="23198"/>
  <c r="D470" i="23198"/>
  <c r="D405" i="23198"/>
  <c r="F338" i="23198"/>
  <c r="D495" i="23198"/>
  <c r="D277" i="23198"/>
  <c r="F476" i="23198"/>
  <c r="F411" i="23198"/>
  <c r="D436" i="23198"/>
  <c r="D371" i="23198"/>
  <c r="F328" i="23198"/>
  <c r="D497" i="23198"/>
  <c r="F401" i="23198"/>
  <c r="D349" i="23198"/>
  <c r="D177" i="23198"/>
  <c r="D487" i="23198"/>
  <c r="F420" i="23198"/>
  <c r="F355" i="23198"/>
  <c r="D375" i="23198"/>
  <c r="F517" i="23198"/>
  <c r="D441" i="23198"/>
  <c r="D376" i="23198"/>
  <c r="F321" i="23198"/>
  <c r="D365" i="23198"/>
  <c r="F310" i="23198"/>
  <c r="D443" i="23198"/>
  <c r="D378" i="23198"/>
  <c r="F508" i="23198"/>
  <c r="D367" i="23198"/>
  <c r="F509" i="23198"/>
  <c r="D356" i="23198"/>
  <c r="D172" i="23198"/>
  <c r="F510" i="23198"/>
  <c r="D482" i="23198"/>
  <c r="F350" i="23198"/>
  <c r="F178" i="23198"/>
  <c r="D507" i="23198"/>
  <c r="D219" i="23198"/>
  <c r="F488" i="23198"/>
  <c r="D448" i="23198"/>
  <c r="F340" i="23198"/>
  <c r="F180" i="23198"/>
  <c r="D428" i="23198"/>
  <c r="D440" i="23198"/>
  <c r="D452" i="23198"/>
  <c r="D464" i="23198"/>
  <c r="D476" i="23198"/>
  <c r="D488" i="23198"/>
  <c r="D500" i="23198"/>
  <c r="D512" i="23198"/>
  <c r="D418" i="23198"/>
  <c r="D430" i="23198"/>
  <c r="D442" i="23198"/>
  <c r="D454" i="23198"/>
  <c r="D466" i="23198"/>
  <c r="D478" i="23198"/>
  <c r="D490" i="23198"/>
  <c r="D502" i="23198"/>
  <c r="D514" i="23198"/>
  <c r="D420" i="23198"/>
  <c r="D432" i="23198"/>
  <c r="D444" i="23198"/>
  <c r="D456" i="23198"/>
  <c r="D468" i="23198"/>
  <c r="D480" i="23198"/>
  <c r="D492" i="23198"/>
  <c r="D504" i="23198"/>
  <c r="D516" i="23198"/>
  <c r="D421" i="23198"/>
  <c r="D433" i="23198"/>
  <c r="D445" i="23198"/>
  <c r="D457" i="23198"/>
  <c r="D469" i="23198"/>
  <c r="D481" i="23198"/>
  <c r="D493" i="23198"/>
  <c r="D505" i="23198"/>
  <c r="D517" i="23198"/>
  <c r="D312" i="23198"/>
  <c r="D324" i="23198"/>
  <c r="D336" i="23198"/>
  <c r="D348" i="23198"/>
  <c r="D360" i="23198"/>
  <c r="D372" i="23198"/>
  <c r="D384" i="23198"/>
  <c r="D396" i="23198"/>
  <c r="D408" i="23198"/>
  <c r="D426" i="23198"/>
  <c r="D361" i="23198"/>
  <c r="F170" i="23198"/>
  <c r="D499" i="23198"/>
  <c r="F432" i="23198"/>
  <c r="F367" i="23198"/>
  <c r="F171" i="23198"/>
  <c r="D387" i="23198"/>
  <c r="F320" i="23198"/>
  <c r="D453" i="23198"/>
  <c r="D388" i="23198"/>
  <c r="D97" i="23198"/>
  <c r="F333" i="23198"/>
  <c r="D377" i="23198"/>
  <c r="F322" i="23198"/>
  <c r="D455" i="23198"/>
  <c r="D390" i="23198"/>
  <c r="F311" i="23198"/>
  <c r="F220" i="23198"/>
  <c r="D379" i="23198"/>
  <c r="F312" i="23198"/>
  <c r="F221" i="23198"/>
  <c r="D368" i="23198"/>
  <c r="D164" i="23198"/>
  <c r="C39" i="23198" s="1"/>
  <c r="F313" i="23198"/>
  <c r="F222" i="23198"/>
  <c r="D494" i="23198"/>
  <c r="F427" i="23198"/>
  <c r="F362" i="23198"/>
  <c r="D310" i="23198"/>
  <c r="F500" i="23198"/>
  <c r="D460" i="23198"/>
  <c r="D395" i="23198"/>
  <c r="F417" i="23198"/>
  <c r="F317" i="23198"/>
  <c r="F329" i="23198"/>
  <c r="F341" i="23198"/>
  <c r="F318" i="23198"/>
  <c r="F330" i="23198"/>
  <c r="F342" i="23198"/>
  <c r="F354" i="23198"/>
  <c r="F366" i="23198"/>
  <c r="F378" i="23198"/>
  <c r="F390" i="23198"/>
  <c r="F402" i="23198"/>
  <c r="D438" i="23198"/>
  <c r="D373" i="23198"/>
  <c r="D511" i="23198"/>
  <c r="F444" i="23198"/>
  <c r="F379" i="23198"/>
  <c r="D399" i="23198"/>
  <c r="D96" i="23198"/>
  <c r="F332" i="23198"/>
  <c r="D465" i="23198"/>
  <c r="D400" i="23198"/>
  <c r="F345" i="23198"/>
  <c r="F173" i="23198"/>
  <c r="D389" i="23198"/>
  <c r="F334" i="23198"/>
  <c r="F219" i="23198"/>
  <c r="D467" i="23198"/>
  <c r="D402" i="23198"/>
  <c r="F323" i="23198"/>
  <c r="D391" i="23198"/>
  <c r="F324" i="23198"/>
  <c r="D380" i="23198"/>
  <c r="F325" i="23198"/>
  <c r="D506" i="23198"/>
  <c r="F439" i="23198"/>
  <c r="F374" i="23198"/>
  <c r="D322" i="23198"/>
  <c r="D174" i="23198"/>
  <c r="F512" i="23198"/>
  <c r="F224" i="23198"/>
  <c r="D472" i="23198"/>
  <c r="D407" i="23198"/>
  <c r="F429" i="23198"/>
  <c r="F364" i="23198"/>
  <c r="D279" i="23198"/>
  <c r="D450" i="23198"/>
  <c r="D385" i="23198"/>
  <c r="D94" i="23198"/>
  <c r="D314" i="23198"/>
  <c r="D261" i="23198"/>
  <c r="F456" i="23198"/>
  <c r="F391" i="23198"/>
  <c r="D411" i="23198"/>
  <c r="F344" i="23198"/>
  <c r="D477" i="23198"/>
  <c r="F422" i="23198"/>
  <c r="F357" i="23198"/>
  <c r="D401" i="23198"/>
  <c r="F346" i="23198"/>
  <c r="D479" i="23198"/>
  <c r="D99" i="23198"/>
  <c r="F335" i="23198"/>
  <c r="D403" i="23198"/>
  <c r="F336" i="23198"/>
  <c r="D392" i="23198"/>
  <c r="F337" i="23198"/>
  <c r="F177" i="23198"/>
  <c r="D518" i="23198"/>
  <c r="D276" i="23198"/>
  <c r="F451" i="23198"/>
  <c r="F386" i="23198"/>
  <c r="F95" i="23198"/>
  <c r="D334" i="23198"/>
  <c r="F315" i="23198"/>
  <c r="D484" i="23198"/>
  <c r="F441" i="23198"/>
  <c r="F376" i="23198"/>
  <c r="D235" i="23198"/>
  <c r="D462" i="23198"/>
  <c r="D397" i="23198"/>
  <c r="D326" i="23198"/>
  <c r="D237" i="23198"/>
  <c r="F468" i="23198"/>
  <c r="F403" i="23198"/>
  <c r="F421" i="23198"/>
  <c r="F356" i="23198"/>
  <c r="D489" i="23198"/>
  <c r="F434" i="23198"/>
  <c r="F369" i="23198"/>
  <c r="F423" i="23198"/>
  <c r="F358" i="23198"/>
  <c r="D491" i="23198"/>
  <c r="F347" i="23198"/>
  <c r="D100" i="23198"/>
  <c r="F348" i="23198"/>
  <c r="F176" i="23198"/>
  <c r="D404" i="23198"/>
  <c r="F349" i="23198"/>
  <c r="D321" i="23198"/>
  <c r="F463" i="23198"/>
  <c r="F398" i="23198"/>
  <c r="D346" i="23198"/>
  <c r="F327" i="23198"/>
  <c r="D496" i="23198"/>
  <c r="F453" i="23198"/>
  <c r="F388" i="23198"/>
  <c r="D221" i="23198"/>
  <c r="D474" i="23198"/>
  <c r="D409" i="23198"/>
  <c r="F99" i="23198"/>
  <c r="D338" i="23198"/>
  <c r="D223" i="23198"/>
  <c r="F480" i="23198"/>
  <c r="F100" i="23198"/>
  <c r="F433" i="23198"/>
  <c r="F368" i="23198"/>
  <c r="F172" i="23198"/>
  <c r="D501" i="23198"/>
  <c r="F446" i="23198"/>
  <c r="F381" i="23198"/>
  <c r="F435" i="23198"/>
  <c r="F370" i="23198"/>
  <c r="F174" i="23198"/>
  <c r="D503" i="23198"/>
  <c r="F424" i="23198"/>
  <c r="F359" i="23198"/>
  <c r="F425" i="23198"/>
  <c r="F360" i="23198"/>
  <c r="F426" i="23198"/>
  <c r="F361" i="23198"/>
  <c r="F94" i="23198"/>
  <c r="D333" i="23198"/>
  <c r="D218" i="23198"/>
  <c r="F475" i="23198"/>
  <c r="F410" i="23198"/>
  <c r="D423" i="23198"/>
  <c r="D358" i="23198"/>
  <c r="F339" i="23198"/>
  <c r="F179" i="23198"/>
  <c r="D508" i="23198"/>
  <c r="F465" i="23198"/>
  <c r="F400" i="23198"/>
  <c r="D425" i="23198"/>
  <c r="F97" i="23198"/>
  <c r="F226" i="23198"/>
  <c r="D486" i="23198"/>
  <c r="D350" i="23198"/>
  <c r="F492" i="23198"/>
  <c r="D270" i="23198"/>
  <c r="F445" i="23198"/>
  <c r="F380" i="23198"/>
  <c r="D513" i="23198"/>
  <c r="D271" i="23198"/>
  <c r="F458" i="23198"/>
  <c r="F393" i="23198"/>
  <c r="F447" i="23198"/>
  <c r="F382" i="23198"/>
  <c r="D515" i="23198"/>
  <c r="D273" i="23198"/>
  <c r="F436" i="23198"/>
  <c r="F371" i="23198"/>
  <c r="F437" i="23198"/>
  <c r="F372" i="23198"/>
  <c r="F438" i="23198"/>
  <c r="F373" i="23198"/>
  <c r="D345" i="23198"/>
  <c r="F487" i="23198"/>
  <c r="D435" i="23198"/>
  <c r="D370" i="23198"/>
  <c r="F351" i="23198"/>
  <c r="D311" i="23198"/>
  <c r="D220" i="23198"/>
  <c r="F477" i="23198"/>
  <c r="D437" i="23198"/>
  <c r="D498" i="23198"/>
  <c r="D427" i="23198"/>
  <c r="D362" i="23198"/>
  <c r="D178" i="23198"/>
  <c r="F504" i="23198"/>
  <c r="D315" i="23198"/>
  <c r="D262" i="23198"/>
  <c r="F457" i="23198"/>
  <c r="F392" i="23198"/>
  <c r="D316" i="23198"/>
  <c r="D263" i="23198"/>
  <c r="F470" i="23198"/>
  <c r="F405" i="23198"/>
  <c r="D272" i="23198"/>
  <c r="F459" i="23198"/>
  <c r="F394" i="23198"/>
  <c r="D318" i="23198"/>
  <c r="F448" i="23198"/>
  <c r="F383" i="23198"/>
  <c r="D274" i="23198"/>
  <c r="F449" i="23198"/>
  <c r="F384" i="23198"/>
  <c r="F450" i="23198"/>
  <c r="F385" i="23198"/>
  <c r="D422" i="23198"/>
  <c r="D357" i="23198"/>
  <c r="D173" i="23198"/>
  <c r="F499" i="23198"/>
  <c r="D447" i="23198"/>
  <c r="D382" i="23198"/>
  <c r="F428" i="23198"/>
  <c r="F363" i="23198"/>
  <c r="D323" i="23198"/>
  <c r="F489" i="23198"/>
  <c r="D449" i="23198"/>
  <c r="F353" i="23198"/>
  <c r="D510" i="23198"/>
  <c r="D439" i="23198"/>
  <c r="D374" i="23198"/>
  <c r="F516" i="23198"/>
  <c r="D327" i="23198"/>
  <c r="D238" i="23198"/>
  <c r="F469" i="23198"/>
  <c r="F404" i="23198"/>
  <c r="D328" i="23198"/>
  <c r="D239" i="23198"/>
  <c r="F482" i="23198"/>
  <c r="D317" i="23198"/>
  <c r="F471" i="23198"/>
  <c r="F406" i="23198"/>
  <c r="D330" i="23198"/>
  <c r="D241" i="23198"/>
  <c r="F460" i="23198"/>
  <c r="F395" i="23198"/>
  <c r="D319" i="23198"/>
  <c r="F461" i="23198"/>
  <c r="F396" i="23198"/>
  <c r="D275" i="23198"/>
  <c r="F462" i="23198"/>
  <c r="F397" i="23198"/>
  <c r="D434" i="23198"/>
  <c r="D369" i="23198"/>
  <c r="F511" i="23198"/>
  <c r="D459" i="23198"/>
  <c r="D394" i="23198"/>
  <c r="F440" i="23198"/>
  <c r="F375" i="23198"/>
  <c r="D335" i="23198"/>
  <c r="D175" i="23198"/>
  <c r="F501" i="23198"/>
  <c r="D461" i="23198"/>
  <c r="F365" i="23198"/>
  <c r="D313" i="23198"/>
  <c r="D236" i="23198"/>
  <c r="D451" i="23198"/>
  <c r="D386" i="23198"/>
  <c r="F319" i="23198"/>
  <c r="D339" i="23198"/>
  <c r="D224" i="23198"/>
  <c r="F481" i="23198"/>
  <c r="D340" i="23198"/>
  <c r="D225" i="23198"/>
  <c r="F494" i="23198"/>
  <c r="D329" i="23198"/>
  <c r="D240" i="23198"/>
  <c r="F483" i="23198"/>
  <c r="D342" i="23198"/>
  <c r="D227" i="23198"/>
  <c r="F472" i="23198"/>
  <c r="F407" i="23198"/>
  <c r="D331" i="23198"/>
  <c r="D242" i="23198"/>
  <c r="F473" i="23198"/>
  <c r="F408" i="23198"/>
  <c r="D320" i="23198"/>
  <c r="F474" i="23198"/>
  <c r="F409" i="23198"/>
  <c r="D446" i="23198"/>
  <c r="D381" i="23198"/>
  <c r="F314" i="23198"/>
  <c r="F223" i="23198"/>
  <c r="D471" i="23198"/>
  <c r="D406" i="23198"/>
  <c r="F452" i="23198"/>
  <c r="F387" i="23198"/>
  <c r="D347" i="23198"/>
  <c r="F513" i="23198"/>
  <c r="D473" i="23198"/>
  <c r="F165" i="23198" l="1"/>
  <c r="F265" i="23198"/>
  <c r="F280" i="23198"/>
  <c r="F229" i="23198"/>
  <c r="F519" i="23198"/>
  <c r="F412" i="23198"/>
  <c r="F101" i="23198"/>
  <c r="F245" i="23198"/>
  <c r="F181" i="23198"/>
  <c r="D265" i="23198"/>
  <c r="D519" i="23198"/>
  <c r="D229" i="23198"/>
  <c r="D101" i="23198"/>
  <c r="D181" i="23198"/>
  <c r="D412" i="23198"/>
  <c r="D245" i="23198"/>
  <c r="D280" i="23198"/>
  <c r="D165" i="23198"/>
  <c r="B121" i="23184" l="1"/>
  <c r="C84" i="23184"/>
  <c r="AP84" i="23184" s="1"/>
  <c r="C85" i="23184"/>
  <c r="AP85" i="23184" s="1"/>
  <c r="C86" i="23184"/>
  <c r="AL86" i="23184" s="1"/>
  <c r="C87" i="23184"/>
  <c r="AU87" i="23184" s="1"/>
  <c r="C88" i="23184"/>
  <c r="AP88" i="23184" s="1"/>
  <c r="C89" i="23184"/>
  <c r="AP89" i="23184" s="1"/>
  <c r="C90" i="23184"/>
  <c r="C91" i="23184"/>
  <c r="AP91" i="23184" s="1"/>
  <c r="C92" i="23184"/>
  <c r="AP92" i="23184" s="1"/>
  <c r="C93" i="23184"/>
  <c r="AP93" i="23184" s="1"/>
  <c r="C94" i="23184"/>
  <c r="AP94" i="23184" s="1"/>
  <c r="C95" i="23184"/>
  <c r="AP95" i="23184" s="1"/>
  <c r="C96" i="23184"/>
  <c r="AP96" i="23184" s="1"/>
  <c r="C97" i="23184"/>
  <c r="AP97" i="23184" s="1"/>
  <c r="C98" i="23184"/>
  <c r="AL98" i="23184" s="1"/>
  <c r="C99" i="23184"/>
  <c r="AP99" i="23184" s="1"/>
  <c r="C100" i="23184"/>
  <c r="AP100" i="23184" s="1"/>
  <c r="C101" i="23184"/>
  <c r="AP101" i="23184" s="1"/>
  <c r="C102" i="23184"/>
  <c r="C103" i="23184"/>
  <c r="AP103" i="23184" s="1"/>
  <c r="C104" i="23184"/>
  <c r="AP104" i="23184" s="1"/>
  <c r="C105" i="23184"/>
  <c r="AP105" i="23184" s="1"/>
  <c r="C106" i="23184"/>
  <c r="AP106" i="23184" s="1"/>
  <c r="C107" i="23184"/>
  <c r="AP107" i="23184" s="1"/>
  <c r="C108" i="23184"/>
  <c r="AP108" i="23184" s="1"/>
  <c r="C109" i="23184"/>
  <c r="AP109" i="23184" s="1"/>
  <c r="C110" i="23184"/>
  <c r="AP110" i="23184" s="1"/>
  <c r="C111" i="23184"/>
  <c r="AU111" i="23184" s="1"/>
  <c r="C112" i="23184"/>
  <c r="AP112" i="23184" s="1"/>
  <c r="C113" i="23184"/>
  <c r="AP113" i="23184" s="1"/>
  <c r="C114" i="23184"/>
  <c r="C115" i="23184"/>
  <c r="AP115" i="23184" s="1"/>
  <c r="C116" i="23184"/>
  <c r="AP116" i="23184" s="1"/>
  <c r="C117" i="23184"/>
  <c r="AP117" i="23184" s="1"/>
  <c r="C118" i="23184"/>
  <c r="AP118" i="23184" s="1"/>
  <c r="C119" i="23184"/>
  <c r="AP119" i="23184" s="1"/>
  <c r="C120" i="23184"/>
  <c r="AP120" i="23184" s="1"/>
  <c r="C121" i="23184"/>
  <c r="AP121" i="23184" s="1"/>
  <c r="B19" i="23183"/>
  <c r="B14" i="23201" s="1"/>
  <c r="B20" i="23183"/>
  <c r="B15" i="23201" s="1"/>
  <c r="B21" i="23183"/>
  <c r="B16" i="23201" s="1"/>
  <c r="B22" i="23183"/>
  <c r="B17" i="23201" s="1"/>
  <c r="B23" i="23183"/>
  <c r="B24" i="23183"/>
  <c r="B25" i="23183"/>
  <c r="B26" i="23183"/>
  <c r="B27" i="23183"/>
  <c r="B28" i="23183"/>
  <c r="B29" i="23183"/>
  <c r="B30" i="23183"/>
  <c r="B31" i="23183"/>
  <c r="B32" i="23183"/>
  <c r="B33" i="23183"/>
  <c r="B34" i="23183"/>
  <c r="B35" i="23183"/>
  <c r="B36" i="23183"/>
  <c r="B37" i="23183"/>
  <c r="B38" i="23183"/>
  <c r="B39" i="23183"/>
  <c r="B40" i="23183"/>
  <c r="B41" i="23183"/>
  <c r="B42" i="23183"/>
  <c r="B43" i="23183"/>
  <c r="B44" i="23183"/>
  <c r="B45" i="23183"/>
  <c r="B46" i="23183"/>
  <c r="B47" i="23183"/>
  <c r="B48" i="23183"/>
  <c r="B49" i="23183"/>
  <c r="B50" i="23183"/>
  <c r="B51" i="23183"/>
  <c r="B52" i="23183"/>
  <c r="B53" i="23183"/>
  <c r="B54" i="23183"/>
  <c r="B55" i="23183"/>
  <c r="B56" i="23183"/>
  <c r="B57" i="23183"/>
  <c r="B58" i="23183"/>
  <c r="B59" i="23183"/>
  <c r="B60" i="23183"/>
  <c r="B61" i="23183"/>
  <c r="B62" i="23183"/>
  <c r="B63" i="23183"/>
  <c r="B64" i="23183"/>
  <c r="B65" i="23183"/>
  <c r="B66" i="23183"/>
  <c r="B67" i="23183"/>
  <c r="B68" i="23183"/>
  <c r="B69" i="23183"/>
  <c r="B70" i="23183"/>
  <c r="B71" i="23183"/>
  <c r="B72" i="23183"/>
  <c r="B73" i="23183"/>
  <c r="B74" i="23183"/>
  <c r="B75" i="23183"/>
  <c r="B76" i="23183"/>
  <c r="B77" i="23183"/>
  <c r="B78" i="23183"/>
  <c r="B79" i="23183"/>
  <c r="B80" i="23183"/>
  <c r="B81" i="23183"/>
  <c r="B82" i="23183"/>
  <c r="B83" i="23183"/>
  <c r="B84" i="23183"/>
  <c r="B85" i="23183"/>
  <c r="B86" i="23183"/>
  <c r="B87" i="23183"/>
  <c r="B18" i="23183"/>
  <c r="B13" i="23201" s="1"/>
  <c r="BZ62" i="23183" l="1"/>
  <c r="CL62" i="23183"/>
  <c r="CX62" i="23183"/>
  <c r="CA62" i="23183"/>
  <c r="CM62" i="23183"/>
  <c r="CY62" i="23183"/>
  <c r="CB62" i="23183"/>
  <c r="CN62" i="23183"/>
  <c r="CZ62" i="23183"/>
  <c r="BQ62" i="23183"/>
  <c r="CC62" i="23183"/>
  <c r="CO62" i="23183"/>
  <c r="BR62" i="23183"/>
  <c r="CD62" i="23183"/>
  <c r="CP62" i="23183"/>
  <c r="BS62" i="23183"/>
  <c r="CE62" i="23183"/>
  <c r="CQ62" i="23183"/>
  <c r="BT62" i="23183"/>
  <c r="CF62" i="23183"/>
  <c r="CR62" i="23183"/>
  <c r="BU62" i="23183"/>
  <c r="CG62" i="23183"/>
  <c r="CS62" i="23183"/>
  <c r="BV62" i="23183"/>
  <c r="CH62" i="23183"/>
  <c r="CT62" i="23183"/>
  <c r="BW62" i="23183"/>
  <c r="CI62" i="23183"/>
  <c r="CU62" i="23183"/>
  <c r="CV62" i="23183"/>
  <c r="CK62" i="23183"/>
  <c r="CW62" i="23183"/>
  <c r="BY62" i="23183"/>
  <c r="CJ62" i="23183"/>
  <c r="BX62" i="23183"/>
  <c r="BQ26" i="23183"/>
  <c r="CC26" i="23183"/>
  <c r="CO26" i="23183"/>
  <c r="BR26" i="23183"/>
  <c r="CD26" i="23183"/>
  <c r="CP26" i="23183"/>
  <c r="BS26" i="23183"/>
  <c r="CE26" i="23183"/>
  <c r="CQ26" i="23183"/>
  <c r="BT26" i="23183"/>
  <c r="CF26" i="23183"/>
  <c r="CR26" i="23183"/>
  <c r="BU26" i="23183"/>
  <c r="CG26" i="23183"/>
  <c r="CS26" i="23183"/>
  <c r="BV26" i="23183"/>
  <c r="CH26" i="23183"/>
  <c r="CT26" i="23183"/>
  <c r="BW26" i="23183"/>
  <c r="CI26" i="23183"/>
  <c r="CU26" i="23183"/>
  <c r="BX26" i="23183"/>
  <c r="CJ26" i="23183"/>
  <c r="CV26" i="23183"/>
  <c r="BY26" i="23183"/>
  <c r="CK26" i="23183"/>
  <c r="CW26" i="23183"/>
  <c r="BZ26" i="23183"/>
  <c r="CA26" i="23183"/>
  <c r="CB26" i="23183"/>
  <c r="CL26" i="23183"/>
  <c r="CM26" i="23183"/>
  <c r="CN26" i="23183"/>
  <c r="CX26" i="23183"/>
  <c r="CY26" i="23183"/>
  <c r="CZ26" i="23183"/>
  <c r="BD87" i="23183"/>
  <c r="BZ87" i="23183"/>
  <c r="CL87" i="23183"/>
  <c r="CX87" i="23183"/>
  <c r="CA87" i="23183"/>
  <c r="CM87" i="23183"/>
  <c r="CY87" i="23183"/>
  <c r="CB87" i="23183"/>
  <c r="CN87" i="23183"/>
  <c r="CZ87" i="23183"/>
  <c r="BU87" i="23183"/>
  <c r="BQ87" i="23183"/>
  <c r="CC87" i="23183"/>
  <c r="CO87" i="23183"/>
  <c r="BR87" i="23183"/>
  <c r="CD87" i="23183"/>
  <c r="CP87" i="23183"/>
  <c r="BS87" i="23183"/>
  <c r="CE87" i="23183"/>
  <c r="CQ87" i="23183"/>
  <c r="BT87" i="23183"/>
  <c r="CF87" i="23183"/>
  <c r="CR87" i="23183"/>
  <c r="CG87" i="23183"/>
  <c r="CS87" i="23183"/>
  <c r="BV87" i="23183"/>
  <c r="CH87" i="23183"/>
  <c r="CT87" i="23183"/>
  <c r="BX87" i="23183"/>
  <c r="CK87" i="23183"/>
  <c r="BY87" i="23183"/>
  <c r="CI87" i="23183"/>
  <c r="CJ87" i="23183"/>
  <c r="CU87" i="23183"/>
  <c r="CV87" i="23183"/>
  <c r="CW87" i="23183"/>
  <c r="BW87" i="23183"/>
  <c r="BQ25" i="23183"/>
  <c r="CC25" i="23183"/>
  <c r="CO25" i="23183"/>
  <c r="BR25" i="23183"/>
  <c r="CD25" i="23183"/>
  <c r="CP25" i="23183"/>
  <c r="BS25" i="23183"/>
  <c r="CE25" i="23183"/>
  <c r="CQ25" i="23183"/>
  <c r="BT25" i="23183"/>
  <c r="CF25" i="23183"/>
  <c r="BU25" i="23183"/>
  <c r="CG25" i="23183"/>
  <c r="BV25" i="23183"/>
  <c r="CH25" i="23183"/>
  <c r="BW25" i="23183"/>
  <c r="CI25" i="23183"/>
  <c r="CU25" i="23183"/>
  <c r="BX25" i="23183"/>
  <c r="CJ25" i="23183"/>
  <c r="CV25" i="23183"/>
  <c r="BY25" i="23183"/>
  <c r="CK25" i="23183"/>
  <c r="CW25" i="23183"/>
  <c r="BZ25" i="23183"/>
  <c r="CA25" i="23183"/>
  <c r="CB25" i="23183"/>
  <c r="CL25" i="23183"/>
  <c r="CM25" i="23183"/>
  <c r="CN25" i="23183"/>
  <c r="BQ48" i="23183"/>
  <c r="CC48" i="23183"/>
  <c r="CO48" i="23183"/>
  <c r="BR48" i="23183"/>
  <c r="CD48" i="23183"/>
  <c r="CP48" i="23183"/>
  <c r="BS48" i="23183"/>
  <c r="CE48" i="23183"/>
  <c r="CQ48" i="23183"/>
  <c r="BT48" i="23183"/>
  <c r="CF48" i="23183"/>
  <c r="CR48" i="23183"/>
  <c r="BU48" i="23183"/>
  <c r="CG48" i="23183"/>
  <c r="CS48" i="23183"/>
  <c r="BV48" i="23183"/>
  <c r="CH48" i="23183"/>
  <c r="CT48" i="23183"/>
  <c r="BW48" i="23183"/>
  <c r="CI48" i="23183"/>
  <c r="CU48" i="23183"/>
  <c r="BX48" i="23183"/>
  <c r="CJ48" i="23183"/>
  <c r="CV48" i="23183"/>
  <c r="BY48" i="23183"/>
  <c r="CK48" i="23183"/>
  <c r="CW48" i="23183"/>
  <c r="CX48" i="23183"/>
  <c r="CY48" i="23183"/>
  <c r="CZ48" i="23183"/>
  <c r="BZ48" i="23183"/>
  <c r="CA48" i="23183"/>
  <c r="CB48" i="23183"/>
  <c r="CL48" i="23183"/>
  <c r="CM48" i="23183"/>
  <c r="CN48" i="23183"/>
  <c r="BQ36" i="23183"/>
  <c r="CC36" i="23183"/>
  <c r="CO36" i="23183"/>
  <c r="BR36" i="23183"/>
  <c r="CD36" i="23183"/>
  <c r="CP36" i="23183"/>
  <c r="BS36" i="23183"/>
  <c r="CE36" i="23183"/>
  <c r="CQ36" i="23183"/>
  <c r="BT36" i="23183"/>
  <c r="CF36" i="23183"/>
  <c r="CR36" i="23183"/>
  <c r="BU36" i="23183"/>
  <c r="CG36" i="23183"/>
  <c r="CS36" i="23183"/>
  <c r="BV36" i="23183"/>
  <c r="CH36" i="23183"/>
  <c r="CT36" i="23183"/>
  <c r="BW36" i="23183"/>
  <c r="CI36" i="23183"/>
  <c r="CU36" i="23183"/>
  <c r="BX36" i="23183"/>
  <c r="CJ36" i="23183"/>
  <c r="CV36" i="23183"/>
  <c r="BY36" i="23183"/>
  <c r="CK36" i="23183"/>
  <c r="CW36" i="23183"/>
  <c r="CX36" i="23183"/>
  <c r="CY36" i="23183"/>
  <c r="CZ36" i="23183"/>
  <c r="BZ36" i="23183"/>
  <c r="CA36" i="23183"/>
  <c r="CB36" i="23183"/>
  <c r="CL36" i="23183"/>
  <c r="CM36" i="23183"/>
  <c r="CN36" i="23183"/>
  <c r="BW24" i="23183"/>
  <c r="CI24" i="23183"/>
  <c r="BX24" i="23183"/>
  <c r="CJ24" i="23183"/>
  <c r="BY24" i="23183"/>
  <c r="CK24" i="23183"/>
  <c r="BZ24" i="23183"/>
  <c r="CL24" i="23183"/>
  <c r="CA24" i="23183"/>
  <c r="CM24" i="23183"/>
  <c r="CB24" i="23183"/>
  <c r="CN24" i="23183"/>
  <c r="BQ24" i="23183"/>
  <c r="CC24" i="23183"/>
  <c r="CO24" i="23183"/>
  <c r="BR24" i="23183"/>
  <c r="CD24" i="23183"/>
  <c r="CP24" i="23183"/>
  <c r="BS24" i="23183"/>
  <c r="CE24" i="23183"/>
  <c r="CQ24" i="23183"/>
  <c r="CU24" i="23183"/>
  <c r="CV24" i="23183"/>
  <c r="CW24" i="23183"/>
  <c r="BT24" i="23183"/>
  <c r="BU24" i="23183"/>
  <c r="BV24" i="23183"/>
  <c r="CF24" i="23183"/>
  <c r="CG24" i="23183"/>
  <c r="CH24" i="23183"/>
  <c r="BZ71" i="23183"/>
  <c r="CL71" i="23183"/>
  <c r="CX71" i="23183"/>
  <c r="CA71" i="23183"/>
  <c r="CM71" i="23183"/>
  <c r="CY71" i="23183"/>
  <c r="CB71" i="23183"/>
  <c r="CN71" i="23183"/>
  <c r="CZ71" i="23183"/>
  <c r="CS71" i="23183"/>
  <c r="BQ71" i="23183"/>
  <c r="CC71" i="23183"/>
  <c r="CO71" i="23183"/>
  <c r="BR71" i="23183"/>
  <c r="CD71" i="23183"/>
  <c r="CP71" i="23183"/>
  <c r="BS71" i="23183"/>
  <c r="CE71" i="23183"/>
  <c r="CQ71" i="23183"/>
  <c r="BT71" i="23183"/>
  <c r="CF71" i="23183"/>
  <c r="CR71" i="23183"/>
  <c r="BU71" i="23183"/>
  <c r="CG71" i="23183"/>
  <c r="BV71" i="23183"/>
  <c r="CH71" i="23183"/>
  <c r="CT71" i="23183"/>
  <c r="CI71" i="23183"/>
  <c r="BW71" i="23183"/>
  <c r="CU71" i="23183"/>
  <c r="BX71" i="23183"/>
  <c r="BY71" i="23183"/>
  <c r="CJ71" i="23183"/>
  <c r="CW71" i="23183"/>
  <c r="CK71" i="23183"/>
  <c r="CV71" i="23183"/>
  <c r="BQ35" i="23183"/>
  <c r="CC35" i="23183"/>
  <c r="CO35" i="23183"/>
  <c r="BR35" i="23183"/>
  <c r="CD35" i="23183"/>
  <c r="CP35" i="23183"/>
  <c r="BS35" i="23183"/>
  <c r="CE35" i="23183"/>
  <c r="CQ35" i="23183"/>
  <c r="BT35" i="23183"/>
  <c r="CF35" i="23183"/>
  <c r="CR35" i="23183"/>
  <c r="BU35" i="23183"/>
  <c r="CG35" i="23183"/>
  <c r="CS35" i="23183"/>
  <c r="BV35" i="23183"/>
  <c r="CH35" i="23183"/>
  <c r="CT35" i="23183"/>
  <c r="BW35" i="23183"/>
  <c r="CI35" i="23183"/>
  <c r="CU35" i="23183"/>
  <c r="BX35" i="23183"/>
  <c r="CJ35" i="23183"/>
  <c r="CV35" i="23183"/>
  <c r="BY35" i="23183"/>
  <c r="CK35" i="23183"/>
  <c r="CW35" i="23183"/>
  <c r="CL35" i="23183"/>
  <c r="CM35" i="23183"/>
  <c r="CN35" i="23183"/>
  <c r="CX35" i="23183"/>
  <c r="CY35" i="23183"/>
  <c r="CZ35" i="23183"/>
  <c r="BZ35" i="23183"/>
  <c r="CA35" i="23183"/>
  <c r="CB35" i="23183"/>
  <c r="B18" i="23201"/>
  <c r="BQ23" i="23183"/>
  <c r="CC23" i="23183"/>
  <c r="CO23" i="23183"/>
  <c r="BR23" i="23183"/>
  <c r="CD23" i="23183"/>
  <c r="CP23" i="23183"/>
  <c r="BS23" i="23183"/>
  <c r="CE23" i="23183"/>
  <c r="CQ23" i="23183"/>
  <c r="BT23" i="23183"/>
  <c r="CF23" i="23183"/>
  <c r="CU23" i="23183"/>
  <c r="BU23" i="23183"/>
  <c r="CG23" i="23183"/>
  <c r="CV23" i="23183"/>
  <c r="BV23" i="23183"/>
  <c r="CH23" i="23183"/>
  <c r="CW23" i="23183"/>
  <c r="BW23" i="23183"/>
  <c r="CI23" i="23183"/>
  <c r="BX23" i="23183"/>
  <c r="CJ23" i="23183"/>
  <c r="BY23" i="23183"/>
  <c r="CK23" i="23183"/>
  <c r="BZ23" i="23183"/>
  <c r="CA23" i="23183"/>
  <c r="CB23" i="23183"/>
  <c r="CL23" i="23183"/>
  <c r="CM23" i="23183"/>
  <c r="CN23" i="23183"/>
  <c r="BQ49" i="23183"/>
  <c r="CC49" i="23183"/>
  <c r="CO49" i="23183"/>
  <c r="BR49" i="23183"/>
  <c r="CD49" i="23183"/>
  <c r="CP49" i="23183"/>
  <c r="BS49" i="23183"/>
  <c r="CE49" i="23183"/>
  <c r="CQ49" i="23183"/>
  <c r="BT49" i="23183"/>
  <c r="CF49" i="23183"/>
  <c r="CR49" i="23183"/>
  <c r="BU49" i="23183"/>
  <c r="CG49" i="23183"/>
  <c r="CS49" i="23183"/>
  <c r="BV49" i="23183"/>
  <c r="CH49" i="23183"/>
  <c r="CT49" i="23183"/>
  <c r="BW49" i="23183"/>
  <c r="CI49" i="23183"/>
  <c r="CU49" i="23183"/>
  <c r="BX49" i="23183"/>
  <c r="CJ49" i="23183"/>
  <c r="CV49" i="23183"/>
  <c r="BY49" i="23183"/>
  <c r="CK49" i="23183"/>
  <c r="CW49" i="23183"/>
  <c r="BZ49" i="23183"/>
  <c r="CA49" i="23183"/>
  <c r="CB49" i="23183"/>
  <c r="CL49" i="23183"/>
  <c r="CM49" i="23183"/>
  <c r="CN49" i="23183"/>
  <c r="CX49" i="23183"/>
  <c r="CY49" i="23183"/>
  <c r="CZ49" i="23183"/>
  <c r="BH83" i="23183"/>
  <c r="BZ83" i="23183"/>
  <c r="CL83" i="23183"/>
  <c r="CX83" i="23183"/>
  <c r="BU83" i="23183"/>
  <c r="CA83" i="23183"/>
  <c r="CM83" i="23183"/>
  <c r="CY83" i="23183"/>
  <c r="CS83" i="23183"/>
  <c r="CB83" i="23183"/>
  <c r="CN83" i="23183"/>
  <c r="CZ83" i="23183"/>
  <c r="BQ83" i="23183"/>
  <c r="CC83" i="23183"/>
  <c r="CO83" i="23183"/>
  <c r="BR83" i="23183"/>
  <c r="CD83" i="23183"/>
  <c r="CP83" i="23183"/>
  <c r="BS83" i="23183"/>
  <c r="CE83" i="23183"/>
  <c r="CQ83" i="23183"/>
  <c r="BT83" i="23183"/>
  <c r="CF83" i="23183"/>
  <c r="CR83" i="23183"/>
  <c r="CG83" i="23183"/>
  <c r="BV83" i="23183"/>
  <c r="CH83" i="23183"/>
  <c r="CT83" i="23183"/>
  <c r="BX83" i="23183"/>
  <c r="BW83" i="23183"/>
  <c r="BY83" i="23183"/>
  <c r="CI83" i="23183"/>
  <c r="CU83" i="23183"/>
  <c r="CW83" i="23183"/>
  <c r="CJ83" i="23183"/>
  <c r="CK83" i="23183"/>
  <c r="CV83" i="23183"/>
  <c r="BZ59" i="23183"/>
  <c r="CL59" i="23183"/>
  <c r="CX59" i="23183"/>
  <c r="CA59" i="23183"/>
  <c r="CM59" i="23183"/>
  <c r="CY59" i="23183"/>
  <c r="CB59" i="23183"/>
  <c r="CN59" i="23183"/>
  <c r="CZ59" i="23183"/>
  <c r="BQ59" i="23183"/>
  <c r="CC59" i="23183"/>
  <c r="CO59" i="23183"/>
  <c r="BR59" i="23183"/>
  <c r="CD59" i="23183"/>
  <c r="CP59" i="23183"/>
  <c r="BS59" i="23183"/>
  <c r="CE59" i="23183"/>
  <c r="CQ59" i="23183"/>
  <c r="BT59" i="23183"/>
  <c r="CF59" i="23183"/>
  <c r="CR59" i="23183"/>
  <c r="BU59" i="23183"/>
  <c r="CG59" i="23183"/>
  <c r="CS59" i="23183"/>
  <c r="BV59" i="23183"/>
  <c r="CH59" i="23183"/>
  <c r="CT59" i="23183"/>
  <c r="BW59" i="23183"/>
  <c r="CI59" i="23183"/>
  <c r="CU59" i="23183"/>
  <c r="BX59" i="23183"/>
  <c r="BY59" i="23183"/>
  <c r="CJ59" i="23183"/>
  <c r="CK59" i="23183"/>
  <c r="CV59" i="23183"/>
  <c r="CW59" i="23183"/>
  <c r="BZ70" i="23183"/>
  <c r="CL70" i="23183"/>
  <c r="CX70" i="23183"/>
  <c r="CS70" i="23183"/>
  <c r="CA70" i="23183"/>
  <c r="CM70" i="23183"/>
  <c r="CY70" i="23183"/>
  <c r="CG70" i="23183"/>
  <c r="CB70" i="23183"/>
  <c r="CN70" i="23183"/>
  <c r="CZ70" i="23183"/>
  <c r="BQ70" i="23183"/>
  <c r="CC70" i="23183"/>
  <c r="CO70" i="23183"/>
  <c r="BR70" i="23183"/>
  <c r="CD70" i="23183"/>
  <c r="CP70" i="23183"/>
  <c r="BS70" i="23183"/>
  <c r="CE70" i="23183"/>
  <c r="CQ70" i="23183"/>
  <c r="BT70" i="23183"/>
  <c r="CF70" i="23183"/>
  <c r="CR70" i="23183"/>
  <c r="BU70" i="23183"/>
  <c r="BV70" i="23183"/>
  <c r="CH70" i="23183"/>
  <c r="CT70" i="23183"/>
  <c r="CI70" i="23183"/>
  <c r="CU70" i="23183"/>
  <c r="BW70" i="23183"/>
  <c r="CV70" i="23183"/>
  <c r="CW70" i="23183"/>
  <c r="BY70" i="23183"/>
  <c r="CK70" i="23183"/>
  <c r="CJ70" i="23183"/>
  <c r="BX70" i="23183"/>
  <c r="BZ58" i="23183"/>
  <c r="CL58" i="23183"/>
  <c r="CX58" i="23183"/>
  <c r="CA58" i="23183"/>
  <c r="CM58" i="23183"/>
  <c r="CY58" i="23183"/>
  <c r="CB58" i="23183"/>
  <c r="CN58" i="23183"/>
  <c r="CZ58" i="23183"/>
  <c r="BQ58" i="23183"/>
  <c r="CC58" i="23183"/>
  <c r="CO58" i="23183"/>
  <c r="BR58" i="23183"/>
  <c r="CD58" i="23183"/>
  <c r="CP58" i="23183"/>
  <c r="BS58" i="23183"/>
  <c r="CE58" i="23183"/>
  <c r="CQ58" i="23183"/>
  <c r="BT58" i="23183"/>
  <c r="CF58" i="23183"/>
  <c r="CR58" i="23183"/>
  <c r="BU58" i="23183"/>
  <c r="CG58" i="23183"/>
  <c r="CS58" i="23183"/>
  <c r="BV58" i="23183"/>
  <c r="CH58" i="23183"/>
  <c r="CT58" i="23183"/>
  <c r="BW58" i="23183"/>
  <c r="CI58" i="23183"/>
  <c r="CU58" i="23183"/>
  <c r="CV58" i="23183"/>
  <c r="CW58" i="23183"/>
  <c r="CK58" i="23183"/>
  <c r="CJ58" i="23183"/>
  <c r="BX58" i="23183"/>
  <c r="BY58" i="23183"/>
  <c r="BQ46" i="23183"/>
  <c r="CC46" i="23183"/>
  <c r="CO46" i="23183"/>
  <c r="BR46" i="23183"/>
  <c r="CD46" i="23183"/>
  <c r="CP46" i="23183"/>
  <c r="BS46" i="23183"/>
  <c r="CE46" i="23183"/>
  <c r="CQ46" i="23183"/>
  <c r="BT46" i="23183"/>
  <c r="CF46" i="23183"/>
  <c r="CR46" i="23183"/>
  <c r="BU46" i="23183"/>
  <c r="CG46" i="23183"/>
  <c r="CS46" i="23183"/>
  <c r="BV46" i="23183"/>
  <c r="CH46" i="23183"/>
  <c r="CT46" i="23183"/>
  <c r="BW46" i="23183"/>
  <c r="CI46" i="23183"/>
  <c r="CU46" i="23183"/>
  <c r="BX46" i="23183"/>
  <c r="CJ46" i="23183"/>
  <c r="CV46" i="23183"/>
  <c r="BY46" i="23183"/>
  <c r="CK46" i="23183"/>
  <c r="CW46" i="23183"/>
  <c r="BZ46" i="23183"/>
  <c r="CA46" i="23183"/>
  <c r="CB46" i="23183"/>
  <c r="CL46" i="23183"/>
  <c r="CM46" i="23183"/>
  <c r="CN46" i="23183"/>
  <c r="CX46" i="23183"/>
  <c r="CY46" i="23183"/>
  <c r="CZ46" i="23183"/>
  <c r="BQ34" i="23183"/>
  <c r="CC34" i="23183"/>
  <c r="CO34" i="23183"/>
  <c r="BR34" i="23183"/>
  <c r="CD34" i="23183"/>
  <c r="CP34" i="23183"/>
  <c r="BS34" i="23183"/>
  <c r="CE34" i="23183"/>
  <c r="CQ34" i="23183"/>
  <c r="BT34" i="23183"/>
  <c r="CF34" i="23183"/>
  <c r="CR34" i="23183"/>
  <c r="BU34" i="23183"/>
  <c r="CG34" i="23183"/>
  <c r="CS34" i="23183"/>
  <c r="BV34" i="23183"/>
  <c r="CH34" i="23183"/>
  <c r="CT34" i="23183"/>
  <c r="BW34" i="23183"/>
  <c r="CI34" i="23183"/>
  <c r="CU34" i="23183"/>
  <c r="BX34" i="23183"/>
  <c r="CJ34" i="23183"/>
  <c r="CV34" i="23183"/>
  <c r="BY34" i="23183"/>
  <c r="CK34" i="23183"/>
  <c r="CW34" i="23183"/>
  <c r="BZ34" i="23183"/>
  <c r="CA34" i="23183"/>
  <c r="CB34" i="23183"/>
  <c r="CL34" i="23183"/>
  <c r="CM34" i="23183"/>
  <c r="CN34" i="23183"/>
  <c r="CX34" i="23183"/>
  <c r="CY34" i="23183"/>
  <c r="CZ34" i="23183"/>
  <c r="BQ51" i="23183"/>
  <c r="CC51" i="23183"/>
  <c r="BR51" i="23183"/>
  <c r="CD51" i="23183"/>
  <c r="BS51" i="23183"/>
  <c r="CE51" i="23183"/>
  <c r="BT51" i="23183"/>
  <c r="CF51" i="23183"/>
  <c r="BU51" i="23183"/>
  <c r="CG51" i="23183"/>
  <c r="BV51" i="23183"/>
  <c r="CH51" i="23183"/>
  <c r="BW51" i="23183"/>
  <c r="CI51" i="23183"/>
  <c r="BX51" i="23183"/>
  <c r="CJ51" i="23183"/>
  <c r="BY51" i="23183"/>
  <c r="CK51" i="23183"/>
  <c r="CL51" i="23183"/>
  <c r="CX51" i="23183"/>
  <c r="CM51" i="23183"/>
  <c r="CY51" i="23183"/>
  <c r="CN51" i="23183"/>
  <c r="CZ51" i="23183"/>
  <c r="CO51" i="23183"/>
  <c r="CP51" i="23183"/>
  <c r="CQ51" i="23183"/>
  <c r="CR51" i="23183"/>
  <c r="CS51" i="23183"/>
  <c r="CT51" i="23183"/>
  <c r="BZ51" i="23183"/>
  <c r="CU51" i="23183"/>
  <c r="CA51" i="23183"/>
  <c r="CB51" i="23183"/>
  <c r="CV51" i="23183"/>
  <c r="CW51" i="23183"/>
  <c r="BQ38" i="23183"/>
  <c r="CC38" i="23183"/>
  <c r="CO38" i="23183"/>
  <c r="BR38" i="23183"/>
  <c r="CD38" i="23183"/>
  <c r="CP38" i="23183"/>
  <c r="BS38" i="23183"/>
  <c r="CE38" i="23183"/>
  <c r="CQ38" i="23183"/>
  <c r="BT38" i="23183"/>
  <c r="CF38" i="23183"/>
  <c r="CR38" i="23183"/>
  <c r="BU38" i="23183"/>
  <c r="CG38" i="23183"/>
  <c r="CS38" i="23183"/>
  <c r="BV38" i="23183"/>
  <c r="CH38" i="23183"/>
  <c r="CT38" i="23183"/>
  <c r="BW38" i="23183"/>
  <c r="CI38" i="23183"/>
  <c r="CU38" i="23183"/>
  <c r="BX38" i="23183"/>
  <c r="CJ38" i="23183"/>
  <c r="CV38" i="23183"/>
  <c r="BY38" i="23183"/>
  <c r="CK38" i="23183"/>
  <c r="CW38" i="23183"/>
  <c r="BZ38" i="23183"/>
  <c r="CA38" i="23183"/>
  <c r="CB38" i="23183"/>
  <c r="CL38" i="23183"/>
  <c r="CM38" i="23183"/>
  <c r="CN38" i="23183"/>
  <c r="CX38" i="23183"/>
  <c r="CY38" i="23183"/>
  <c r="CZ38" i="23183"/>
  <c r="BH84" i="23183"/>
  <c r="BZ84" i="23183"/>
  <c r="CL84" i="23183"/>
  <c r="CX84" i="23183"/>
  <c r="CA84" i="23183"/>
  <c r="CM84" i="23183"/>
  <c r="CY84" i="23183"/>
  <c r="CS84" i="23183"/>
  <c r="CB84" i="23183"/>
  <c r="CN84" i="23183"/>
  <c r="CZ84" i="23183"/>
  <c r="BU84" i="23183"/>
  <c r="BQ84" i="23183"/>
  <c r="CC84" i="23183"/>
  <c r="CO84" i="23183"/>
  <c r="BR84" i="23183"/>
  <c r="CD84" i="23183"/>
  <c r="CP84" i="23183"/>
  <c r="BS84" i="23183"/>
  <c r="CE84" i="23183"/>
  <c r="CQ84" i="23183"/>
  <c r="BT84" i="23183"/>
  <c r="CF84" i="23183"/>
  <c r="CR84" i="23183"/>
  <c r="CG84" i="23183"/>
  <c r="BV84" i="23183"/>
  <c r="CH84" i="23183"/>
  <c r="CT84" i="23183"/>
  <c r="CJ84" i="23183"/>
  <c r="CV84" i="23183"/>
  <c r="BX84" i="23183"/>
  <c r="CK84" i="23183"/>
  <c r="CU84" i="23183"/>
  <c r="CI84" i="23183"/>
  <c r="BW84" i="23183"/>
  <c r="CW84" i="23183"/>
  <c r="BY84" i="23183"/>
  <c r="BQ47" i="23183"/>
  <c r="CC47" i="23183"/>
  <c r="CO47" i="23183"/>
  <c r="BR47" i="23183"/>
  <c r="CD47" i="23183"/>
  <c r="CP47" i="23183"/>
  <c r="BS47" i="23183"/>
  <c r="CE47" i="23183"/>
  <c r="CQ47" i="23183"/>
  <c r="BT47" i="23183"/>
  <c r="CF47" i="23183"/>
  <c r="CR47" i="23183"/>
  <c r="BU47" i="23183"/>
  <c r="CG47" i="23183"/>
  <c r="CS47" i="23183"/>
  <c r="BV47" i="23183"/>
  <c r="CH47" i="23183"/>
  <c r="CT47" i="23183"/>
  <c r="BW47" i="23183"/>
  <c r="CI47" i="23183"/>
  <c r="CU47" i="23183"/>
  <c r="BX47" i="23183"/>
  <c r="CJ47" i="23183"/>
  <c r="CV47" i="23183"/>
  <c r="BY47" i="23183"/>
  <c r="CK47" i="23183"/>
  <c r="CW47" i="23183"/>
  <c r="CL47" i="23183"/>
  <c r="CM47" i="23183"/>
  <c r="CN47" i="23183"/>
  <c r="CX47" i="23183"/>
  <c r="CY47" i="23183"/>
  <c r="CZ47" i="23183"/>
  <c r="BZ47" i="23183"/>
  <c r="CB47" i="23183"/>
  <c r="CA47" i="23183"/>
  <c r="BM82" i="23183"/>
  <c r="BZ82" i="23183"/>
  <c r="CL82" i="23183"/>
  <c r="CX82" i="23183"/>
  <c r="CA82" i="23183"/>
  <c r="CM82" i="23183"/>
  <c r="CY82" i="23183"/>
  <c r="CG82" i="23183"/>
  <c r="CB82" i="23183"/>
  <c r="CN82" i="23183"/>
  <c r="CZ82" i="23183"/>
  <c r="CS82" i="23183"/>
  <c r="BQ82" i="23183"/>
  <c r="CC82" i="23183"/>
  <c r="CO82" i="23183"/>
  <c r="BR82" i="23183"/>
  <c r="CD82" i="23183"/>
  <c r="CP82" i="23183"/>
  <c r="BS82" i="23183"/>
  <c r="CE82" i="23183"/>
  <c r="CQ82" i="23183"/>
  <c r="BT82" i="23183"/>
  <c r="CF82" i="23183"/>
  <c r="CR82" i="23183"/>
  <c r="BU82" i="23183"/>
  <c r="BV82" i="23183"/>
  <c r="CH82" i="23183"/>
  <c r="CT82" i="23183"/>
  <c r="BX82" i="23183"/>
  <c r="BW82" i="23183"/>
  <c r="CW82" i="23183"/>
  <c r="BY82" i="23183"/>
  <c r="CI82" i="23183"/>
  <c r="CV82" i="23183"/>
  <c r="CJ82" i="23183"/>
  <c r="CU82" i="23183"/>
  <c r="CK82" i="23183"/>
  <c r="BO81" i="23183"/>
  <c r="BZ81" i="23183"/>
  <c r="CL81" i="23183"/>
  <c r="CX81" i="23183"/>
  <c r="CG81" i="23183"/>
  <c r="CA81" i="23183"/>
  <c r="CM81" i="23183"/>
  <c r="CY81" i="23183"/>
  <c r="CB81" i="23183"/>
  <c r="CN81" i="23183"/>
  <c r="CZ81" i="23183"/>
  <c r="BU81" i="23183"/>
  <c r="BQ81" i="23183"/>
  <c r="CC81" i="23183"/>
  <c r="CO81" i="23183"/>
  <c r="BR81" i="23183"/>
  <c r="CD81" i="23183"/>
  <c r="CP81" i="23183"/>
  <c r="BS81" i="23183"/>
  <c r="CE81" i="23183"/>
  <c r="CQ81" i="23183"/>
  <c r="BT81" i="23183"/>
  <c r="CF81" i="23183"/>
  <c r="CR81" i="23183"/>
  <c r="CS81" i="23183"/>
  <c r="BV81" i="23183"/>
  <c r="CH81" i="23183"/>
  <c r="CT81" i="23183"/>
  <c r="CV81" i="23183"/>
  <c r="CW81" i="23183"/>
  <c r="BY81" i="23183"/>
  <c r="BW81" i="23183"/>
  <c r="BX81" i="23183"/>
  <c r="CU81" i="23183"/>
  <c r="CI81" i="23183"/>
  <c r="CJ81" i="23183"/>
  <c r="CK81" i="23183"/>
  <c r="BZ69" i="23183"/>
  <c r="CL69" i="23183"/>
  <c r="CX69" i="23183"/>
  <c r="CA69" i="23183"/>
  <c r="CM69" i="23183"/>
  <c r="CY69" i="23183"/>
  <c r="CB69" i="23183"/>
  <c r="CN69" i="23183"/>
  <c r="CZ69" i="23183"/>
  <c r="CS69" i="23183"/>
  <c r="BQ69" i="23183"/>
  <c r="CC69" i="23183"/>
  <c r="CO69" i="23183"/>
  <c r="BR69" i="23183"/>
  <c r="CD69" i="23183"/>
  <c r="CP69" i="23183"/>
  <c r="BS69" i="23183"/>
  <c r="CE69" i="23183"/>
  <c r="CQ69" i="23183"/>
  <c r="BT69" i="23183"/>
  <c r="CF69" i="23183"/>
  <c r="CR69" i="23183"/>
  <c r="BU69" i="23183"/>
  <c r="CG69" i="23183"/>
  <c r="BV69" i="23183"/>
  <c r="CH69" i="23183"/>
  <c r="CT69" i="23183"/>
  <c r="CU69" i="23183"/>
  <c r="BW69" i="23183"/>
  <c r="CI69" i="23183"/>
  <c r="BX69" i="23183"/>
  <c r="BY69" i="23183"/>
  <c r="CW69" i="23183"/>
  <c r="CJ69" i="23183"/>
  <c r="CK69" i="23183"/>
  <c r="CV69" i="23183"/>
  <c r="BZ57" i="23183"/>
  <c r="CL57" i="23183"/>
  <c r="CX57" i="23183"/>
  <c r="CA57" i="23183"/>
  <c r="CM57" i="23183"/>
  <c r="CY57" i="23183"/>
  <c r="CB57" i="23183"/>
  <c r="CN57" i="23183"/>
  <c r="CZ57" i="23183"/>
  <c r="BQ57" i="23183"/>
  <c r="CC57" i="23183"/>
  <c r="CO57" i="23183"/>
  <c r="BR57" i="23183"/>
  <c r="CD57" i="23183"/>
  <c r="CP57" i="23183"/>
  <c r="BS57" i="23183"/>
  <c r="CE57" i="23183"/>
  <c r="CQ57" i="23183"/>
  <c r="BT57" i="23183"/>
  <c r="CF57" i="23183"/>
  <c r="CR57" i="23183"/>
  <c r="BU57" i="23183"/>
  <c r="CG57" i="23183"/>
  <c r="CS57" i="23183"/>
  <c r="BV57" i="23183"/>
  <c r="CH57" i="23183"/>
  <c r="CT57" i="23183"/>
  <c r="BW57" i="23183"/>
  <c r="CI57" i="23183"/>
  <c r="CU57" i="23183"/>
  <c r="BX57" i="23183"/>
  <c r="BY57" i="23183"/>
  <c r="CJ57" i="23183"/>
  <c r="CK57" i="23183"/>
  <c r="CV57" i="23183"/>
  <c r="CW57" i="23183"/>
  <c r="BQ45" i="23183"/>
  <c r="CC45" i="23183"/>
  <c r="CO45" i="23183"/>
  <c r="BR45" i="23183"/>
  <c r="CD45" i="23183"/>
  <c r="CP45" i="23183"/>
  <c r="BS45" i="23183"/>
  <c r="CE45" i="23183"/>
  <c r="CQ45" i="23183"/>
  <c r="BT45" i="23183"/>
  <c r="CF45" i="23183"/>
  <c r="CR45" i="23183"/>
  <c r="BU45" i="23183"/>
  <c r="CG45" i="23183"/>
  <c r="CS45" i="23183"/>
  <c r="BV45" i="23183"/>
  <c r="CH45" i="23183"/>
  <c r="CT45" i="23183"/>
  <c r="BW45" i="23183"/>
  <c r="CI45" i="23183"/>
  <c r="CU45" i="23183"/>
  <c r="BX45" i="23183"/>
  <c r="CJ45" i="23183"/>
  <c r="CV45" i="23183"/>
  <c r="BY45" i="23183"/>
  <c r="CK45" i="23183"/>
  <c r="CW45" i="23183"/>
  <c r="BZ45" i="23183"/>
  <c r="CA45" i="23183"/>
  <c r="CB45" i="23183"/>
  <c r="CL45" i="23183"/>
  <c r="CM45" i="23183"/>
  <c r="CN45" i="23183"/>
  <c r="CX45" i="23183"/>
  <c r="CZ45" i="23183"/>
  <c r="CY45" i="23183"/>
  <c r="BQ33" i="23183"/>
  <c r="CC33" i="23183"/>
  <c r="CO33" i="23183"/>
  <c r="BR33" i="23183"/>
  <c r="CD33" i="23183"/>
  <c r="CP33" i="23183"/>
  <c r="BS33" i="23183"/>
  <c r="CE33" i="23183"/>
  <c r="CQ33" i="23183"/>
  <c r="BT33" i="23183"/>
  <c r="CF33" i="23183"/>
  <c r="CR33" i="23183"/>
  <c r="BU33" i="23183"/>
  <c r="CG33" i="23183"/>
  <c r="CS33" i="23183"/>
  <c r="BV33" i="23183"/>
  <c r="CH33" i="23183"/>
  <c r="CT33" i="23183"/>
  <c r="BW33" i="23183"/>
  <c r="CI33" i="23183"/>
  <c r="CU33" i="23183"/>
  <c r="BX33" i="23183"/>
  <c r="CJ33" i="23183"/>
  <c r="CV33" i="23183"/>
  <c r="BY33" i="23183"/>
  <c r="CK33" i="23183"/>
  <c r="CW33" i="23183"/>
  <c r="BZ33" i="23183"/>
  <c r="CA33" i="23183"/>
  <c r="CB33" i="23183"/>
  <c r="CL33" i="23183"/>
  <c r="CM33" i="23183"/>
  <c r="CN33" i="23183"/>
  <c r="CX33" i="23183"/>
  <c r="CY33" i="23183"/>
  <c r="CZ33" i="23183"/>
  <c r="BZ75" i="23183"/>
  <c r="CL75" i="23183"/>
  <c r="CX75" i="23183"/>
  <c r="BU75" i="23183"/>
  <c r="CA75" i="23183"/>
  <c r="CM75" i="23183"/>
  <c r="CY75" i="23183"/>
  <c r="CB75" i="23183"/>
  <c r="CN75" i="23183"/>
  <c r="CZ75" i="23183"/>
  <c r="CG75" i="23183"/>
  <c r="BQ75" i="23183"/>
  <c r="CC75" i="23183"/>
  <c r="CO75" i="23183"/>
  <c r="BR75" i="23183"/>
  <c r="CD75" i="23183"/>
  <c r="CP75" i="23183"/>
  <c r="BS75" i="23183"/>
  <c r="CE75" i="23183"/>
  <c r="CQ75" i="23183"/>
  <c r="BT75" i="23183"/>
  <c r="CF75" i="23183"/>
  <c r="CR75" i="23183"/>
  <c r="CS75" i="23183"/>
  <c r="BV75" i="23183"/>
  <c r="CH75" i="23183"/>
  <c r="CT75" i="23183"/>
  <c r="CU75" i="23183"/>
  <c r="BW75" i="23183"/>
  <c r="CI75" i="23183"/>
  <c r="BX75" i="23183"/>
  <c r="BY75" i="23183"/>
  <c r="CJ75" i="23183"/>
  <c r="CK75" i="23183"/>
  <c r="CV75" i="23183"/>
  <c r="CW75" i="23183"/>
  <c r="BO80" i="23183"/>
  <c r="BZ80" i="23183"/>
  <c r="CL80" i="23183"/>
  <c r="CX80" i="23183"/>
  <c r="CA80" i="23183"/>
  <c r="CM80" i="23183"/>
  <c r="CY80" i="23183"/>
  <c r="CS80" i="23183"/>
  <c r="CB80" i="23183"/>
  <c r="CN80" i="23183"/>
  <c r="CZ80" i="23183"/>
  <c r="BU80" i="23183"/>
  <c r="BQ80" i="23183"/>
  <c r="CC80" i="23183"/>
  <c r="CO80" i="23183"/>
  <c r="BR80" i="23183"/>
  <c r="CD80" i="23183"/>
  <c r="CP80" i="23183"/>
  <c r="BS80" i="23183"/>
  <c r="CE80" i="23183"/>
  <c r="CQ80" i="23183"/>
  <c r="BT80" i="23183"/>
  <c r="CF80" i="23183"/>
  <c r="CR80" i="23183"/>
  <c r="CG80" i="23183"/>
  <c r="BV80" i="23183"/>
  <c r="CH80" i="23183"/>
  <c r="CT80" i="23183"/>
  <c r="CI80" i="23183"/>
  <c r="CJ80" i="23183"/>
  <c r="CK80" i="23183"/>
  <c r="CU80" i="23183"/>
  <c r="CV80" i="23183"/>
  <c r="CW80" i="23183"/>
  <c r="BX80" i="23183"/>
  <c r="BW80" i="23183"/>
  <c r="BY80" i="23183"/>
  <c r="BQ44" i="23183"/>
  <c r="CC44" i="23183"/>
  <c r="CO44" i="23183"/>
  <c r="BR44" i="23183"/>
  <c r="CD44" i="23183"/>
  <c r="CP44" i="23183"/>
  <c r="BS44" i="23183"/>
  <c r="CE44" i="23183"/>
  <c r="CQ44" i="23183"/>
  <c r="BT44" i="23183"/>
  <c r="CF44" i="23183"/>
  <c r="CR44" i="23183"/>
  <c r="BU44" i="23183"/>
  <c r="CG44" i="23183"/>
  <c r="CS44" i="23183"/>
  <c r="BV44" i="23183"/>
  <c r="CH44" i="23183"/>
  <c r="CT44" i="23183"/>
  <c r="BW44" i="23183"/>
  <c r="CI44" i="23183"/>
  <c r="CU44" i="23183"/>
  <c r="BX44" i="23183"/>
  <c r="CJ44" i="23183"/>
  <c r="CV44" i="23183"/>
  <c r="BY44" i="23183"/>
  <c r="CK44" i="23183"/>
  <c r="CW44" i="23183"/>
  <c r="CX44" i="23183"/>
  <c r="CY44" i="23183"/>
  <c r="CZ44" i="23183"/>
  <c r="BZ44" i="23183"/>
  <c r="CA44" i="23183"/>
  <c r="CB44" i="23183"/>
  <c r="CL44" i="23183"/>
  <c r="CM44" i="23183"/>
  <c r="CN44" i="23183"/>
  <c r="BQ32" i="23183"/>
  <c r="CC32" i="23183"/>
  <c r="CO32" i="23183"/>
  <c r="BR32" i="23183"/>
  <c r="CD32" i="23183"/>
  <c r="CP32" i="23183"/>
  <c r="BS32" i="23183"/>
  <c r="CE32" i="23183"/>
  <c r="CQ32" i="23183"/>
  <c r="BT32" i="23183"/>
  <c r="CF32" i="23183"/>
  <c r="CR32" i="23183"/>
  <c r="BU32" i="23183"/>
  <c r="CG32" i="23183"/>
  <c r="CS32" i="23183"/>
  <c r="BV32" i="23183"/>
  <c r="CH32" i="23183"/>
  <c r="CT32" i="23183"/>
  <c r="BW32" i="23183"/>
  <c r="CI32" i="23183"/>
  <c r="CU32" i="23183"/>
  <c r="BX32" i="23183"/>
  <c r="CJ32" i="23183"/>
  <c r="CV32" i="23183"/>
  <c r="BY32" i="23183"/>
  <c r="CK32" i="23183"/>
  <c r="CW32" i="23183"/>
  <c r="CX32" i="23183"/>
  <c r="CY32" i="23183"/>
  <c r="CZ32" i="23183"/>
  <c r="BZ32" i="23183"/>
  <c r="CA32" i="23183"/>
  <c r="CB32" i="23183"/>
  <c r="CL32" i="23183"/>
  <c r="CM32" i="23183"/>
  <c r="CN32" i="23183"/>
  <c r="BQ39" i="23183"/>
  <c r="CC39" i="23183"/>
  <c r="CO39" i="23183"/>
  <c r="BR39" i="23183"/>
  <c r="CD39" i="23183"/>
  <c r="CP39" i="23183"/>
  <c r="BS39" i="23183"/>
  <c r="CE39" i="23183"/>
  <c r="CQ39" i="23183"/>
  <c r="BT39" i="23183"/>
  <c r="CF39" i="23183"/>
  <c r="CR39" i="23183"/>
  <c r="BU39" i="23183"/>
  <c r="CG39" i="23183"/>
  <c r="CS39" i="23183"/>
  <c r="BV39" i="23183"/>
  <c r="CH39" i="23183"/>
  <c r="CT39" i="23183"/>
  <c r="BW39" i="23183"/>
  <c r="CI39" i="23183"/>
  <c r="CU39" i="23183"/>
  <c r="BX39" i="23183"/>
  <c r="CJ39" i="23183"/>
  <c r="CV39" i="23183"/>
  <c r="BY39" i="23183"/>
  <c r="CK39" i="23183"/>
  <c r="CW39" i="23183"/>
  <c r="CL39" i="23183"/>
  <c r="CM39" i="23183"/>
  <c r="CN39" i="23183"/>
  <c r="CX39" i="23183"/>
  <c r="CY39" i="23183"/>
  <c r="CZ39" i="23183"/>
  <c r="BZ39" i="23183"/>
  <c r="CA39" i="23183"/>
  <c r="CB39" i="23183"/>
  <c r="BZ74" i="23183"/>
  <c r="CL74" i="23183"/>
  <c r="CX74" i="23183"/>
  <c r="CA74" i="23183"/>
  <c r="CM74" i="23183"/>
  <c r="CY74" i="23183"/>
  <c r="CG74" i="23183"/>
  <c r="CB74" i="23183"/>
  <c r="CN74" i="23183"/>
  <c r="CZ74" i="23183"/>
  <c r="BQ74" i="23183"/>
  <c r="CC74" i="23183"/>
  <c r="CO74" i="23183"/>
  <c r="BR74" i="23183"/>
  <c r="CD74" i="23183"/>
  <c r="CP74" i="23183"/>
  <c r="BS74" i="23183"/>
  <c r="CE74" i="23183"/>
  <c r="CQ74" i="23183"/>
  <c r="BT74" i="23183"/>
  <c r="CF74" i="23183"/>
  <c r="CR74" i="23183"/>
  <c r="CS74" i="23183"/>
  <c r="BU74" i="23183"/>
  <c r="BV74" i="23183"/>
  <c r="CH74" i="23183"/>
  <c r="CT74" i="23183"/>
  <c r="CI74" i="23183"/>
  <c r="CU74" i="23183"/>
  <c r="BW74" i="23183"/>
  <c r="CV74" i="23183"/>
  <c r="BY74" i="23183"/>
  <c r="CW74" i="23183"/>
  <c r="CK74" i="23183"/>
  <c r="CJ74" i="23183"/>
  <c r="BX74" i="23183"/>
  <c r="BZ73" i="23183"/>
  <c r="CL73" i="23183"/>
  <c r="CX73" i="23183"/>
  <c r="CS73" i="23183"/>
  <c r="CA73" i="23183"/>
  <c r="CM73" i="23183"/>
  <c r="CY73" i="23183"/>
  <c r="CB73" i="23183"/>
  <c r="CN73" i="23183"/>
  <c r="CZ73" i="23183"/>
  <c r="CG73" i="23183"/>
  <c r="BQ73" i="23183"/>
  <c r="CC73" i="23183"/>
  <c r="CO73" i="23183"/>
  <c r="BR73" i="23183"/>
  <c r="CD73" i="23183"/>
  <c r="CP73" i="23183"/>
  <c r="BS73" i="23183"/>
  <c r="CE73" i="23183"/>
  <c r="CQ73" i="23183"/>
  <c r="BT73" i="23183"/>
  <c r="CF73" i="23183"/>
  <c r="CR73" i="23183"/>
  <c r="BU73" i="23183"/>
  <c r="BV73" i="23183"/>
  <c r="CH73" i="23183"/>
  <c r="CT73" i="23183"/>
  <c r="BW73" i="23183"/>
  <c r="CU73" i="23183"/>
  <c r="CI73" i="23183"/>
  <c r="BY73" i="23183"/>
  <c r="BX73" i="23183"/>
  <c r="CW73" i="23183"/>
  <c r="CJ73" i="23183"/>
  <c r="CK73" i="23183"/>
  <c r="CV73" i="23183"/>
  <c r="BZ67" i="23183"/>
  <c r="CL67" i="23183"/>
  <c r="CX67" i="23183"/>
  <c r="CA67" i="23183"/>
  <c r="CM67" i="23183"/>
  <c r="CY67" i="23183"/>
  <c r="CB67" i="23183"/>
  <c r="CN67" i="23183"/>
  <c r="CZ67" i="23183"/>
  <c r="BQ67" i="23183"/>
  <c r="CC67" i="23183"/>
  <c r="CO67" i="23183"/>
  <c r="BR67" i="23183"/>
  <c r="CD67" i="23183"/>
  <c r="CP67" i="23183"/>
  <c r="BS67" i="23183"/>
  <c r="CE67" i="23183"/>
  <c r="CQ67" i="23183"/>
  <c r="BT67" i="23183"/>
  <c r="CF67" i="23183"/>
  <c r="CR67" i="23183"/>
  <c r="BU67" i="23183"/>
  <c r="CG67" i="23183"/>
  <c r="CS67" i="23183"/>
  <c r="BV67" i="23183"/>
  <c r="CH67" i="23183"/>
  <c r="CT67" i="23183"/>
  <c r="BW67" i="23183"/>
  <c r="CI67" i="23183"/>
  <c r="CU67" i="23183"/>
  <c r="BX67" i="23183"/>
  <c r="BY67" i="23183"/>
  <c r="CJ67" i="23183"/>
  <c r="CK67" i="23183"/>
  <c r="CV67" i="23183"/>
  <c r="CW67" i="23183"/>
  <c r="BZ55" i="23183"/>
  <c r="CL55" i="23183"/>
  <c r="CX55" i="23183"/>
  <c r="CA55" i="23183"/>
  <c r="CM55" i="23183"/>
  <c r="CY55" i="23183"/>
  <c r="CB55" i="23183"/>
  <c r="CN55" i="23183"/>
  <c r="CZ55" i="23183"/>
  <c r="BQ55" i="23183"/>
  <c r="CC55" i="23183"/>
  <c r="CO55" i="23183"/>
  <c r="BR55" i="23183"/>
  <c r="CD55" i="23183"/>
  <c r="CP55" i="23183"/>
  <c r="BS55" i="23183"/>
  <c r="CE55" i="23183"/>
  <c r="CQ55" i="23183"/>
  <c r="BT55" i="23183"/>
  <c r="CF55" i="23183"/>
  <c r="CR55" i="23183"/>
  <c r="BU55" i="23183"/>
  <c r="CG55" i="23183"/>
  <c r="CS55" i="23183"/>
  <c r="BV55" i="23183"/>
  <c r="CH55" i="23183"/>
  <c r="CT55" i="23183"/>
  <c r="BW55" i="23183"/>
  <c r="CI55" i="23183"/>
  <c r="CU55" i="23183"/>
  <c r="BX55" i="23183"/>
  <c r="BY55" i="23183"/>
  <c r="CJ55" i="23183"/>
  <c r="CK55" i="23183"/>
  <c r="CV55" i="23183"/>
  <c r="CW55" i="23183"/>
  <c r="BQ43" i="23183"/>
  <c r="CC43" i="23183"/>
  <c r="CO43" i="23183"/>
  <c r="BR43" i="23183"/>
  <c r="CD43" i="23183"/>
  <c r="CP43" i="23183"/>
  <c r="BS43" i="23183"/>
  <c r="CE43" i="23183"/>
  <c r="CQ43" i="23183"/>
  <c r="BT43" i="23183"/>
  <c r="CF43" i="23183"/>
  <c r="CR43" i="23183"/>
  <c r="BU43" i="23183"/>
  <c r="CG43" i="23183"/>
  <c r="CS43" i="23183"/>
  <c r="BV43" i="23183"/>
  <c r="CH43" i="23183"/>
  <c r="CT43" i="23183"/>
  <c r="BW43" i="23183"/>
  <c r="CI43" i="23183"/>
  <c r="CU43" i="23183"/>
  <c r="BX43" i="23183"/>
  <c r="CJ43" i="23183"/>
  <c r="CV43" i="23183"/>
  <c r="BY43" i="23183"/>
  <c r="CK43" i="23183"/>
  <c r="CW43" i="23183"/>
  <c r="CL43" i="23183"/>
  <c r="CM43" i="23183"/>
  <c r="CN43" i="23183"/>
  <c r="CX43" i="23183"/>
  <c r="CY43" i="23183"/>
  <c r="CZ43" i="23183"/>
  <c r="BZ43" i="23183"/>
  <c r="CA43" i="23183"/>
  <c r="CB43" i="23183"/>
  <c r="BQ31" i="23183"/>
  <c r="CC31" i="23183"/>
  <c r="CO31" i="23183"/>
  <c r="BR31" i="23183"/>
  <c r="CD31" i="23183"/>
  <c r="CP31" i="23183"/>
  <c r="BS31" i="23183"/>
  <c r="CE31" i="23183"/>
  <c r="CQ31" i="23183"/>
  <c r="BT31" i="23183"/>
  <c r="CF31" i="23183"/>
  <c r="CR31" i="23183"/>
  <c r="BU31" i="23183"/>
  <c r="CG31" i="23183"/>
  <c r="CS31" i="23183"/>
  <c r="BV31" i="23183"/>
  <c r="CH31" i="23183"/>
  <c r="CT31" i="23183"/>
  <c r="BW31" i="23183"/>
  <c r="CI31" i="23183"/>
  <c r="CU31" i="23183"/>
  <c r="BX31" i="23183"/>
  <c r="CJ31" i="23183"/>
  <c r="CV31" i="23183"/>
  <c r="BY31" i="23183"/>
  <c r="CK31" i="23183"/>
  <c r="CW31" i="23183"/>
  <c r="CL31" i="23183"/>
  <c r="CM31" i="23183"/>
  <c r="CN31" i="23183"/>
  <c r="CX31" i="23183"/>
  <c r="CY31" i="23183"/>
  <c r="CZ31" i="23183"/>
  <c r="BZ31" i="23183"/>
  <c r="CB31" i="23183"/>
  <c r="CA31" i="23183"/>
  <c r="BQ27" i="23183"/>
  <c r="CC27" i="23183"/>
  <c r="CO27" i="23183"/>
  <c r="BR27" i="23183"/>
  <c r="CD27" i="23183"/>
  <c r="CP27" i="23183"/>
  <c r="BS27" i="23183"/>
  <c r="CE27" i="23183"/>
  <c r="CQ27" i="23183"/>
  <c r="BT27" i="23183"/>
  <c r="CF27" i="23183"/>
  <c r="CR27" i="23183"/>
  <c r="BU27" i="23183"/>
  <c r="CG27" i="23183"/>
  <c r="CS27" i="23183"/>
  <c r="BV27" i="23183"/>
  <c r="CH27" i="23183"/>
  <c r="CT27" i="23183"/>
  <c r="BW27" i="23183"/>
  <c r="CI27" i="23183"/>
  <c r="CU27" i="23183"/>
  <c r="BX27" i="23183"/>
  <c r="CJ27" i="23183"/>
  <c r="CV27" i="23183"/>
  <c r="BY27" i="23183"/>
  <c r="CK27" i="23183"/>
  <c r="CW27" i="23183"/>
  <c r="CL27" i="23183"/>
  <c r="CM27" i="23183"/>
  <c r="CN27" i="23183"/>
  <c r="CX27" i="23183"/>
  <c r="CY27" i="23183"/>
  <c r="CZ27" i="23183"/>
  <c r="BZ27" i="23183"/>
  <c r="CA27" i="23183"/>
  <c r="CB27" i="23183"/>
  <c r="AA86" i="23183"/>
  <c r="BZ86" i="23183"/>
  <c r="CL86" i="23183"/>
  <c r="CX86" i="23183"/>
  <c r="CS86" i="23183"/>
  <c r="CA86" i="23183"/>
  <c r="CM86" i="23183"/>
  <c r="CY86" i="23183"/>
  <c r="CG86" i="23183"/>
  <c r="CB86" i="23183"/>
  <c r="CN86" i="23183"/>
  <c r="CZ86" i="23183"/>
  <c r="BQ86" i="23183"/>
  <c r="CC86" i="23183"/>
  <c r="CO86" i="23183"/>
  <c r="BR86" i="23183"/>
  <c r="CD86" i="23183"/>
  <c r="CP86" i="23183"/>
  <c r="BS86" i="23183"/>
  <c r="CE86" i="23183"/>
  <c r="CQ86" i="23183"/>
  <c r="BT86" i="23183"/>
  <c r="CF86" i="23183"/>
  <c r="CR86" i="23183"/>
  <c r="BU86" i="23183"/>
  <c r="BV86" i="23183"/>
  <c r="CH86" i="23183"/>
  <c r="CT86" i="23183"/>
  <c r="BW86" i="23183"/>
  <c r="BX86" i="23183"/>
  <c r="BY86" i="23183"/>
  <c r="CK86" i="23183"/>
  <c r="CU86" i="23183"/>
  <c r="CW86" i="23183"/>
  <c r="CV86" i="23183"/>
  <c r="CJ86" i="23183"/>
  <c r="CI86" i="23183"/>
  <c r="BZ61" i="23183"/>
  <c r="CL61" i="23183"/>
  <c r="CX61" i="23183"/>
  <c r="CA61" i="23183"/>
  <c r="CM61" i="23183"/>
  <c r="CY61" i="23183"/>
  <c r="CB61" i="23183"/>
  <c r="CN61" i="23183"/>
  <c r="CZ61" i="23183"/>
  <c r="BQ61" i="23183"/>
  <c r="CC61" i="23183"/>
  <c r="CO61" i="23183"/>
  <c r="BR61" i="23183"/>
  <c r="CD61" i="23183"/>
  <c r="CP61" i="23183"/>
  <c r="BS61" i="23183"/>
  <c r="CE61" i="23183"/>
  <c r="CQ61" i="23183"/>
  <c r="BT61" i="23183"/>
  <c r="CF61" i="23183"/>
  <c r="CR61" i="23183"/>
  <c r="BU61" i="23183"/>
  <c r="CG61" i="23183"/>
  <c r="CS61" i="23183"/>
  <c r="BV61" i="23183"/>
  <c r="CH61" i="23183"/>
  <c r="CT61" i="23183"/>
  <c r="BW61" i="23183"/>
  <c r="CI61" i="23183"/>
  <c r="CU61" i="23183"/>
  <c r="CW61" i="23183"/>
  <c r="BX61" i="23183"/>
  <c r="BY61" i="23183"/>
  <c r="CJ61" i="23183"/>
  <c r="CK61" i="23183"/>
  <c r="CV61" i="23183"/>
  <c r="BZ72" i="23183"/>
  <c r="CL72" i="23183"/>
  <c r="CX72" i="23183"/>
  <c r="CG72" i="23183"/>
  <c r="CA72" i="23183"/>
  <c r="CM72" i="23183"/>
  <c r="CY72" i="23183"/>
  <c r="BU72" i="23183"/>
  <c r="CB72" i="23183"/>
  <c r="CN72" i="23183"/>
  <c r="CZ72" i="23183"/>
  <c r="BQ72" i="23183"/>
  <c r="CC72" i="23183"/>
  <c r="CO72" i="23183"/>
  <c r="BR72" i="23183"/>
  <c r="CD72" i="23183"/>
  <c r="CP72" i="23183"/>
  <c r="BS72" i="23183"/>
  <c r="CE72" i="23183"/>
  <c r="CQ72" i="23183"/>
  <c r="BT72" i="23183"/>
  <c r="CF72" i="23183"/>
  <c r="CR72" i="23183"/>
  <c r="CS72" i="23183"/>
  <c r="BV72" i="23183"/>
  <c r="CH72" i="23183"/>
  <c r="CT72" i="23183"/>
  <c r="CI72" i="23183"/>
  <c r="BW72" i="23183"/>
  <c r="CU72" i="23183"/>
  <c r="CV72" i="23183"/>
  <c r="CW72" i="23183"/>
  <c r="BY72" i="23183"/>
  <c r="CJ72" i="23183"/>
  <c r="CK72" i="23183"/>
  <c r="BX72" i="23183"/>
  <c r="BZ68" i="23183"/>
  <c r="CL68" i="23183"/>
  <c r="CX68" i="23183"/>
  <c r="CA68" i="23183"/>
  <c r="CM68" i="23183"/>
  <c r="CY68" i="23183"/>
  <c r="CB68" i="23183"/>
  <c r="CN68" i="23183"/>
  <c r="CZ68" i="23183"/>
  <c r="BQ68" i="23183"/>
  <c r="CC68" i="23183"/>
  <c r="CO68" i="23183"/>
  <c r="BR68" i="23183"/>
  <c r="CD68" i="23183"/>
  <c r="CP68" i="23183"/>
  <c r="BS68" i="23183"/>
  <c r="CE68" i="23183"/>
  <c r="CQ68" i="23183"/>
  <c r="BT68" i="23183"/>
  <c r="CF68" i="23183"/>
  <c r="CR68" i="23183"/>
  <c r="BU68" i="23183"/>
  <c r="CG68" i="23183"/>
  <c r="CS68" i="23183"/>
  <c r="BV68" i="23183"/>
  <c r="CH68" i="23183"/>
  <c r="CT68" i="23183"/>
  <c r="CU68" i="23183"/>
  <c r="BW68" i="23183"/>
  <c r="CI68" i="23183"/>
  <c r="CV68" i="23183"/>
  <c r="CW68" i="23183"/>
  <c r="CJ68" i="23183"/>
  <c r="CK68" i="23183"/>
  <c r="BX68" i="23183"/>
  <c r="BY68" i="23183"/>
  <c r="BH78" i="23183"/>
  <c r="BZ78" i="23183"/>
  <c r="CL78" i="23183"/>
  <c r="CX78" i="23183"/>
  <c r="BW78" i="23183"/>
  <c r="CA78" i="23183"/>
  <c r="CM78" i="23183"/>
  <c r="CY78" i="23183"/>
  <c r="BU78" i="23183"/>
  <c r="CU78" i="23183"/>
  <c r="CB78" i="23183"/>
  <c r="CN78" i="23183"/>
  <c r="CZ78" i="23183"/>
  <c r="CG78" i="23183"/>
  <c r="BQ78" i="23183"/>
  <c r="CC78" i="23183"/>
  <c r="CO78" i="23183"/>
  <c r="BR78" i="23183"/>
  <c r="CD78" i="23183"/>
  <c r="CP78" i="23183"/>
  <c r="BS78" i="23183"/>
  <c r="CE78" i="23183"/>
  <c r="CQ78" i="23183"/>
  <c r="BT78" i="23183"/>
  <c r="CF78" i="23183"/>
  <c r="CR78" i="23183"/>
  <c r="CS78" i="23183"/>
  <c r="BV78" i="23183"/>
  <c r="CH78" i="23183"/>
  <c r="CT78" i="23183"/>
  <c r="CI78" i="23183"/>
  <c r="CV78" i="23183"/>
  <c r="CW78" i="23183"/>
  <c r="CJ78" i="23183"/>
  <c r="CK78" i="23183"/>
  <c r="BY78" i="23183"/>
  <c r="BX78" i="23183"/>
  <c r="BZ66" i="23183"/>
  <c r="CL66" i="23183"/>
  <c r="CX66" i="23183"/>
  <c r="CA66" i="23183"/>
  <c r="CM66" i="23183"/>
  <c r="CY66" i="23183"/>
  <c r="BU66" i="23183"/>
  <c r="CB66" i="23183"/>
  <c r="CN66" i="23183"/>
  <c r="CZ66" i="23183"/>
  <c r="BQ66" i="23183"/>
  <c r="CC66" i="23183"/>
  <c r="CO66" i="23183"/>
  <c r="BR66" i="23183"/>
  <c r="CD66" i="23183"/>
  <c r="CP66" i="23183"/>
  <c r="BS66" i="23183"/>
  <c r="CE66" i="23183"/>
  <c r="CQ66" i="23183"/>
  <c r="BT66" i="23183"/>
  <c r="CF66" i="23183"/>
  <c r="CR66" i="23183"/>
  <c r="CG66" i="23183"/>
  <c r="CS66" i="23183"/>
  <c r="BV66" i="23183"/>
  <c r="CH66" i="23183"/>
  <c r="CT66" i="23183"/>
  <c r="BW66" i="23183"/>
  <c r="CI66" i="23183"/>
  <c r="CU66" i="23183"/>
  <c r="CV66" i="23183"/>
  <c r="BY66" i="23183"/>
  <c r="CW66" i="23183"/>
  <c r="CJ66" i="23183"/>
  <c r="BX66" i="23183"/>
  <c r="CK66" i="23183"/>
  <c r="BZ54" i="23183"/>
  <c r="CL54" i="23183"/>
  <c r="CX54" i="23183"/>
  <c r="CA54" i="23183"/>
  <c r="CM54" i="23183"/>
  <c r="CY54" i="23183"/>
  <c r="CB54" i="23183"/>
  <c r="CN54" i="23183"/>
  <c r="CZ54" i="23183"/>
  <c r="BQ54" i="23183"/>
  <c r="CC54" i="23183"/>
  <c r="CO54" i="23183"/>
  <c r="BR54" i="23183"/>
  <c r="CD54" i="23183"/>
  <c r="CP54" i="23183"/>
  <c r="BS54" i="23183"/>
  <c r="CE54" i="23183"/>
  <c r="CQ54" i="23183"/>
  <c r="BT54" i="23183"/>
  <c r="CF54" i="23183"/>
  <c r="CR54" i="23183"/>
  <c r="BU54" i="23183"/>
  <c r="CG54" i="23183"/>
  <c r="CS54" i="23183"/>
  <c r="BV54" i="23183"/>
  <c r="CH54" i="23183"/>
  <c r="CT54" i="23183"/>
  <c r="BW54" i="23183"/>
  <c r="CI54" i="23183"/>
  <c r="CU54" i="23183"/>
  <c r="CV54" i="23183"/>
  <c r="CW54" i="23183"/>
  <c r="CK54" i="23183"/>
  <c r="BY54" i="23183"/>
  <c r="CJ54" i="23183"/>
  <c r="BX54" i="23183"/>
  <c r="BQ42" i="23183"/>
  <c r="CC42" i="23183"/>
  <c r="CO42" i="23183"/>
  <c r="BR42" i="23183"/>
  <c r="CD42" i="23183"/>
  <c r="CP42" i="23183"/>
  <c r="BS42" i="23183"/>
  <c r="CE42" i="23183"/>
  <c r="CQ42" i="23183"/>
  <c r="BT42" i="23183"/>
  <c r="CF42" i="23183"/>
  <c r="CR42" i="23183"/>
  <c r="BU42" i="23183"/>
  <c r="CG42" i="23183"/>
  <c r="CS42" i="23183"/>
  <c r="BV42" i="23183"/>
  <c r="CH42" i="23183"/>
  <c r="CT42" i="23183"/>
  <c r="BW42" i="23183"/>
  <c r="CI42" i="23183"/>
  <c r="CU42" i="23183"/>
  <c r="BX42" i="23183"/>
  <c r="CJ42" i="23183"/>
  <c r="CV42" i="23183"/>
  <c r="BY42" i="23183"/>
  <c r="CK42" i="23183"/>
  <c r="CW42" i="23183"/>
  <c r="BZ42" i="23183"/>
  <c r="CA42" i="23183"/>
  <c r="CB42" i="23183"/>
  <c r="CL42" i="23183"/>
  <c r="CM42" i="23183"/>
  <c r="CN42" i="23183"/>
  <c r="CX42" i="23183"/>
  <c r="CY42" i="23183"/>
  <c r="CZ42" i="23183"/>
  <c r="BQ30" i="23183"/>
  <c r="CC30" i="23183"/>
  <c r="CO30" i="23183"/>
  <c r="BR30" i="23183"/>
  <c r="CD30" i="23183"/>
  <c r="CP30" i="23183"/>
  <c r="BS30" i="23183"/>
  <c r="CE30" i="23183"/>
  <c r="CQ30" i="23183"/>
  <c r="BT30" i="23183"/>
  <c r="CF30" i="23183"/>
  <c r="CR30" i="23183"/>
  <c r="BU30" i="23183"/>
  <c r="CG30" i="23183"/>
  <c r="CS30" i="23183"/>
  <c r="BV30" i="23183"/>
  <c r="CH30" i="23183"/>
  <c r="CT30" i="23183"/>
  <c r="BW30" i="23183"/>
  <c r="CI30" i="23183"/>
  <c r="CU30" i="23183"/>
  <c r="BX30" i="23183"/>
  <c r="CJ30" i="23183"/>
  <c r="CV30" i="23183"/>
  <c r="BY30" i="23183"/>
  <c r="CK30" i="23183"/>
  <c r="CW30" i="23183"/>
  <c r="BZ30" i="23183"/>
  <c r="CA30" i="23183"/>
  <c r="CB30" i="23183"/>
  <c r="CL30" i="23183"/>
  <c r="CM30" i="23183"/>
  <c r="CN30" i="23183"/>
  <c r="CX30" i="23183"/>
  <c r="CY30" i="23183"/>
  <c r="CZ30" i="23183"/>
  <c r="BQ37" i="23183"/>
  <c r="CC37" i="23183"/>
  <c r="CO37" i="23183"/>
  <c r="BR37" i="23183"/>
  <c r="CD37" i="23183"/>
  <c r="CP37" i="23183"/>
  <c r="BS37" i="23183"/>
  <c r="CE37" i="23183"/>
  <c r="CQ37" i="23183"/>
  <c r="BT37" i="23183"/>
  <c r="CF37" i="23183"/>
  <c r="CR37" i="23183"/>
  <c r="BU37" i="23183"/>
  <c r="CG37" i="23183"/>
  <c r="CS37" i="23183"/>
  <c r="BV37" i="23183"/>
  <c r="CH37" i="23183"/>
  <c r="CT37" i="23183"/>
  <c r="BW37" i="23183"/>
  <c r="CI37" i="23183"/>
  <c r="CU37" i="23183"/>
  <c r="BX37" i="23183"/>
  <c r="CJ37" i="23183"/>
  <c r="CV37" i="23183"/>
  <c r="BY37" i="23183"/>
  <c r="CK37" i="23183"/>
  <c r="CW37" i="23183"/>
  <c r="BZ37" i="23183"/>
  <c r="CA37" i="23183"/>
  <c r="CB37" i="23183"/>
  <c r="CL37" i="23183"/>
  <c r="CM37" i="23183"/>
  <c r="CN37" i="23183"/>
  <c r="CX37" i="23183"/>
  <c r="CZ37" i="23183"/>
  <c r="CY37" i="23183"/>
  <c r="BZ56" i="23183"/>
  <c r="CL56" i="23183"/>
  <c r="CX56" i="23183"/>
  <c r="CA56" i="23183"/>
  <c r="CM56" i="23183"/>
  <c r="CY56" i="23183"/>
  <c r="CB56" i="23183"/>
  <c r="CN56" i="23183"/>
  <c r="CZ56" i="23183"/>
  <c r="BQ56" i="23183"/>
  <c r="CC56" i="23183"/>
  <c r="CO56" i="23183"/>
  <c r="BR56" i="23183"/>
  <c r="CD56" i="23183"/>
  <c r="CP56" i="23183"/>
  <c r="BS56" i="23183"/>
  <c r="CE56" i="23183"/>
  <c r="CQ56" i="23183"/>
  <c r="BT56" i="23183"/>
  <c r="CF56" i="23183"/>
  <c r="CR56" i="23183"/>
  <c r="BU56" i="23183"/>
  <c r="CG56" i="23183"/>
  <c r="CS56" i="23183"/>
  <c r="BV56" i="23183"/>
  <c r="CH56" i="23183"/>
  <c r="CT56" i="23183"/>
  <c r="BW56" i="23183"/>
  <c r="CI56" i="23183"/>
  <c r="CU56" i="23183"/>
  <c r="CV56" i="23183"/>
  <c r="CW56" i="23183"/>
  <c r="BY56" i="23183"/>
  <c r="CJ56" i="23183"/>
  <c r="BX56" i="23183"/>
  <c r="CK56" i="23183"/>
  <c r="BZ77" i="23183"/>
  <c r="CL77" i="23183"/>
  <c r="CX77" i="23183"/>
  <c r="BU77" i="23183"/>
  <c r="CA77" i="23183"/>
  <c r="CM77" i="23183"/>
  <c r="CY77" i="23183"/>
  <c r="CB77" i="23183"/>
  <c r="CN77" i="23183"/>
  <c r="CZ77" i="23183"/>
  <c r="CS77" i="23183"/>
  <c r="CI77" i="23183"/>
  <c r="BQ77" i="23183"/>
  <c r="CC77" i="23183"/>
  <c r="CO77" i="23183"/>
  <c r="BR77" i="23183"/>
  <c r="CD77" i="23183"/>
  <c r="CP77" i="23183"/>
  <c r="BS77" i="23183"/>
  <c r="CE77" i="23183"/>
  <c r="CQ77" i="23183"/>
  <c r="BT77" i="23183"/>
  <c r="CF77" i="23183"/>
  <c r="CR77" i="23183"/>
  <c r="CG77" i="23183"/>
  <c r="CU77" i="23183"/>
  <c r="BV77" i="23183"/>
  <c r="CH77" i="23183"/>
  <c r="CT77" i="23183"/>
  <c r="BW77" i="23183"/>
  <c r="BX77" i="23183"/>
  <c r="BY77" i="23183"/>
  <c r="CJ77" i="23183"/>
  <c r="CK77" i="23183"/>
  <c r="CV77" i="23183"/>
  <c r="CW77" i="23183"/>
  <c r="BZ65" i="23183"/>
  <c r="CL65" i="23183"/>
  <c r="CX65" i="23183"/>
  <c r="CS65" i="23183"/>
  <c r="CA65" i="23183"/>
  <c r="CM65" i="23183"/>
  <c r="CY65" i="23183"/>
  <c r="CB65" i="23183"/>
  <c r="CN65" i="23183"/>
  <c r="CZ65" i="23183"/>
  <c r="CG65" i="23183"/>
  <c r="BQ65" i="23183"/>
  <c r="CC65" i="23183"/>
  <c r="CO65" i="23183"/>
  <c r="BR65" i="23183"/>
  <c r="CD65" i="23183"/>
  <c r="CP65" i="23183"/>
  <c r="BS65" i="23183"/>
  <c r="CE65" i="23183"/>
  <c r="CQ65" i="23183"/>
  <c r="BT65" i="23183"/>
  <c r="CF65" i="23183"/>
  <c r="CR65" i="23183"/>
  <c r="BU65" i="23183"/>
  <c r="BV65" i="23183"/>
  <c r="CH65" i="23183"/>
  <c r="CT65" i="23183"/>
  <c r="BW65" i="23183"/>
  <c r="CI65" i="23183"/>
  <c r="CU65" i="23183"/>
  <c r="BX65" i="23183"/>
  <c r="BY65" i="23183"/>
  <c r="CJ65" i="23183"/>
  <c r="CK65" i="23183"/>
  <c r="CW65" i="23183"/>
  <c r="CV65" i="23183"/>
  <c r="BZ53" i="23183"/>
  <c r="CL53" i="23183"/>
  <c r="CX53" i="23183"/>
  <c r="CA53" i="23183"/>
  <c r="CM53" i="23183"/>
  <c r="CY53" i="23183"/>
  <c r="CB53" i="23183"/>
  <c r="CN53" i="23183"/>
  <c r="CZ53" i="23183"/>
  <c r="BQ53" i="23183"/>
  <c r="CC53" i="23183"/>
  <c r="CO53" i="23183"/>
  <c r="BR53" i="23183"/>
  <c r="CD53" i="23183"/>
  <c r="CP53" i="23183"/>
  <c r="BS53" i="23183"/>
  <c r="CE53" i="23183"/>
  <c r="CQ53" i="23183"/>
  <c r="BT53" i="23183"/>
  <c r="CF53" i="23183"/>
  <c r="CR53" i="23183"/>
  <c r="BU53" i="23183"/>
  <c r="CG53" i="23183"/>
  <c r="CS53" i="23183"/>
  <c r="BV53" i="23183"/>
  <c r="CH53" i="23183"/>
  <c r="CT53" i="23183"/>
  <c r="BW53" i="23183"/>
  <c r="CI53" i="23183"/>
  <c r="CU53" i="23183"/>
  <c r="BX53" i="23183"/>
  <c r="BY53" i="23183"/>
  <c r="CJ53" i="23183"/>
  <c r="CK53" i="23183"/>
  <c r="CV53" i="23183"/>
  <c r="CW53" i="23183"/>
  <c r="BQ41" i="23183"/>
  <c r="CC41" i="23183"/>
  <c r="CO41" i="23183"/>
  <c r="BR41" i="23183"/>
  <c r="CD41" i="23183"/>
  <c r="CP41" i="23183"/>
  <c r="BS41" i="23183"/>
  <c r="CE41" i="23183"/>
  <c r="CQ41" i="23183"/>
  <c r="BT41" i="23183"/>
  <c r="CF41" i="23183"/>
  <c r="CR41" i="23183"/>
  <c r="BU41" i="23183"/>
  <c r="CG41" i="23183"/>
  <c r="CS41" i="23183"/>
  <c r="BV41" i="23183"/>
  <c r="CH41" i="23183"/>
  <c r="CT41" i="23183"/>
  <c r="BW41" i="23183"/>
  <c r="CI41" i="23183"/>
  <c r="CU41" i="23183"/>
  <c r="BX41" i="23183"/>
  <c r="CJ41" i="23183"/>
  <c r="CV41" i="23183"/>
  <c r="BY41" i="23183"/>
  <c r="CK41" i="23183"/>
  <c r="CW41" i="23183"/>
  <c r="BZ41" i="23183"/>
  <c r="CA41" i="23183"/>
  <c r="CB41" i="23183"/>
  <c r="CL41" i="23183"/>
  <c r="CM41" i="23183"/>
  <c r="CN41" i="23183"/>
  <c r="CX41" i="23183"/>
  <c r="CY41" i="23183"/>
  <c r="CZ41" i="23183"/>
  <c r="BQ29" i="23183"/>
  <c r="CC29" i="23183"/>
  <c r="CO29" i="23183"/>
  <c r="BR29" i="23183"/>
  <c r="CD29" i="23183"/>
  <c r="CP29" i="23183"/>
  <c r="BS29" i="23183"/>
  <c r="CE29" i="23183"/>
  <c r="CQ29" i="23183"/>
  <c r="BT29" i="23183"/>
  <c r="CF29" i="23183"/>
  <c r="CR29" i="23183"/>
  <c r="BU29" i="23183"/>
  <c r="CG29" i="23183"/>
  <c r="CS29" i="23183"/>
  <c r="BV29" i="23183"/>
  <c r="CH29" i="23183"/>
  <c r="CT29" i="23183"/>
  <c r="BW29" i="23183"/>
  <c r="CI29" i="23183"/>
  <c r="CU29" i="23183"/>
  <c r="BX29" i="23183"/>
  <c r="CJ29" i="23183"/>
  <c r="CV29" i="23183"/>
  <c r="BY29" i="23183"/>
  <c r="CK29" i="23183"/>
  <c r="CW29" i="23183"/>
  <c r="BZ29" i="23183"/>
  <c r="CA29" i="23183"/>
  <c r="CB29" i="23183"/>
  <c r="CL29" i="23183"/>
  <c r="CM29" i="23183"/>
  <c r="CN29" i="23183"/>
  <c r="CX29" i="23183"/>
  <c r="CZ29" i="23183"/>
  <c r="CY29" i="23183"/>
  <c r="BZ63" i="23183"/>
  <c r="CL63" i="23183"/>
  <c r="CX63" i="23183"/>
  <c r="CA63" i="23183"/>
  <c r="CM63" i="23183"/>
  <c r="CY63" i="23183"/>
  <c r="CB63" i="23183"/>
  <c r="CN63" i="23183"/>
  <c r="CZ63" i="23183"/>
  <c r="BQ63" i="23183"/>
  <c r="CC63" i="23183"/>
  <c r="CO63" i="23183"/>
  <c r="BR63" i="23183"/>
  <c r="CD63" i="23183"/>
  <c r="CP63" i="23183"/>
  <c r="BS63" i="23183"/>
  <c r="CE63" i="23183"/>
  <c r="CQ63" i="23183"/>
  <c r="BT63" i="23183"/>
  <c r="CF63" i="23183"/>
  <c r="CR63" i="23183"/>
  <c r="BU63" i="23183"/>
  <c r="CG63" i="23183"/>
  <c r="CS63" i="23183"/>
  <c r="BV63" i="23183"/>
  <c r="CH63" i="23183"/>
  <c r="CT63" i="23183"/>
  <c r="BW63" i="23183"/>
  <c r="CI63" i="23183"/>
  <c r="CU63" i="23183"/>
  <c r="CW63" i="23183"/>
  <c r="BX63" i="23183"/>
  <c r="BY63" i="23183"/>
  <c r="CJ63" i="23183"/>
  <c r="CK63" i="23183"/>
  <c r="CV63" i="23183"/>
  <c r="BQ50" i="23183"/>
  <c r="CC50" i="23183"/>
  <c r="CO50" i="23183"/>
  <c r="BR50" i="23183"/>
  <c r="CD50" i="23183"/>
  <c r="CP50" i="23183"/>
  <c r="BS50" i="23183"/>
  <c r="CE50" i="23183"/>
  <c r="CQ50" i="23183"/>
  <c r="BT50" i="23183"/>
  <c r="CF50" i="23183"/>
  <c r="CR50" i="23183"/>
  <c r="BU50" i="23183"/>
  <c r="CG50" i="23183"/>
  <c r="CS50" i="23183"/>
  <c r="BV50" i="23183"/>
  <c r="CH50" i="23183"/>
  <c r="CT50" i="23183"/>
  <c r="BW50" i="23183"/>
  <c r="CI50" i="23183"/>
  <c r="CU50" i="23183"/>
  <c r="BX50" i="23183"/>
  <c r="CJ50" i="23183"/>
  <c r="CV50" i="23183"/>
  <c r="BY50" i="23183"/>
  <c r="CK50" i="23183"/>
  <c r="CW50" i="23183"/>
  <c r="BZ50" i="23183"/>
  <c r="CA50" i="23183"/>
  <c r="CB50" i="23183"/>
  <c r="CL50" i="23183"/>
  <c r="CM50" i="23183"/>
  <c r="CN50" i="23183"/>
  <c r="CX50" i="23183"/>
  <c r="CY50" i="23183"/>
  <c r="CZ50" i="23183"/>
  <c r="W85" i="23183"/>
  <c r="BZ85" i="23183"/>
  <c r="CL85" i="23183"/>
  <c r="CX85" i="23183"/>
  <c r="BU85" i="23183"/>
  <c r="CA85" i="23183"/>
  <c r="CM85" i="23183"/>
  <c r="CY85" i="23183"/>
  <c r="CB85" i="23183"/>
  <c r="CN85" i="23183"/>
  <c r="CZ85" i="23183"/>
  <c r="CS85" i="23183"/>
  <c r="BQ85" i="23183"/>
  <c r="CC85" i="23183"/>
  <c r="CO85" i="23183"/>
  <c r="BR85" i="23183"/>
  <c r="CD85" i="23183"/>
  <c r="CP85" i="23183"/>
  <c r="BS85" i="23183"/>
  <c r="CE85" i="23183"/>
  <c r="CQ85" i="23183"/>
  <c r="BT85" i="23183"/>
  <c r="CF85" i="23183"/>
  <c r="CR85" i="23183"/>
  <c r="CG85" i="23183"/>
  <c r="BV85" i="23183"/>
  <c r="CH85" i="23183"/>
  <c r="CT85" i="23183"/>
  <c r="CV85" i="23183"/>
  <c r="BW85" i="23183"/>
  <c r="CK85" i="23183"/>
  <c r="CW85" i="23183"/>
  <c r="CJ85" i="23183"/>
  <c r="BX85" i="23183"/>
  <c r="CI85" i="23183"/>
  <c r="CU85" i="23183"/>
  <c r="BY85" i="23183"/>
  <c r="BZ60" i="23183"/>
  <c r="CL60" i="23183"/>
  <c r="CX60" i="23183"/>
  <c r="CA60" i="23183"/>
  <c r="CM60" i="23183"/>
  <c r="CY60" i="23183"/>
  <c r="CB60" i="23183"/>
  <c r="CN60" i="23183"/>
  <c r="CZ60" i="23183"/>
  <c r="BQ60" i="23183"/>
  <c r="CC60" i="23183"/>
  <c r="CO60" i="23183"/>
  <c r="BR60" i="23183"/>
  <c r="CD60" i="23183"/>
  <c r="CP60" i="23183"/>
  <c r="BS60" i="23183"/>
  <c r="CE60" i="23183"/>
  <c r="CQ60" i="23183"/>
  <c r="BT60" i="23183"/>
  <c r="CF60" i="23183"/>
  <c r="CR60" i="23183"/>
  <c r="BU60" i="23183"/>
  <c r="CG60" i="23183"/>
  <c r="CS60" i="23183"/>
  <c r="BV60" i="23183"/>
  <c r="CH60" i="23183"/>
  <c r="CT60" i="23183"/>
  <c r="BW60" i="23183"/>
  <c r="CI60" i="23183"/>
  <c r="CU60" i="23183"/>
  <c r="CV60" i="23183"/>
  <c r="BY60" i="23183"/>
  <c r="CW60" i="23183"/>
  <c r="CJ60" i="23183"/>
  <c r="CK60" i="23183"/>
  <c r="BX60" i="23183"/>
  <c r="BE79" i="23183"/>
  <c r="BZ79" i="23183"/>
  <c r="CL79" i="23183"/>
  <c r="CX79" i="23183"/>
  <c r="CG79" i="23183"/>
  <c r="CA79" i="23183"/>
  <c r="CM79" i="23183"/>
  <c r="CY79" i="23183"/>
  <c r="CS79" i="23183"/>
  <c r="CB79" i="23183"/>
  <c r="CN79" i="23183"/>
  <c r="CZ79" i="23183"/>
  <c r="BQ79" i="23183"/>
  <c r="CC79" i="23183"/>
  <c r="CO79" i="23183"/>
  <c r="BR79" i="23183"/>
  <c r="CD79" i="23183"/>
  <c r="CP79" i="23183"/>
  <c r="BS79" i="23183"/>
  <c r="CE79" i="23183"/>
  <c r="CQ79" i="23183"/>
  <c r="BT79" i="23183"/>
  <c r="CF79" i="23183"/>
  <c r="CR79" i="23183"/>
  <c r="BU79" i="23183"/>
  <c r="BV79" i="23183"/>
  <c r="CH79" i="23183"/>
  <c r="CT79" i="23183"/>
  <c r="CI79" i="23183"/>
  <c r="BW79" i="23183"/>
  <c r="BX79" i="23183"/>
  <c r="BY79" i="23183"/>
  <c r="CV79" i="23183"/>
  <c r="CJ79" i="23183"/>
  <c r="CK79" i="23183"/>
  <c r="CU79" i="23183"/>
  <c r="CW79" i="23183"/>
  <c r="BZ76" i="23183"/>
  <c r="CL76" i="23183"/>
  <c r="CX76" i="23183"/>
  <c r="CA76" i="23183"/>
  <c r="CM76" i="23183"/>
  <c r="CY76" i="23183"/>
  <c r="BU76" i="23183"/>
  <c r="CB76" i="23183"/>
  <c r="CN76" i="23183"/>
  <c r="CZ76" i="23183"/>
  <c r="CS76" i="23183"/>
  <c r="BQ76" i="23183"/>
  <c r="CC76" i="23183"/>
  <c r="CO76" i="23183"/>
  <c r="BR76" i="23183"/>
  <c r="CD76" i="23183"/>
  <c r="CP76" i="23183"/>
  <c r="BS76" i="23183"/>
  <c r="CE76" i="23183"/>
  <c r="CQ76" i="23183"/>
  <c r="BT76" i="23183"/>
  <c r="CF76" i="23183"/>
  <c r="CR76" i="23183"/>
  <c r="CG76" i="23183"/>
  <c r="BV76" i="23183"/>
  <c r="CH76" i="23183"/>
  <c r="CT76" i="23183"/>
  <c r="BW76" i="23183"/>
  <c r="CU76" i="23183"/>
  <c r="CI76" i="23183"/>
  <c r="CV76" i="23183"/>
  <c r="CW76" i="23183"/>
  <c r="CK76" i="23183"/>
  <c r="BY76" i="23183"/>
  <c r="CJ76" i="23183"/>
  <c r="BX76" i="23183"/>
  <c r="BZ64" i="23183"/>
  <c r="CL64" i="23183"/>
  <c r="CX64" i="23183"/>
  <c r="CA64" i="23183"/>
  <c r="CM64" i="23183"/>
  <c r="CY64" i="23183"/>
  <c r="CB64" i="23183"/>
  <c r="CN64" i="23183"/>
  <c r="CZ64" i="23183"/>
  <c r="BQ64" i="23183"/>
  <c r="CC64" i="23183"/>
  <c r="CO64" i="23183"/>
  <c r="BR64" i="23183"/>
  <c r="CD64" i="23183"/>
  <c r="CP64" i="23183"/>
  <c r="BS64" i="23183"/>
  <c r="CE64" i="23183"/>
  <c r="CQ64" i="23183"/>
  <c r="BT64" i="23183"/>
  <c r="CF64" i="23183"/>
  <c r="CR64" i="23183"/>
  <c r="CS64" i="23183"/>
  <c r="BU64" i="23183"/>
  <c r="CG64" i="23183"/>
  <c r="BV64" i="23183"/>
  <c r="CH64" i="23183"/>
  <c r="CT64" i="23183"/>
  <c r="CI64" i="23183"/>
  <c r="BW64" i="23183"/>
  <c r="CU64" i="23183"/>
  <c r="CV64" i="23183"/>
  <c r="CW64" i="23183"/>
  <c r="CK64" i="23183"/>
  <c r="BX64" i="23183"/>
  <c r="BY64" i="23183"/>
  <c r="CJ64" i="23183"/>
  <c r="BZ52" i="23183"/>
  <c r="CL52" i="23183"/>
  <c r="CX52" i="23183"/>
  <c r="CA52" i="23183"/>
  <c r="CM52" i="23183"/>
  <c r="CY52" i="23183"/>
  <c r="CB52" i="23183"/>
  <c r="CN52" i="23183"/>
  <c r="CZ52" i="23183"/>
  <c r="BQ52" i="23183"/>
  <c r="CC52" i="23183"/>
  <c r="CO52" i="23183"/>
  <c r="BR52" i="23183"/>
  <c r="CD52" i="23183"/>
  <c r="CP52" i="23183"/>
  <c r="BS52" i="23183"/>
  <c r="CE52" i="23183"/>
  <c r="CQ52" i="23183"/>
  <c r="BT52" i="23183"/>
  <c r="CF52" i="23183"/>
  <c r="CR52" i="23183"/>
  <c r="BU52" i="23183"/>
  <c r="CG52" i="23183"/>
  <c r="CS52" i="23183"/>
  <c r="BV52" i="23183"/>
  <c r="CH52" i="23183"/>
  <c r="CT52" i="23183"/>
  <c r="BW52" i="23183"/>
  <c r="CI52" i="23183"/>
  <c r="CU52" i="23183"/>
  <c r="CV52" i="23183"/>
  <c r="CW52" i="23183"/>
  <c r="CJ52" i="23183"/>
  <c r="BY52" i="23183"/>
  <c r="CK52" i="23183"/>
  <c r="BX52" i="23183"/>
  <c r="BQ40" i="23183"/>
  <c r="CC40" i="23183"/>
  <c r="CO40" i="23183"/>
  <c r="BR40" i="23183"/>
  <c r="CD40" i="23183"/>
  <c r="CP40" i="23183"/>
  <c r="BS40" i="23183"/>
  <c r="CE40" i="23183"/>
  <c r="CQ40" i="23183"/>
  <c r="BT40" i="23183"/>
  <c r="CF40" i="23183"/>
  <c r="CR40" i="23183"/>
  <c r="BU40" i="23183"/>
  <c r="CG40" i="23183"/>
  <c r="CS40" i="23183"/>
  <c r="BV40" i="23183"/>
  <c r="CH40" i="23183"/>
  <c r="CT40" i="23183"/>
  <c r="BW40" i="23183"/>
  <c r="CI40" i="23183"/>
  <c r="CU40" i="23183"/>
  <c r="BX40" i="23183"/>
  <c r="CJ40" i="23183"/>
  <c r="CV40" i="23183"/>
  <c r="BY40" i="23183"/>
  <c r="CK40" i="23183"/>
  <c r="CW40" i="23183"/>
  <c r="CX40" i="23183"/>
  <c r="CY40" i="23183"/>
  <c r="CZ40" i="23183"/>
  <c r="BZ40" i="23183"/>
  <c r="CA40" i="23183"/>
  <c r="CB40" i="23183"/>
  <c r="CL40" i="23183"/>
  <c r="CM40" i="23183"/>
  <c r="CN40" i="23183"/>
  <c r="BQ28" i="23183"/>
  <c r="CC28" i="23183"/>
  <c r="CO28" i="23183"/>
  <c r="BR28" i="23183"/>
  <c r="CD28" i="23183"/>
  <c r="CP28" i="23183"/>
  <c r="BS28" i="23183"/>
  <c r="CE28" i="23183"/>
  <c r="CQ28" i="23183"/>
  <c r="BT28" i="23183"/>
  <c r="CF28" i="23183"/>
  <c r="CR28" i="23183"/>
  <c r="BU28" i="23183"/>
  <c r="CG28" i="23183"/>
  <c r="CS28" i="23183"/>
  <c r="BV28" i="23183"/>
  <c r="CH28" i="23183"/>
  <c r="CT28" i="23183"/>
  <c r="BW28" i="23183"/>
  <c r="CI28" i="23183"/>
  <c r="CU28" i="23183"/>
  <c r="BX28" i="23183"/>
  <c r="CJ28" i="23183"/>
  <c r="CV28" i="23183"/>
  <c r="BY28" i="23183"/>
  <c r="CK28" i="23183"/>
  <c r="CW28" i="23183"/>
  <c r="CX28" i="23183"/>
  <c r="CY28" i="23183"/>
  <c r="CZ28" i="23183"/>
  <c r="BZ28" i="23183"/>
  <c r="CA28" i="23183"/>
  <c r="CB28" i="23183"/>
  <c r="CL28" i="23183"/>
  <c r="CM28" i="23183"/>
  <c r="CN28" i="23183"/>
  <c r="AM118" i="23184"/>
  <c r="AK115" i="23184"/>
  <c r="N84" i="23184"/>
  <c r="Q95" i="23184"/>
  <c r="O84" i="23184"/>
  <c r="AL119" i="23184"/>
  <c r="L120" i="23184"/>
  <c r="AM103" i="23184"/>
  <c r="M116" i="23184"/>
  <c r="AL103" i="23184"/>
  <c r="J111" i="23184"/>
  <c r="AK103" i="23184"/>
  <c r="O107" i="23184"/>
  <c r="AM94" i="23184"/>
  <c r="N103" i="23184"/>
  <c r="AL94" i="23184"/>
  <c r="M103" i="23184"/>
  <c r="AM91" i="23184"/>
  <c r="L101" i="23184"/>
  <c r="AL118" i="23184"/>
  <c r="L98" i="23184"/>
  <c r="AM115" i="23184"/>
  <c r="AL91" i="23184"/>
  <c r="M120" i="23184"/>
  <c r="J98" i="23184"/>
  <c r="AL115" i="23184"/>
  <c r="AK91" i="23184"/>
  <c r="P97" i="23184"/>
  <c r="N119" i="23184"/>
  <c r="J91" i="23184"/>
  <c r="AL107" i="23184"/>
  <c r="AN108" i="23184"/>
  <c r="K119" i="23184"/>
  <c r="K88" i="23184"/>
  <c r="AM106" i="23184"/>
  <c r="AN96" i="23184"/>
  <c r="AN120" i="23184"/>
  <c r="O116" i="23184"/>
  <c r="L85" i="23184"/>
  <c r="AL106" i="23184"/>
  <c r="AN84" i="23184"/>
  <c r="R114" i="23184"/>
  <c r="S114" i="23184"/>
  <c r="T114" i="23184"/>
  <c r="U114" i="23184"/>
  <c r="M102" i="23184"/>
  <c r="R102" i="23184"/>
  <c r="S102" i="23184"/>
  <c r="T102" i="23184"/>
  <c r="U102" i="23184"/>
  <c r="M90" i="23184"/>
  <c r="R90" i="23184"/>
  <c r="S90" i="23184"/>
  <c r="T90" i="23184"/>
  <c r="U90" i="23184"/>
  <c r="N111" i="23184"/>
  <c r="M98" i="23184"/>
  <c r="AM119" i="23184"/>
  <c r="AM111" i="23184"/>
  <c r="AM107" i="23184"/>
  <c r="AM99" i="23184"/>
  <c r="AM95" i="23184"/>
  <c r="AM87" i="23184"/>
  <c r="AN121" i="23184"/>
  <c r="AN109" i="23184"/>
  <c r="AN97" i="23184"/>
  <c r="AN85" i="23184"/>
  <c r="AO111" i="23184"/>
  <c r="AO99" i="23184"/>
  <c r="AO87" i="23184"/>
  <c r="AS115" i="23184"/>
  <c r="AS103" i="23184"/>
  <c r="AS91" i="23184"/>
  <c r="AU117" i="23184"/>
  <c r="AU105" i="23184"/>
  <c r="AU93" i="23184"/>
  <c r="AV119" i="23184"/>
  <c r="AV107" i="23184"/>
  <c r="AV95" i="23184"/>
  <c r="J113" i="23184"/>
  <c r="S113" i="23184"/>
  <c r="R113" i="23184"/>
  <c r="T113" i="23184"/>
  <c r="U113" i="23184"/>
  <c r="P101" i="23184"/>
  <c r="R101" i="23184"/>
  <c r="S101" i="23184"/>
  <c r="T101" i="23184"/>
  <c r="U101" i="23184"/>
  <c r="R89" i="23184"/>
  <c r="S89" i="23184"/>
  <c r="T89" i="23184"/>
  <c r="U89" i="23184"/>
  <c r="L111" i="23184"/>
  <c r="O90" i="23184"/>
  <c r="AL111" i="23184"/>
  <c r="AL99" i="23184"/>
  <c r="AL95" i="23184"/>
  <c r="AL87" i="23184"/>
  <c r="AO110" i="23184"/>
  <c r="AO98" i="23184"/>
  <c r="AO86" i="23184"/>
  <c r="AS114" i="23184"/>
  <c r="AS102" i="23184"/>
  <c r="AS90" i="23184"/>
  <c r="AU116" i="23184"/>
  <c r="AU104" i="23184"/>
  <c r="AU92" i="23184"/>
  <c r="AV118" i="23184"/>
  <c r="AV106" i="23184"/>
  <c r="AV94" i="23184"/>
  <c r="R112" i="23184"/>
  <c r="S112" i="23184"/>
  <c r="U112" i="23184"/>
  <c r="T112" i="23184"/>
  <c r="R100" i="23184"/>
  <c r="S100" i="23184"/>
  <c r="T100" i="23184"/>
  <c r="U100" i="23184"/>
  <c r="R88" i="23184"/>
  <c r="S88" i="23184"/>
  <c r="T88" i="23184"/>
  <c r="U88" i="23184"/>
  <c r="K111" i="23184"/>
  <c r="K98" i="23184"/>
  <c r="P89" i="23184"/>
  <c r="AK119" i="23184"/>
  <c r="AK111" i="23184"/>
  <c r="AK107" i="23184"/>
  <c r="AK99" i="23184"/>
  <c r="AK95" i="23184"/>
  <c r="AK87" i="23184"/>
  <c r="AN119" i="23184"/>
  <c r="AN107" i="23184"/>
  <c r="AN95" i="23184"/>
  <c r="AO121" i="23184"/>
  <c r="AO109" i="23184"/>
  <c r="AO97" i="23184"/>
  <c r="AO85" i="23184"/>
  <c r="AP111" i="23184"/>
  <c r="AP87" i="23184"/>
  <c r="AS113" i="23184"/>
  <c r="AS101" i="23184"/>
  <c r="AS89" i="23184"/>
  <c r="AU115" i="23184"/>
  <c r="AU103" i="23184"/>
  <c r="AU91" i="23184"/>
  <c r="AV117" i="23184"/>
  <c r="AV105" i="23184"/>
  <c r="AV93" i="23184"/>
  <c r="R99" i="23184"/>
  <c r="S99" i="23184"/>
  <c r="T99" i="23184"/>
  <c r="U99" i="23184"/>
  <c r="AM114" i="23184"/>
  <c r="AM110" i="23184"/>
  <c r="AM102" i="23184"/>
  <c r="AM98" i="23184"/>
  <c r="AM90" i="23184"/>
  <c r="AM86" i="23184"/>
  <c r="AN118" i="23184"/>
  <c r="AN106" i="23184"/>
  <c r="AN94" i="23184"/>
  <c r="AO120" i="23184"/>
  <c r="AO108" i="23184"/>
  <c r="AO96" i="23184"/>
  <c r="AO84" i="23184"/>
  <c r="AP98" i="23184"/>
  <c r="AP86" i="23184"/>
  <c r="AS112" i="23184"/>
  <c r="AS100" i="23184"/>
  <c r="AS88" i="23184"/>
  <c r="AU114" i="23184"/>
  <c r="AU102" i="23184"/>
  <c r="AU90" i="23184"/>
  <c r="AV116" i="23184"/>
  <c r="AV104" i="23184"/>
  <c r="AV92" i="23184"/>
  <c r="J110" i="23184"/>
  <c r="U110" i="23184"/>
  <c r="R110" i="23184"/>
  <c r="S110" i="23184"/>
  <c r="T110" i="23184"/>
  <c r="J101" i="23184"/>
  <c r="J88" i="23184"/>
  <c r="X100" i="23184"/>
  <c r="AL114" i="23184"/>
  <c r="AL110" i="23184"/>
  <c r="AL102" i="23184"/>
  <c r="AL90" i="23184"/>
  <c r="AN117" i="23184"/>
  <c r="AN105" i="23184"/>
  <c r="AN93" i="23184"/>
  <c r="AO119" i="23184"/>
  <c r="AO107" i="23184"/>
  <c r="AO95" i="23184"/>
  <c r="AS111" i="23184"/>
  <c r="AS99" i="23184"/>
  <c r="AS87" i="23184"/>
  <c r="AU113" i="23184"/>
  <c r="AU101" i="23184"/>
  <c r="AU89" i="23184"/>
  <c r="AV115" i="23184"/>
  <c r="AV103" i="23184"/>
  <c r="AV91" i="23184"/>
  <c r="AJ98" i="23184"/>
  <c r="R98" i="23184"/>
  <c r="S98" i="23184"/>
  <c r="T98" i="23184"/>
  <c r="U98" i="23184"/>
  <c r="R86" i="23184"/>
  <c r="S86" i="23184"/>
  <c r="T86" i="23184"/>
  <c r="U86" i="23184"/>
  <c r="M110" i="23184"/>
  <c r="P121" i="23184"/>
  <c r="U121" i="23184"/>
  <c r="R121" i="23184"/>
  <c r="S121" i="23184"/>
  <c r="T121" i="23184"/>
  <c r="M109" i="23184"/>
  <c r="R109" i="23184"/>
  <c r="U109" i="23184"/>
  <c r="S109" i="23184"/>
  <c r="T109" i="23184"/>
  <c r="L97" i="23184"/>
  <c r="R97" i="23184"/>
  <c r="S97" i="23184"/>
  <c r="T97" i="23184"/>
  <c r="U97" i="23184"/>
  <c r="R85" i="23184"/>
  <c r="S85" i="23184"/>
  <c r="T85" i="23184"/>
  <c r="U85" i="23184"/>
  <c r="L110" i="23184"/>
  <c r="P100" i="23184"/>
  <c r="N97" i="23184"/>
  <c r="P87" i="23184"/>
  <c r="X99" i="23184"/>
  <c r="AK118" i="23184"/>
  <c r="AK114" i="23184"/>
  <c r="AK110" i="23184"/>
  <c r="AK106" i="23184"/>
  <c r="AK102" i="23184"/>
  <c r="AK98" i="23184"/>
  <c r="AK94" i="23184"/>
  <c r="AK90" i="23184"/>
  <c r="AK86" i="23184"/>
  <c r="AN116" i="23184"/>
  <c r="AN104" i="23184"/>
  <c r="AN92" i="23184"/>
  <c r="AO118" i="23184"/>
  <c r="AO106" i="23184"/>
  <c r="AO94" i="23184"/>
  <c r="AS110" i="23184"/>
  <c r="AS98" i="23184"/>
  <c r="AS86" i="23184"/>
  <c r="AU112" i="23184"/>
  <c r="AU100" i="23184"/>
  <c r="AU88" i="23184"/>
  <c r="AV114" i="23184"/>
  <c r="AV102" i="23184"/>
  <c r="AV90" i="23184"/>
  <c r="K120" i="23184"/>
  <c r="R120" i="23184"/>
  <c r="S120" i="23184"/>
  <c r="T120" i="23184"/>
  <c r="U120" i="23184"/>
  <c r="AB108" i="23184"/>
  <c r="R108" i="23184"/>
  <c r="S108" i="23184"/>
  <c r="T108" i="23184"/>
  <c r="U108" i="23184"/>
  <c r="M96" i="23184"/>
  <c r="R96" i="23184"/>
  <c r="S96" i="23184"/>
  <c r="T96" i="23184"/>
  <c r="U96" i="23184"/>
  <c r="K84" i="23184"/>
  <c r="R84" i="23184"/>
  <c r="S84" i="23184"/>
  <c r="T84" i="23184"/>
  <c r="U84" i="23184"/>
  <c r="P113" i="23184"/>
  <c r="O108" i="23184"/>
  <c r="O100" i="23184"/>
  <c r="K96" i="23184"/>
  <c r="O87" i="23184"/>
  <c r="AM121" i="23184"/>
  <c r="AM117" i="23184"/>
  <c r="AM113" i="23184"/>
  <c r="AM109" i="23184"/>
  <c r="AM105" i="23184"/>
  <c r="AM101" i="23184"/>
  <c r="AM97" i="23184"/>
  <c r="AM93" i="23184"/>
  <c r="AM89" i="23184"/>
  <c r="AM85" i="23184"/>
  <c r="AN115" i="23184"/>
  <c r="AN103" i="23184"/>
  <c r="AN91" i="23184"/>
  <c r="AO117" i="23184"/>
  <c r="AO105" i="23184"/>
  <c r="AO93" i="23184"/>
  <c r="AS121" i="23184"/>
  <c r="AS109" i="23184"/>
  <c r="AS97" i="23184"/>
  <c r="AS85" i="23184"/>
  <c r="AU99" i="23184"/>
  <c r="AV113" i="23184"/>
  <c r="AV101" i="23184"/>
  <c r="AV89" i="23184"/>
  <c r="K87" i="23184"/>
  <c r="R87" i="23184"/>
  <c r="S87" i="23184"/>
  <c r="T87" i="23184"/>
  <c r="U87" i="23184"/>
  <c r="Q119" i="23184"/>
  <c r="U119" i="23184"/>
  <c r="R119" i="23184"/>
  <c r="S119" i="23184"/>
  <c r="T119" i="23184"/>
  <c r="Q107" i="23184"/>
  <c r="R107" i="23184"/>
  <c r="T107" i="23184"/>
  <c r="S107" i="23184"/>
  <c r="U107" i="23184"/>
  <c r="V95" i="23184"/>
  <c r="S95" i="23184"/>
  <c r="R95" i="23184"/>
  <c r="T95" i="23184"/>
  <c r="U95" i="23184"/>
  <c r="O113" i="23184"/>
  <c r="N108" i="23184"/>
  <c r="K100" i="23184"/>
  <c r="P95" i="23184"/>
  <c r="N87" i="23184"/>
  <c r="AL121" i="23184"/>
  <c r="AL117" i="23184"/>
  <c r="AL113" i="23184"/>
  <c r="AL109" i="23184"/>
  <c r="AL105" i="23184"/>
  <c r="AL101" i="23184"/>
  <c r="AL97" i="23184"/>
  <c r="AL93" i="23184"/>
  <c r="AL89" i="23184"/>
  <c r="AL85" i="23184"/>
  <c r="AN114" i="23184"/>
  <c r="AN102" i="23184"/>
  <c r="AN90" i="23184"/>
  <c r="AO116" i="23184"/>
  <c r="AO104" i="23184"/>
  <c r="AO92" i="23184"/>
  <c r="AS120" i="23184"/>
  <c r="AS108" i="23184"/>
  <c r="AS96" i="23184"/>
  <c r="AS84" i="23184"/>
  <c r="AU110" i="23184"/>
  <c r="AU98" i="23184"/>
  <c r="AU86" i="23184"/>
  <c r="AV112" i="23184"/>
  <c r="AV100" i="23184"/>
  <c r="AV88" i="23184"/>
  <c r="R111" i="23184"/>
  <c r="S111" i="23184"/>
  <c r="T111" i="23184"/>
  <c r="U111" i="23184"/>
  <c r="N118" i="23184"/>
  <c r="U118" i="23184"/>
  <c r="R118" i="23184"/>
  <c r="S118" i="23184"/>
  <c r="T118" i="23184"/>
  <c r="M106" i="23184"/>
  <c r="R106" i="23184"/>
  <c r="S106" i="23184"/>
  <c r="T106" i="23184"/>
  <c r="U106" i="23184"/>
  <c r="N94" i="23184"/>
  <c r="R94" i="23184"/>
  <c r="S94" i="23184"/>
  <c r="T94" i="23184"/>
  <c r="U94" i="23184"/>
  <c r="L121" i="23184"/>
  <c r="N113" i="23184"/>
  <c r="M108" i="23184"/>
  <c r="J100" i="23184"/>
  <c r="O95" i="23184"/>
  <c r="L87" i="23184"/>
  <c r="AK121" i="23184"/>
  <c r="AK117" i="23184"/>
  <c r="AK113" i="23184"/>
  <c r="AK109" i="23184"/>
  <c r="AK105" i="23184"/>
  <c r="AK101" i="23184"/>
  <c r="AK97" i="23184"/>
  <c r="AK93" i="23184"/>
  <c r="AK89" i="23184"/>
  <c r="AK85" i="23184"/>
  <c r="AN113" i="23184"/>
  <c r="AN101" i="23184"/>
  <c r="AN89" i="23184"/>
  <c r="AO115" i="23184"/>
  <c r="AO103" i="23184"/>
  <c r="AO91" i="23184"/>
  <c r="AS119" i="23184"/>
  <c r="AS107" i="23184"/>
  <c r="AS95" i="23184"/>
  <c r="AU121" i="23184"/>
  <c r="AU109" i="23184"/>
  <c r="AU97" i="23184"/>
  <c r="AU85" i="23184"/>
  <c r="AV111" i="23184"/>
  <c r="AV99" i="23184"/>
  <c r="AV87" i="23184"/>
  <c r="M117" i="23184"/>
  <c r="R117" i="23184"/>
  <c r="S117" i="23184"/>
  <c r="T117" i="23184"/>
  <c r="U117" i="23184"/>
  <c r="J105" i="23184"/>
  <c r="R105" i="23184"/>
  <c r="S105" i="23184"/>
  <c r="T105" i="23184"/>
  <c r="U105" i="23184"/>
  <c r="J93" i="23184"/>
  <c r="R93" i="23184"/>
  <c r="S93" i="23184"/>
  <c r="T93" i="23184"/>
  <c r="U93" i="23184"/>
  <c r="P120" i="23184"/>
  <c r="M113" i="23184"/>
  <c r="L108" i="23184"/>
  <c r="P99" i="23184"/>
  <c r="N95" i="23184"/>
  <c r="P85" i="23184"/>
  <c r="AM120" i="23184"/>
  <c r="AM116" i="23184"/>
  <c r="AM112" i="23184"/>
  <c r="AM108" i="23184"/>
  <c r="AM104" i="23184"/>
  <c r="AM100" i="23184"/>
  <c r="AM96" i="23184"/>
  <c r="AM92" i="23184"/>
  <c r="AM88" i="23184"/>
  <c r="AM84" i="23184"/>
  <c r="AN112" i="23184"/>
  <c r="AN100" i="23184"/>
  <c r="AN88" i="23184"/>
  <c r="AO114" i="23184"/>
  <c r="AO102" i="23184"/>
  <c r="AO90" i="23184"/>
  <c r="AS118" i="23184"/>
  <c r="AS106" i="23184"/>
  <c r="AS94" i="23184"/>
  <c r="AU120" i="23184"/>
  <c r="AU108" i="23184"/>
  <c r="AU96" i="23184"/>
  <c r="AU84" i="23184"/>
  <c r="AV110" i="23184"/>
  <c r="AV98" i="23184"/>
  <c r="AV86" i="23184"/>
  <c r="S116" i="23184"/>
  <c r="R116" i="23184"/>
  <c r="T116" i="23184"/>
  <c r="U116" i="23184"/>
  <c r="S104" i="23184"/>
  <c r="R104" i="23184"/>
  <c r="T104" i="23184"/>
  <c r="U104" i="23184"/>
  <c r="K92" i="23184"/>
  <c r="R92" i="23184"/>
  <c r="S92" i="23184"/>
  <c r="T92" i="23184"/>
  <c r="U92" i="23184"/>
  <c r="O120" i="23184"/>
  <c r="L113" i="23184"/>
  <c r="K108" i="23184"/>
  <c r="L99" i="23184"/>
  <c r="J95" i="23184"/>
  <c r="N85" i="23184"/>
  <c r="AL120" i="23184"/>
  <c r="AL116" i="23184"/>
  <c r="AL112" i="23184"/>
  <c r="AL108" i="23184"/>
  <c r="AL104" i="23184"/>
  <c r="AL100" i="23184"/>
  <c r="AL96" i="23184"/>
  <c r="AL92" i="23184"/>
  <c r="AL88" i="23184"/>
  <c r="AL84" i="23184"/>
  <c r="AN111" i="23184"/>
  <c r="AN99" i="23184"/>
  <c r="AN87" i="23184"/>
  <c r="AO113" i="23184"/>
  <c r="AO101" i="23184"/>
  <c r="AO89" i="23184"/>
  <c r="AS117" i="23184"/>
  <c r="AS105" i="23184"/>
  <c r="AS93" i="23184"/>
  <c r="AU119" i="23184"/>
  <c r="AU107" i="23184"/>
  <c r="AU95" i="23184"/>
  <c r="AV121" i="23184"/>
  <c r="AV109" i="23184"/>
  <c r="AV97" i="23184"/>
  <c r="AV85" i="23184"/>
  <c r="L115" i="23184"/>
  <c r="R115" i="23184"/>
  <c r="S115" i="23184"/>
  <c r="T115" i="23184"/>
  <c r="U115" i="23184"/>
  <c r="R103" i="23184"/>
  <c r="S103" i="23184"/>
  <c r="T103" i="23184"/>
  <c r="U103" i="23184"/>
  <c r="R91" i="23184"/>
  <c r="S91" i="23184"/>
  <c r="T91" i="23184"/>
  <c r="U91" i="23184"/>
  <c r="N120" i="23184"/>
  <c r="P111" i="23184"/>
  <c r="P107" i="23184"/>
  <c r="K99" i="23184"/>
  <c r="L93" i="23184"/>
  <c r="M85" i="23184"/>
  <c r="AK120" i="23184"/>
  <c r="AK116" i="23184"/>
  <c r="AK112" i="23184"/>
  <c r="AK108" i="23184"/>
  <c r="AK104" i="23184"/>
  <c r="AK100" i="23184"/>
  <c r="AK96" i="23184"/>
  <c r="AK92" i="23184"/>
  <c r="AK88" i="23184"/>
  <c r="AK84" i="23184"/>
  <c r="AN110" i="23184"/>
  <c r="AN98" i="23184"/>
  <c r="AN86" i="23184"/>
  <c r="AO112" i="23184"/>
  <c r="AO100" i="23184"/>
  <c r="AO88" i="23184"/>
  <c r="AP114" i="23184"/>
  <c r="AP102" i="23184"/>
  <c r="AP90" i="23184"/>
  <c r="AS116" i="23184"/>
  <c r="AS104" i="23184"/>
  <c r="AS92" i="23184"/>
  <c r="AU118" i="23184"/>
  <c r="AU106" i="23184"/>
  <c r="AU94" i="23184"/>
  <c r="AV120" i="23184"/>
  <c r="AV108" i="23184"/>
  <c r="AV96" i="23184"/>
  <c r="AV84" i="23184"/>
  <c r="B66" i="23201"/>
  <c r="F66" i="23201" s="1"/>
  <c r="D66" i="23201" s="1"/>
  <c r="B66" i="23199"/>
  <c r="B66" i="23200"/>
  <c r="C55" i="23184"/>
  <c r="R55" i="23184" s="1"/>
  <c r="B54" i="23199"/>
  <c r="B54" i="23200"/>
  <c r="C43" i="23184"/>
  <c r="R43" i="23184" s="1"/>
  <c r="B42" i="23199"/>
  <c r="B42" i="23200"/>
  <c r="C31" i="23184"/>
  <c r="AN31" i="23184" s="1"/>
  <c r="B30" i="23199"/>
  <c r="B30" i="23200"/>
  <c r="C19" i="23184"/>
  <c r="AL19" i="23184" s="1"/>
  <c r="B18" i="23199"/>
  <c r="B18" i="23200"/>
  <c r="B65" i="23201"/>
  <c r="F65" i="23201" s="1"/>
  <c r="C65" i="23201" s="1"/>
  <c r="B65" i="23199"/>
  <c r="B65" i="23200"/>
  <c r="B53" i="23201"/>
  <c r="F53" i="23201" s="1"/>
  <c r="D53" i="23201" s="1"/>
  <c r="B53" i="23199"/>
  <c r="B53" i="23200"/>
  <c r="B41" i="23199"/>
  <c r="B41" i="23200"/>
  <c r="B29" i="23201"/>
  <c r="F29" i="23201" s="1"/>
  <c r="C29" i="23201" s="1"/>
  <c r="B29" i="23199"/>
  <c r="B29" i="23200"/>
  <c r="BT22" i="23183"/>
  <c r="B17" i="23199"/>
  <c r="B17" i="23200"/>
  <c r="B64" i="23201"/>
  <c r="F64" i="23201" s="1"/>
  <c r="C64" i="23201" s="1"/>
  <c r="B64" i="23199"/>
  <c r="B64" i="23200"/>
  <c r="B52" i="23201"/>
  <c r="F52" i="23201" s="1"/>
  <c r="C52" i="23201" s="1"/>
  <c r="B52" i="23199"/>
  <c r="B52" i="23200"/>
  <c r="B40" i="23199"/>
  <c r="B40" i="23200"/>
  <c r="B28" i="23199"/>
  <c r="B28" i="23200"/>
  <c r="C17" i="23184"/>
  <c r="R17" i="23184" s="1"/>
  <c r="B16" i="23199"/>
  <c r="B16" i="23200"/>
  <c r="B63" i="23200"/>
  <c r="B63" i="23199"/>
  <c r="B51" i="23200"/>
  <c r="B51" i="23199"/>
  <c r="B39" i="23201"/>
  <c r="F39" i="23201" s="1"/>
  <c r="C39" i="23201" s="1"/>
  <c r="B39" i="23200"/>
  <c r="B39" i="23199"/>
  <c r="B27" i="23200"/>
  <c r="B27" i="23199"/>
  <c r="CW20" i="23183"/>
  <c r="B15" i="23200"/>
  <c r="B15" i="23199"/>
  <c r="C63" i="23184"/>
  <c r="U63" i="23184" s="1"/>
  <c r="B62" i="23200"/>
  <c r="B62" i="23199"/>
  <c r="C51" i="23184"/>
  <c r="AV51" i="23184" s="1"/>
  <c r="B50" i="23200"/>
  <c r="B50" i="23199"/>
  <c r="B38" i="23201"/>
  <c r="F38" i="23201" s="1"/>
  <c r="D38" i="23201" s="1"/>
  <c r="B38" i="23200"/>
  <c r="B38" i="23199"/>
  <c r="B26" i="23201"/>
  <c r="F26" i="23201" s="1"/>
  <c r="C26" i="23201" s="1"/>
  <c r="B26" i="23200"/>
  <c r="B26" i="23199"/>
  <c r="B14" i="23200"/>
  <c r="B14" i="23199"/>
  <c r="C62" i="23184"/>
  <c r="Z62" i="23184" s="1"/>
  <c r="B61" i="23199"/>
  <c r="B61" i="23200"/>
  <c r="C50" i="23184"/>
  <c r="AN50" i="23184" s="1"/>
  <c r="B49" i="23199"/>
  <c r="B49" i="23200"/>
  <c r="B37" i="23201"/>
  <c r="F37" i="23201" s="1"/>
  <c r="D37" i="23201" s="1"/>
  <c r="B37" i="23199"/>
  <c r="B37" i="23200"/>
  <c r="B25" i="23201"/>
  <c r="E25" i="23201" s="1"/>
  <c r="B25" i="23199"/>
  <c r="B25" i="23200"/>
  <c r="B72" i="23201"/>
  <c r="F72" i="23201" s="1"/>
  <c r="D72" i="23201" s="1"/>
  <c r="B72" i="23199"/>
  <c r="B72" i="23200"/>
  <c r="B60" i="23201"/>
  <c r="E60" i="23201" s="1"/>
  <c r="B60" i="23199"/>
  <c r="B60" i="23200"/>
  <c r="B48" i="23201"/>
  <c r="F48" i="23201" s="1"/>
  <c r="C48" i="23201" s="1"/>
  <c r="B48" i="23199"/>
  <c r="B48" i="23200"/>
  <c r="B36" i="23201"/>
  <c r="F36" i="23201" s="1"/>
  <c r="C36" i="23201" s="1"/>
  <c r="B36" i="23199"/>
  <c r="B36" i="23200"/>
  <c r="B24" i="23201"/>
  <c r="F24" i="23201" s="1"/>
  <c r="C24" i="23201" s="1"/>
  <c r="B24" i="23199"/>
  <c r="B24" i="23200"/>
  <c r="BR18" i="23183"/>
  <c r="B13" i="23199"/>
  <c r="B13" i="23200"/>
  <c r="B71" i="23201"/>
  <c r="E71" i="23201" s="1"/>
  <c r="B71" i="23199"/>
  <c r="B71" i="23200"/>
  <c r="B59" i="23201"/>
  <c r="B59" i="23199"/>
  <c r="B59" i="23200"/>
  <c r="B47" i="23201"/>
  <c r="E47" i="23201" s="1"/>
  <c r="B47" i="23199"/>
  <c r="B47" i="23200"/>
  <c r="B35" i="23201"/>
  <c r="E35" i="23201" s="1"/>
  <c r="B35" i="23199"/>
  <c r="B35" i="23200"/>
  <c r="B23" i="23201"/>
  <c r="E23" i="23201" s="1"/>
  <c r="B23" i="23199"/>
  <c r="B23" i="23200"/>
  <c r="C71" i="23184"/>
  <c r="T71" i="23184" s="1"/>
  <c r="B70" i="23199"/>
  <c r="B70" i="23200"/>
  <c r="C59" i="23184"/>
  <c r="T59" i="23184" s="1"/>
  <c r="B58" i="23199"/>
  <c r="B58" i="23200"/>
  <c r="B46" i="23201"/>
  <c r="E46" i="23201" s="1"/>
  <c r="B46" i="23199"/>
  <c r="B46" i="23200"/>
  <c r="C35" i="23184"/>
  <c r="Q35" i="23184" s="1"/>
  <c r="B34" i="23199"/>
  <c r="B34" i="23200"/>
  <c r="BP27" i="23183"/>
  <c r="B22" i="23199"/>
  <c r="B22" i="23200"/>
  <c r="C70" i="23184"/>
  <c r="Y70" i="23184" s="1"/>
  <c r="B69" i="23199"/>
  <c r="B69" i="23200"/>
  <c r="C58" i="23184"/>
  <c r="T58" i="23184" s="1"/>
  <c r="B57" i="23199"/>
  <c r="B57" i="23200"/>
  <c r="C46" i="23184"/>
  <c r="AK46" i="23184" s="1"/>
  <c r="B45" i="23199"/>
  <c r="B45" i="23200"/>
  <c r="C34" i="23184"/>
  <c r="S34" i="23184" s="1"/>
  <c r="B33" i="23199"/>
  <c r="B33" i="23200"/>
  <c r="C22" i="23184"/>
  <c r="S22" i="23184" s="1"/>
  <c r="B21" i="23199"/>
  <c r="B21" i="23200"/>
  <c r="C69" i="23184"/>
  <c r="T69" i="23184" s="1"/>
  <c r="B68" i="23199"/>
  <c r="B68" i="23200"/>
  <c r="C57" i="23184"/>
  <c r="AM57" i="23184" s="1"/>
  <c r="B56" i="23199"/>
  <c r="B56" i="23200"/>
  <c r="C45" i="23184"/>
  <c r="R45" i="23184" s="1"/>
  <c r="B44" i="23199"/>
  <c r="B44" i="23200"/>
  <c r="C33" i="23184"/>
  <c r="T33" i="23184" s="1"/>
  <c r="B32" i="23199"/>
  <c r="B32" i="23200"/>
  <c r="C21" i="23184"/>
  <c r="S21" i="23184" s="1"/>
  <c r="B20" i="23199"/>
  <c r="B20" i="23200"/>
  <c r="C68" i="23184"/>
  <c r="U68" i="23184" s="1"/>
  <c r="B67" i="23199"/>
  <c r="B67" i="23200"/>
  <c r="C56" i="23184"/>
  <c r="U56" i="23184" s="1"/>
  <c r="B55" i="23199"/>
  <c r="B55" i="23200"/>
  <c r="C44" i="23184"/>
  <c r="AU44" i="23184" s="1"/>
  <c r="B43" i="23199"/>
  <c r="B43" i="23200"/>
  <c r="C32" i="23184"/>
  <c r="AK32" i="23184" s="1"/>
  <c r="B31" i="23199"/>
  <c r="B31" i="23200"/>
  <c r="C20" i="23184"/>
  <c r="O20" i="23184" s="1"/>
  <c r="B19" i="23199"/>
  <c r="B19" i="23200"/>
  <c r="CN19" i="23183"/>
  <c r="C14" i="23184"/>
  <c r="K14" i="23184" s="1"/>
  <c r="C38" i="23184"/>
  <c r="J38" i="23184" s="1"/>
  <c r="C27" i="23184"/>
  <c r="AN27" i="23184" s="1"/>
  <c r="C26" i="23184"/>
  <c r="AP26" i="23184" s="1"/>
  <c r="CA18" i="23183"/>
  <c r="CV20" i="23183"/>
  <c r="CA19" i="23183"/>
  <c r="BV19" i="23183"/>
  <c r="CN20" i="23183"/>
  <c r="CH20" i="23183"/>
  <c r="BM63" i="23183"/>
  <c r="CG20" i="23183"/>
  <c r="C15" i="23184"/>
  <c r="AL15" i="23184" s="1"/>
  <c r="BL53" i="23183"/>
  <c r="CB20" i="23183"/>
  <c r="CN18" i="23183"/>
  <c r="BV20" i="23183"/>
  <c r="C75" i="23184"/>
  <c r="F75" i="23184" s="1"/>
  <c r="CM18" i="23183"/>
  <c r="BU20" i="23183"/>
  <c r="C74" i="23184"/>
  <c r="AM74" i="23184" s="1"/>
  <c r="CB18" i="23183"/>
  <c r="CW19" i="23183"/>
  <c r="CN21" i="23183"/>
  <c r="CM19" i="23183"/>
  <c r="CB21" i="23183"/>
  <c r="CH19" i="23183"/>
  <c r="CB19" i="23183"/>
  <c r="C39" i="23184"/>
  <c r="AG39" i="23184" s="1"/>
  <c r="AU71" i="23184"/>
  <c r="BP68" i="23183"/>
  <c r="B63" i="23201"/>
  <c r="BF56" i="23183"/>
  <c r="B51" i="23201"/>
  <c r="BF32" i="23183"/>
  <c r="B27" i="23201"/>
  <c r="Z20" i="23183"/>
  <c r="BL35" i="23183"/>
  <c r="CL18" i="23183"/>
  <c r="BZ18" i="23183"/>
  <c r="CU22" i="23183"/>
  <c r="CF22" i="23183"/>
  <c r="CL21" i="23183"/>
  <c r="BZ21" i="23183"/>
  <c r="CU20" i="23183"/>
  <c r="CF20" i="23183"/>
  <c r="BT20" i="23183"/>
  <c r="CL19" i="23183"/>
  <c r="BZ19" i="23183"/>
  <c r="C73" i="23184"/>
  <c r="AH73" i="23184" s="1"/>
  <c r="C61" i="23184"/>
  <c r="X61" i="23184" s="1"/>
  <c r="C49" i="23184"/>
  <c r="AF49" i="23184" s="1"/>
  <c r="C37" i="23184"/>
  <c r="AJ37" i="23184" s="1"/>
  <c r="C25" i="23184"/>
  <c r="AE25" i="23184" s="1"/>
  <c r="BN46" i="23183"/>
  <c r="B41" i="23201"/>
  <c r="AF22" i="23183"/>
  <c r="CH22" i="23183"/>
  <c r="AU50" i="23184"/>
  <c r="AM50" i="23184"/>
  <c r="J50" i="23184"/>
  <c r="BE67" i="23183"/>
  <c r="B62" i="23201"/>
  <c r="BH55" i="23183"/>
  <c r="B50" i="23201"/>
  <c r="BL29" i="23183"/>
  <c r="CK18" i="23183"/>
  <c r="BY18" i="23183"/>
  <c r="CQ22" i="23183"/>
  <c r="CE22" i="23183"/>
  <c r="BS22" i="23183"/>
  <c r="CK21" i="23183"/>
  <c r="BY21" i="23183"/>
  <c r="CQ20" i="23183"/>
  <c r="CE20" i="23183"/>
  <c r="BS20" i="23183"/>
  <c r="CK19" i="23183"/>
  <c r="BY19" i="23183"/>
  <c r="C72" i="23184"/>
  <c r="AA72" i="23184" s="1"/>
  <c r="C60" i="23184"/>
  <c r="AI60" i="23184" s="1"/>
  <c r="C48" i="23184"/>
  <c r="AD48" i="23184" s="1"/>
  <c r="C36" i="23184"/>
  <c r="AG36" i="23184" s="1"/>
  <c r="C24" i="23184"/>
  <c r="AI24" i="23184" s="1"/>
  <c r="BP33" i="23183"/>
  <c r="B28" i="23201"/>
  <c r="BG66" i="23183"/>
  <c r="B61" i="23201"/>
  <c r="BJ54" i="23183"/>
  <c r="B49" i="23201"/>
  <c r="BM87" i="23183"/>
  <c r="BN28" i="23183"/>
  <c r="CJ18" i="23183"/>
  <c r="BX18" i="23183"/>
  <c r="CP22" i="23183"/>
  <c r="CD22" i="23183"/>
  <c r="BR22" i="23183"/>
  <c r="CJ21" i="23183"/>
  <c r="BX21" i="23183"/>
  <c r="CP20" i="23183"/>
  <c r="CD20" i="23183"/>
  <c r="BR20" i="23183"/>
  <c r="CJ19" i="23183"/>
  <c r="BX19" i="23183"/>
  <c r="C83" i="23184"/>
  <c r="AA83" i="23184" s="1"/>
  <c r="C47" i="23184"/>
  <c r="H47" i="23184" s="1"/>
  <c r="C23" i="23184"/>
  <c r="AB23" i="23184" s="1"/>
  <c r="BD45" i="23183"/>
  <c r="B40" i="23201"/>
  <c r="AL50" i="23184"/>
  <c r="F60" i="23201"/>
  <c r="C60" i="23201" s="1"/>
  <c r="BI77" i="23183"/>
  <c r="CI18" i="23183"/>
  <c r="BW18" i="23183"/>
  <c r="CO22" i="23183"/>
  <c r="CC22" i="23183"/>
  <c r="BQ22" i="23183"/>
  <c r="CI21" i="23183"/>
  <c r="BW21" i="23183"/>
  <c r="CO20" i="23183"/>
  <c r="CC20" i="23183"/>
  <c r="BQ20" i="23183"/>
  <c r="CI19" i="23183"/>
  <c r="BW19" i="23183"/>
  <c r="C82" i="23184"/>
  <c r="P82" i="23184" s="1"/>
  <c r="C81" i="23184"/>
  <c r="F81" i="23184" s="1"/>
  <c r="CW22" i="23183"/>
  <c r="BV22" i="23183"/>
  <c r="BD75" i="23183"/>
  <c r="B70" i="23201"/>
  <c r="BD63" i="23183"/>
  <c r="B58" i="23201"/>
  <c r="BD39" i="23183"/>
  <c r="B34" i="23201"/>
  <c r="BD27" i="23183"/>
  <c r="B22" i="23201"/>
  <c r="BL76" i="23183"/>
  <c r="CV18" i="23183"/>
  <c r="CG18" i="23183"/>
  <c r="BU18" i="23183"/>
  <c r="CM22" i="23183"/>
  <c r="CA22" i="23183"/>
  <c r="CV21" i="23183"/>
  <c r="CG21" i="23183"/>
  <c r="BU21" i="23183"/>
  <c r="CM20" i="23183"/>
  <c r="CA20" i="23183"/>
  <c r="CV19" i="23183"/>
  <c r="CG19" i="23183"/>
  <c r="BU19" i="23183"/>
  <c r="C80" i="23184"/>
  <c r="AD80" i="23184" s="1"/>
  <c r="AS50" i="23184"/>
  <c r="R74" i="23183"/>
  <c r="B69" i="23201"/>
  <c r="AD62" i="23183"/>
  <c r="B57" i="23201"/>
  <c r="BG50" i="23183"/>
  <c r="B45" i="23201"/>
  <c r="AE38" i="23183"/>
  <c r="B33" i="23201"/>
  <c r="BG26" i="23183"/>
  <c r="B21" i="23201"/>
  <c r="BK76" i="23183"/>
  <c r="CU18" i="23183"/>
  <c r="CF18" i="23183"/>
  <c r="BT18" i="23183"/>
  <c r="CL22" i="23183"/>
  <c r="BZ22" i="23183"/>
  <c r="CU21" i="23183"/>
  <c r="CF21" i="23183"/>
  <c r="BT21" i="23183"/>
  <c r="CL20" i="23183"/>
  <c r="BZ20" i="23183"/>
  <c r="CU19" i="23183"/>
  <c r="CF19" i="23183"/>
  <c r="BT19" i="23183"/>
  <c r="C79" i="23184"/>
  <c r="L79" i="23184" s="1"/>
  <c r="C67" i="23184"/>
  <c r="AE67" i="23184" s="1"/>
  <c r="V73" i="23183"/>
  <c r="B68" i="23201"/>
  <c r="Y61" i="23183"/>
  <c r="B56" i="23201"/>
  <c r="Y49" i="23183"/>
  <c r="B44" i="23201"/>
  <c r="R37" i="23183"/>
  <c r="B32" i="23201"/>
  <c r="BI25" i="23183"/>
  <c r="B20" i="23201"/>
  <c r="BL65" i="23183"/>
  <c r="CQ18" i="23183"/>
  <c r="CE18" i="23183"/>
  <c r="BS18" i="23183"/>
  <c r="CK22" i="23183"/>
  <c r="BY22" i="23183"/>
  <c r="CQ21" i="23183"/>
  <c r="CE21" i="23183"/>
  <c r="BS21" i="23183"/>
  <c r="CK20" i="23183"/>
  <c r="BY20" i="23183"/>
  <c r="CQ19" i="23183"/>
  <c r="CE19" i="23183"/>
  <c r="BS19" i="23183"/>
  <c r="C78" i="23184"/>
  <c r="AI78" i="23184" s="1"/>
  <c r="C66" i="23184"/>
  <c r="AC66" i="23184" s="1"/>
  <c r="C54" i="23184"/>
  <c r="O54" i="23184" s="1"/>
  <c r="C42" i="23184"/>
  <c r="AD42" i="23184" s="1"/>
  <c r="C30" i="23184"/>
  <c r="AD30" i="23184" s="1"/>
  <c r="C18" i="23184"/>
  <c r="B17" i="23184" s="1"/>
  <c r="BG72" i="23183"/>
  <c r="B67" i="23201"/>
  <c r="V60" i="23183"/>
  <c r="B55" i="23201"/>
  <c r="V48" i="23183"/>
  <c r="B43" i="23201"/>
  <c r="BK36" i="23183"/>
  <c r="B31" i="23201"/>
  <c r="BK24" i="23183"/>
  <c r="B19" i="23201"/>
  <c r="BK64" i="23183"/>
  <c r="CP18" i="23183"/>
  <c r="CD18" i="23183"/>
  <c r="CJ22" i="23183"/>
  <c r="BX22" i="23183"/>
  <c r="CP21" i="23183"/>
  <c r="CD21" i="23183"/>
  <c r="BR21" i="23183"/>
  <c r="CJ20" i="23183"/>
  <c r="BX20" i="23183"/>
  <c r="CP19" i="23183"/>
  <c r="CD19" i="23183"/>
  <c r="BR19" i="23183"/>
  <c r="C77" i="23184"/>
  <c r="AI77" i="23184" s="1"/>
  <c r="C65" i="23184"/>
  <c r="AD65" i="23184" s="1"/>
  <c r="C53" i="23184"/>
  <c r="AJ53" i="23184" s="1"/>
  <c r="C41" i="23184"/>
  <c r="M41" i="23184" s="1"/>
  <c r="C29" i="23184"/>
  <c r="AI29" i="23184" s="1"/>
  <c r="AO63" i="23184"/>
  <c r="AI21" i="23183"/>
  <c r="CV22" i="23183"/>
  <c r="CG22" i="23183"/>
  <c r="BU22" i="23183"/>
  <c r="CM21" i="23183"/>
  <c r="CA21" i="23183"/>
  <c r="BJ18" i="23183"/>
  <c r="E59" i="23201"/>
  <c r="F59" i="23201"/>
  <c r="C59" i="23201" s="1"/>
  <c r="BN76" i="23183"/>
  <c r="CW18" i="23183"/>
  <c r="CH18" i="23183"/>
  <c r="BV18" i="23183"/>
  <c r="CN22" i="23183"/>
  <c r="CB22" i="23183"/>
  <c r="CW21" i="23183"/>
  <c r="CH21" i="23183"/>
  <c r="BV21" i="23183"/>
  <c r="BL59" i="23183"/>
  <c r="B54" i="23201"/>
  <c r="AL47" i="23183"/>
  <c r="B42" i="23201"/>
  <c r="AH35" i="23183"/>
  <c r="B30" i="23201"/>
  <c r="BM23" i="23183"/>
  <c r="BP63" i="23183"/>
  <c r="CO18" i="23183"/>
  <c r="CC18" i="23183"/>
  <c r="BQ18" i="23183"/>
  <c r="CI22" i="23183"/>
  <c r="BW22" i="23183"/>
  <c r="CO21" i="23183"/>
  <c r="CC21" i="23183"/>
  <c r="BQ21" i="23183"/>
  <c r="CI20" i="23183"/>
  <c r="BW20" i="23183"/>
  <c r="CO19" i="23183"/>
  <c r="CC19" i="23183"/>
  <c r="BQ19" i="23183"/>
  <c r="C76" i="23184"/>
  <c r="AE76" i="23184" s="1"/>
  <c r="C64" i="23184"/>
  <c r="Y64" i="23184" s="1"/>
  <c r="C52" i="23184"/>
  <c r="AC52" i="23184" s="1"/>
  <c r="C40" i="23184"/>
  <c r="AH40" i="23184" s="1"/>
  <c r="C28" i="23184"/>
  <c r="F28" i="23184" s="1"/>
  <c r="C16" i="23184"/>
  <c r="AF16" i="23184" s="1"/>
  <c r="K93" i="23184"/>
  <c r="F104" i="23184"/>
  <c r="AB104" i="23184"/>
  <c r="AC104" i="23184"/>
  <c r="AD104" i="23184"/>
  <c r="AE104" i="23184"/>
  <c r="AF104" i="23184"/>
  <c r="AG104" i="23184"/>
  <c r="X104" i="23184"/>
  <c r="AH104" i="23184"/>
  <c r="AI104" i="23184"/>
  <c r="Y104" i="23184"/>
  <c r="Z104" i="23184"/>
  <c r="AJ104" i="23184"/>
  <c r="J104" i="23184"/>
  <c r="V104" i="23184"/>
  <c r="AA104" i="23184"/>
  <c r="Q104" i="23184"/>
  <c r="N104" i="23184"/>
  <c r="L116" i="23184"/>
  <c r="J106" i="23184"/>
  <c r="L103" i="23184"/>
  <c r="N90" i="23184"/>
  <c r="AA117" i="23184"/>
  <c r="I43" i="23184"/>
  <c r="AH43" i="23184"/>
  <c r="AA43" i="23184"/>
  <c r="AI43" i="23184"/>
  <c r="AJ43" i="23184"/>
  <c r="AC43" i="23184"/>
  <c r="AD43" i="23184"/>
  <c r="AE43" i="23184"/>
  <c r="AF43" i="23184"/>
  <c r="AB43" i="23184"/>
  <c r="Y43" i="23184"/>
  <c r="Z43" i="23184"/>
  <c r="V43" i="23184"/>
  <c r="AG43" i="23184"/>
  <c r="X43" i="23184"/>
  <c r="L43" i="23184"/>
  <c r="M43" i="23184"/>
  <c r="N43" i="23184"/>
  <c r="O43" i="23184"/>
  <c r="P43" i="23184"/>
  <c r="Q43" i="23184"/>
  <c r="K116" i="23184"/>
  <c r="P105" i="23184"/>
  <c r="K103" i="23184"/>
  <c r="P92" i="23184"/>
  <c r="K43" i="23184"/>
  <c r="AA116" i="23184"/>
  <c r="E118" i="23184"/>
  <c r="AJ118" i="23184"/>
  <c r="AC118" i="23184"/>
  <c r="AD118" i="23184"/>
  <c r="AE118" i="23184"/>
  <c r="AI118" i="23184"/>
  <c r="AA118" i="23184"/>
  <c r="AF118" i="23184"/>
  <c r="AG118" i="23184"/>
  <c r="X118" i="23184"/>
  <c r="AH118" i="23184"/>
  <c r="AB118" i="23184"/>
  <c r="Y118" i="23184"/>
  <c r="Z118" i="23184"/>
  <c r="L118" i="23184"/>
  <c r="O118" i="23184"/>
  <c r="I89" i="23184"/>
  <c r="AB89" i="23184"/>
  <c r="AC89" i="23184"/>
  <c r="AD89" i="23184"/>
  <c r="AJ89" i="23184"/>
  <c r="AE89" i="23184"/>
  <c r="AH89" i="23184"/>
  <c r="V89" i="23184"/>
  <c r="AF89" i="23184"/>
  <c r="AG89" i="23184"/>
  <c r="AA89" i="23184"/>
  <c r="AI89" i="23184"/>
  <c r="Y89" i="23184"/>
  <c r="X89" i="23184"/>
  <c r="Z89" i="23184"/>
  <c r="Q89" i="23184"/>
  <c r="K89" i="23184"/>
  <c r="M115" i="23184"/>
  <c r="M92" i="23184"/>
  <c r="I112" i="23184"/>
  <c r="AE112" i="23184"/>
  <c r="AF112" i="23184"/>
  <c r="AG112" i="23184"/>
  <c r="AH112" i="23184"/>
  <c r="AI112" i="23184"/>
  <c r="AB112" i="23184"/>
  <c r="AC112" i="23184"/>
  <c r="AJ112" i="23184"/>
  <c r="V112" i="23184"/>
  <c r="AA112" i="23184"/>
  <c r="Z112" i="23184"/>
  <c r="AD112" i="23184"/>
  <c r="Y112" i="23184"/>
  <c r="L112" i="23184"/>
  <c r="X112" i="23184"/>
  <c r="Q112" i="23184"/>
  <c r="M112" i="23184"/>
  <c r="N112" i="23184"/>
  <c r="P117" i="23184"/>
  <c r="P112" i="23184"/>
  <c r="K110" i="23184"/>
  <c r="N102" i="23184"/>
  <c r="M97" i="23184"/>
  <c r="O94" i="23184"/>
  <c r="L92" i="23184"/>
  <c r="N89" i="23184"/>
  <c r="M84" i="23184"/>
  <c r="N34" i="23184"/>
  <c r="AJ97" i="23184"/>
  <c r="F105" i="23184"/>
  <c r="AF105" i="23184"/>
  <c r="AB105" i="23184"/>
  <c r="AG105" i="23184"/>
  <c r="AH105" i="23184"/>
  <c r="AI105" i="23184"/>
  <c r="AD105" i="23184"/>
  <c r="V105" i="23184"/>
  <c r="X105" i="23184"/>
  <c r="AC105" i="23184"/>
  <c r="AE105" i="23184"/>
  <c r="Y105" i="23184"/>
  <c r="AJ105" i="23184"/>
  <c r="Z105" i="23184"/>
  <c r="M105" i="23184"/>
  <c r="N105" i="23184"/>
  <c r="O105" i="23184"/>
  <c r="AA105" i="23184"/>
  <c r="Q105" i="23184"/>
  <c r="F45" i="23184"/>
  <c r="AF45" i="23184"/>
  <c r="AB45" i="23184"/>
  <c r="AG45" i="23184"/>
  <c r="AH45" i="23184"/>
  <c r="AI45" i="23184"/>
  <c r="AC45" i="23184"/>
  <c r="AD45" i="23184"/>
  <c r="V45" i="23184"/>
  <c r="X45" i="23184"/>
  <c r="AA45" i="23184"/>
  <c r="Y45" i="23184"/>
  <c r="AE45" i="23184"/>
  <c r="Z45" i="23184"/>
  <c r="J45" i="23184"/>
  <c r="K45" i="23184"/>
  <c r="L45" i="23184"/>
  <c r="M45" i="23184"/>
  <c r="AJ45" i="23184"/>
  <c r="N45" i="23184"/>
  <c r="O45" i="23184"/>
  <c r="P45" i="23184"/>
  <c r="Q45" i="23184"/>
  <c r="K106" i="23184"/>
  <c r="Q94" i="23184"/>
  <c r="F116" i="23184"/>
  <c r="AB116" i="23184"/>
  <c r="AD116" i="23184"/>
  <c r="AE116" i="23184"/>
  <c r="AF116" i="23184"/>
  <c r="AG116" i="23184"/>
  <c r="X116" i="23184"/>
  <c r="Y116" i="23184"/>
  <c r="Z116" i="23184"/>
  <c r="AC116" i="23184"/>
  <c r="AH116" i="23184"/>
  <c r="AI116" i="23184"/>
  <c r="V116" i="23184"/>
  <c r="J116" i="23184"/>
  <c r="Q116" i="23184"/>
  <c r="AJ116" i="23184"/>
  <c r="N116" i="23184"/>
  <c r="I115" i="23184"/>
  <c r="AH115" i="23184"/>
  <c r="AI115" i="23184"/>
  <c r="AJ115" i="23184"/>
  <c r="AF115" i="23184"/>
  <c r="Y115" i="23184"/>
  <c r="Z115" i="23184"/>
  <c r="V115" i="23184"/>
  <c r="AC115" i="23184"/>
  <c r="AD115" i="23184"/>
  <c r="AE115" i="23184"/>
  <c r="AG115" i="23184"/>
  <c r="AB115" i="23184"/>
  <c r="AA115" i="23184"/>
  <c r="O115" i="23184"/>
  <c r="P115" i="23184"/>
  <c r="X115" i="23184"/>
  <c r="Q115" i="23184"/>
  <c r="I114" i="23184"/>
  <c r="AC114" i="23184"/>
  <c r="AD114" i="23184"/>
  <c r="AF114" i="23184"/>
  <c r="AG114" i="23184"/>
  <c r="AH114" i="23184"/>
  <c r="AJ114" i="23184"/>
  <c r="AI114" i="23184"/>
  <c r="Z114" i="23184"/>
  <c r="AE114" i="23184"/>
  <c r="V114" i="23184"/>
  <c r="AB114" i="23184"/>
  <c r="AA114" i="23184"/>
  <c r="J114" i="23184"/>
  <c r="Y114" i="23184"/>
  <c r="K114" i="23184"/>
  <c r="X114" i="23184"/>
  <c r="L114" i="23184"/>
  <c r="Q114" i="23184"/>
  <c r="P114" i="23184"/>
  <c r="J103" i="23184"/>
  <c r="J43" i="23184"/>
  <c r="K105" i="23184"/>
  <c r="P94" i="23184"/>
  <c r="I100" i="23184"/>
  <c r="AE100" i="23184"/>
  <c r="AF100" i="23184"/>
  <c r="AG100" i="23184"/>
  <c r="AH100" i="23184"/>
  <c r="AI100" i="23184"/>
  <c r="AB100" i="23184"/>
  <c r="AC100" i="23184"/>
  <c r="AD100" i="23184"/>
  <c r="V100" i="23184"/>
  <c r="AA100" i="23184"/>
  <c r="AJ100" i="23184"/>
  <c r="Z100" i="23184"/>
  <c r="L100" i="23184"/>
  <c r="Q100" i="23184"/>
  <c r="M100" i="23184"/>
  <c r="N100" i="23184"/>
  <c r="Y100" i="23184"/>
  <c r="I88" i="23184"/>
  <c r="AE88" i="23184"/>
  <c r="AF88" i="23184"/>
  <c r="AG88" i="23184"/>
  <c r="AH88" i="23184"/>
  <c r="AI88" i="23184"/>
  <c r="AB88" i="23184"/>
  <c r="AC88" i="23184"/>
  <c r="AJ88" i="23184"/>
  <c r="AD88" i="23184"/>
  <c r="V88" i="23184"/>
  <c r="AA88" i="23184"/>
  <c r="Z88" i="23184"/>
  <c r="Y88" i="23184"/>
  <c r="L88" i="23184"/>
  <c r="Q88" i="23184"/>
  <c r="M88" i="23184"/>
  <c r="N88" i="23184"/>
  <c r="X88" i="23184"/>
  <c r="H111" i="23184"/>
  <c r="AC111" i="23184"/>
  <c r="AD111" i="23184"/>
  <c r="AE111" i="23184"/>
  <c r="AF111" i="23184"/>
  <c r="AB111" i="23184"/>
  <c r="AJ111" i="23184"/>
  <c r="AA111" i="23184"/>
  <c r="Y111" i="23184"/>
  <c r="AG111" i="23184"/>
  <c r="AH111" i="23184"/>
  <c r="AI111" i="23184"/>
  <c r="Z111" i="23184"/>
  <c r="V111" i="23184"/>
  <c r="X111" i="23184"/>
  <c r="Q111" i="23184"/>
  <c r="M111" i="23184"/>
  <c r="H99" i="23184"/>
  <c r="AC99" i="23184"/>
  <c r="AD99" i="23184"/>
  <c r="AE99" i="23184"/>
  <c r="AF99" i="23184"/>
  <c r="AB99" i="23184"/>
  <c r="AG99" i="23184"/>
  <c r="AH99" i="23184"/>
  <c r="AI99" i="23184"/>
  <c r="AA99" i="23184"/>
  <c r="Y99" i="23184"/>
  <c r="Z99" i="23184"/>
  <c r="AJ99" i="23184"/>
  <c r="Q99" i="23184"/>
  <c r="V99" i="23184"/>
  <c r="M99" i="23184"/>
  <c r="H87" i="23184"/>
  <c r="AC87" i="23184"/>
  <c r="AD87" i="23184"/>
  <c r="AE87" i="23184"/>
  <c r="AF87" i="23184"/>
  <c r="AB87" i="23184"/>
  <c r="AG87" i="23184"/>
  <c r="AH87" i="23184"/>
  <c r="AI87" i="23184"/>
  <c r="AJ87" i="23184"/>
  <c r="AA87" i="23184"/>
  <c r="Y87" i="23184"/>
  <c r="Z87" i="23184"/>
  <c r="V87" i="23184"/>
  <c r="Q87" i="23184"/>
  <c r="X87" i="23184"/>
  <c r="M87" i="23184"/>
  <c r="I63" i="23184"/>
  <c r="AC63" i="23184"/>
  <c r="AD63" i="23184"/>
  <c r="AE63" i="23184"/>
  <c r="AF63" i="23184"/>
  <c r="AB63" i="23184"/>
  <c r="AG63" i="23184"/>
  <c r="AH63" i="23184"/>
  <c r="AI63" i="23184"/>
  <c r="AA63" i="23184"/>
  <c r="Y63" i="23184"/>
  <c r="Z63" i="23184"/>
  <c r="AJ63" i="23184"/>
  <c r="P63" i="23184"/>
  <c r="V63" i="23184"/>
  <c r="Q63" i="23184"/>
  <c r="X63" i="23184"/>
  <c r="M63" i="23184"/>
  <c r="P119" i="23184"/>
  <c r="K115" i="23184"/>
  <c r="O112" i="23184"/>
  <c r="N107" i="23184"/>
  <c r="P104" i="23184"/>
  <c r="O99" i="23184"/>
  <c r="M89" i="23184"/>
  <c r="J87" i="23184"/>
  <c r="L84" i="23184"/>
  <c r="O63" i="23184"/>
  <c r="E94" i="23184"/>
  <c r="AC94" i="23184"/>
  <c r="AD94" i="23184"/>
  <c r="AE94" i="23184"/>
  <c r="AF94" i="23184"/>
  <c r="AI94" i="23184"/>
  <c r="AA94" i="23184"/>
  <c r="AJ94" i="23184"/>
  <c r="X94" i="23184"/>
  <c r="AG94" i="23184"/>
  <c r="AH94" i="23184"/>
  <c r="AB94" i="23184"/>
  <c r="Z94" i="23184"/>
  <c r="Y94" i="23184"/>
  <c r="L94" i="23184"/>
  <c r="P118" i="23184"/>
  <c r="F117" i="23184"/>
  <c r="AF117" i="23184"/>
  <c r="AB117" i="23184"/>
  <c r="AG117" i="23184"/>
  <c r="AI117" i="23184"/>
  <c r="AD117" i="23184"/>
  <c r="AH117" i="23184"/>
  <c r="V117" i="23184"/>
  <c r="X117" i="23184"/>
  <c r="Y117" i="23184"/>
  <c r="N117" i="23184"/>
  <c r="Z117" i="23184"/>
  <c r="O117" i="23184"/>
  <c r="AC117" i="23184"/>
  <c r="AE117" i="23184"/>
  <c r="AJ117" i="23184"/>
  <c r="Q117" i="23184"/>
  <c r="AF33" i="23184"/>
  <c r="F92" i="23184"/>
  <c r="AB92" i="23184"/>
  <c r="AC92" i="23184"/>
  <c r="AD92" i="23184"/>
  <c r="AE92" i="23184"/>
  <c r="AF92" i="23184"/>
  <c r="AG92" i="23184"/>
  <c r="AH92" i="23184"/>
  <c r="AI92" i="23184"/>
  <c r="X92" i="23184"/>
  <c r="AJ92" i="23184"/>
  <c r="Y92" i="23184"/>
  <c r="Z92" i="23184"/>
  <c r="V92" i="23184"/>
  <c r="J92" i="23184"/>
  <c r="AA92" i="23184"/>
  <c r="Q92" i="23184"/>
  <c r="N92" i="23184"/>
  <c r="I91" i="23184"/>
  <c r="AH91" i="23184"/>
  <c r="AI91" i="23184"/>
  <c r="AJ91" i="23184"/>
  <c r="AC91" i="23184"/>
  <c r="AF91" i="23184"/>
  <c r="Y91" i="23184"/>
  <c r="Z91" i="23184"/>
  <c r="V91" i="23184"/>
  <c r="AD91" i="23184"/>
  <c r="AB91" i="23184"/>
  <c r="AA91" i="23184"/>
  <c r="O91" i="23184"/>
  <c r="P91" i="23184"/>
  <c r="Q91" i="23184"/>
  <c r="AE91" i="23184"/>
  <c r="X91" i="23184"/>
  <c r="AG91" i="23184"/>
  <c r="I102" i="23184"/>
  <c r="AC102" i="23184"/>
  <c r="AD102" i="23184"/>
  <c r="AE102" i="23184"/>
  <c r="AF102" i="23184"/>
  <c r="AG102" i="23184"/>
  <c r="AH102" i="23184"/>
  <c r="AJ102" i="23184"/>
  <c r="AI102" i="23184"/>
  <c r="Z102" i="23184"/>
  <c r="AB102" i="23184"/>
  <c r="V102" i="23184"/>
  <c r="AA102" i="23184"/>
  <c r="X102" i="23184"/>
  <c r="J102" i="23184"/>
  <c r="K102" i="23184"/>
  <c r="L102" i="23184"/>
  <c r="Q102" i="23184"/>
  <c r="Y102" i="23184"/>
  <c r="P102" i="23184"/>
  <c r="L105" i="23184"/>
  <c r="O92" i="23184"/>
  <c r="J118" i="23184"/>
  <c r="O102" i="23184"/>
  <c r="O89" i="23184"/>
  <c r="AE14" i="23184"/>
  <c r="I110" i="23184"/>
  <c r="AG110" i="23184"/>
  <c r="AH110" i="23184"/>
  <c r="AI110" i="23184"/>
  <c r="AE110" i="23184"/>
  <c r="AJ110" i="23184"/>
  <c r="AC110" i="23184"/>
  <c r="Y110" i="23184"/>
  <c r="AD110" i="23184"/>
  <c r="AA110" i="23184"/>
  <c r="Z110" i="23184"/>
  <c r="AF110" i="23184"/>
  <c r="AB110" i="23184"/>
  <c r="X110" i="23184"/>
  <c r="V110" i="23184"/>
  <c r="Q110" i="23184"/>
  <c r="N110" i="23184"/>
  <c r="O110" i="23184"/>
  <c r="P110" i="23184"/>
  <c r="I98" i="23184"/>
  <c r="AG98" i="23184"/>
  <c r="AH98" i="23184"/>
  <c r="AI98" i="23184"/>
  <c r="AE98" i="23184"/>
  <c r="AD98" i="23184"/>
  <c r="AF98" i="23184"/>
  <c r="Y98" i="23184"/>
  <c r="AB98" i="23184"/>
  <c r="AA98" i="23184"/>
  <c r="Z98" i="23184"/>
  <c r="Q98" i="23184"/>
  <c r="N98" i="23184"/>
  <c r="O98" i="23184"/>
  <c r="P98" i="23184"/>
  <c r="V98" i="23184"/>
  <c r="X98" i="23184"/>
  <c r="I86" i="23184"/>
  <c r="AG86" i="23184"/>
  <c r="AH86" i="23184"/>
  <c r="AI86" i="23184"/>
  <c r="AE86" i="23184"/>
  <c r="AC86" i="23184"/>
  <c r="AD86" i="23184"/>
  <c r="AF86" i="23184"/>
  <c r="Y86" i="23184"/>
  <c r="AA86" i="23184"/>
  <c r="Z86" i="23184"/>
  <c r="AJ86" i="23184"/>
  <c r="AB86" i="23184"/>
  <c r="V86" i="23184"/>
  <c r="Q86" i="23184"/>
  <c r="N86" i="23184"/>
  <c r="X86" i="23184"/>
  <c r="O86" i="23184"/>
  <c r="P86" i="23184"/>
  <c r="Y62" i="23184"/>
  <c r="I50" i="23184"/>
  <c r="AG50" i="23184"/>
  <c r="AH50" i="23184"/>
  <c r="AI50" i="23184"/>
  <c r="AD50" i="23184"/>
  <c r="Y50" i="23184"/>
  <c r="AA50" i="23184"/>
  <c r="Z50" i="23184"/>
  <c r="AJ50" i="23184"/>
  <c r="AB50" i="23184"/>
  <c r="AF50" i="23184"/>
  <c r="K50" i="23184"/>
  <c r="X50" i="23184"/>
  <c r="L50" i="23184"/>
  <c r="M50" i="23184"/>
  <c r="O50" i="23184"/>
  <c r="P50" i="23184"/>
  <c r="V50" i="23184"/>
  <c r="O119" i="23184"/>
  <c r="L117" i="23184"/>
  <c r="J115" i="23184"/>
  <c r="K112" i="23184"/>
  <c r="P109" i="23184"/>
  <c r="J107" i="23184"/>
  <c r="O104" i="23184"/>
  <c r="N99" i="23184"/>
  <c r="O96" i="23184"/>
  <c r="M94" i="23184"/>
  <c r="N91" i="23184"/>
  <c r="L89" i="23184"/>
  <c r="M86" i="23184"/>
  <c r="N63" i="23184"/>
  <c r="P56" i="23184"/>
  <c r="V94" i="23184"/>
  <c r="Z107" i="23184"/>
  <c r="E106" i="23184"/>
  <c r="AC106" i="23184"/>
  <c r="AD106" i="23184"/>
  <c r="AE106" i="23184"/>
  <c r="AI106" i="23184"/>
  <c r="AA106" i="23184"/>
  <c r="AB106" i="23184"/>
  <c r="X106" i="23184"/>
  <c r="AJ106" i="23184"/>
  <c r="AF106" i="23184"/>
  <c r="AG106" i="23184"/>
  <c r="AH106" i="23184"/>
  <c r="Z106" i="23184"/>
  <c r="V106" i="23184"/>
  <c r="L106" i="23184"/>
  <c r="I101" i="23184"/>
  <c r="AB101" i="23184"/>
  <c r="AC101" i="23184"/>
  <c r="AD101" i="23184"/>
  <c r="AJ101" i="23184"/>
  <c r="AH101" i="23184"/>
  <c r="V101" i="23184"/>
  <c r="AE101" i="23184"/>
  <c r="AF101" i="23184"/>
  <c r="AA101" i="23184"/>
  <c r="AG101" i="23184"/>
  <c r="AI101" i="23184"/>
  <c r="Y101" i="23184"/>
  <c r="X101" i="23184"/>
  <c r="Q101" i="23184"/>
  <c r="Z101" i="23184"/>
  <c r="K101" i="23184"/>
  <c r="Z25" i="23184"/>
  <c r="K117" i="23184"/>
  <c r="O114" i="23184"/>
  <c r="J112" i="23184"/>
  <c r="N109" i="23184"/>
  <c r="P106" i="23184"/>
  <c r="M104" i="23184"/>
  <c r="O101" i="23184"/>
  <c r="N96" i="23184"/>
  <c r="K94" i="23184"/>
  <c r="M91" i="23184"/>
  <c r="J89" i="23184"/>
  <c r="L86" i="23184"/>
  <c r="L63" i="23184"/>
  <c r="O56" i="23184"/>
  <c r="Q118" i="23184"/>
  <c r="Y106" i="23184"/>
  <c r="AB109" i="23184"/>
  <c r="I103" i="23184"/>
  <c r="AH103" i="23184"/>
  <c r="AI103" i="23184"/>
  <c r="AJ103" i="23184"/>
  <c r="AF103" i="23184"/>
  <c r="AE103" i="23184"/>
  <c r="AG103" i="23184"/>
  <c r="Y103" i="23184"/>
  <c r="AB103" i="23184"/>
  <c r="Z103" i="23184"/>
  <c r="V103" i="23184"/>
  <c r="AA103" i="23184"/>
  <c r="AC103" i="23184"/>
  <c r="AD103" i="23184"/>
  <c r="X103" i="23184"/>
  <c r="O103" i="23184"/>
  <c r="P103" i="23184"/>
  <c r="Q103" i="23184"/>
  <c r="K118" i="23184"/>
  <c r="AC121" i="23184"/>
  <c r="AF121" i="23184"/>
  <c r="AG121" i="23184"/>
  <c r="AH121" i="23184"/>
  <c r="AD121" i="23184"/>
  <c r="AE121" i="23184"/>
  <c r="Y121" i="23184"/>
  <c r="AI121" i="23184"/>
  <c r="Z121" i="23184"/>
  <c r="AB121" i="23184"/>
  <c r="AA121" i="23184"/>
  <c r="X121" i="23184"/>
  <c r="AJ121" i="23184"/>
  <c r="Q121" i="23184"/>
  <c r="J121" i="23184"/>
  <c r="K121" i="23184"/>
  <c r="V121" i="23184"/>
  <c r="O121" i="23184"/>
  <c r="N114" i="23184"/>
  <c r="L104" i="23184"/>
  <c r="J94" i="23184"/>
  <c r="L91" i="23184"/>
  <c r="P88" i="23184"/>
  <c r="K86" i="23184"/>
  <c r="K63" i="23184"/>
  <c r="V118" i="23184"/>
  <c r="AC98" i="23184"/>
  <c r="E34" i="23184"/>
  <c r="AC34" i="23184"/>
  <c r="AD34" i="23184"/>
  <c r="AE34" i="23184"/>
  <c r="AF34" i="23184"/>
  <c r="AG34" i="23184"/>
  <c r="AH34" i="23184"/>
  <c r="AI34" i="23184"/>
  <c r="X34" i="23184"/>
  <c r="AJ34" i="23184"/>
  <c r="AB34" i="23184"/>
  <c r="AA34" i="23184"/>
  <c r="Y34" i="23184"/>
  <c r="Z34" i="23184"/>
  <c r="O34" i="23184"/>
  <c r="P34" i="23184"/>
  <c r="V34" i="23184"/>
  <c r="J34" i="23184"/>
  <c r="K34" i="23184"/>
  <c r="L34" i="23184"/>
  <c r="F93" i="23184"/>
  <c r="AF93" i="23184"/>
  <c r="AB93" i="23184"/>
  <c r="AG93" i="23184"/>
  <c r="AH93" i="23184"/>
  <c r="AI93" i="23184"/>
  <c r="AD93" i="23184"/>
  <c r="V93" i="23184"/>
  <c r="AC93" i="23184"/>
  <c r="X93" i="23184"/>
  <c r="AE93" i="23184"/>
  <c r="AJ93" i="23184"/>
  <c r="Y93" i="23184"/>
  <c r="Z93" i="23184"/>
  <c r="M93" i="23184"/>
  <c r="N93" i="23184"/>
  <c r="O93" i="23184"/>
  <c r="AA93" i="23184"/>
  <c r="Q93" i="23184"/>
  <c r="F56" i="23184"/>
  <c r="AB56" i="23184"/>
  <c r="AC56" i="23184"/>
  <c r="AD56" i="23184"/>
  <c r="AE56" i="23184"/>
  <c r="AF56" i="23184"/>
  <c r="AG56" i="23184"/>
  <c r="AH56" i="23184"/>
  <c r="AI56" i="23184"/>
  <c r="X56" i="23184"/>
  <c r="AJ56" i="23184"/>
  <c r="Y56" i="23184"/>
  <c r="Z56" i="23184"/>
  <c r="AA56" i="23184"/>
  <c r="J56" i="23184"/>
  <c r="V56" i="23184"/>
  <c r="Q56" i="23184"/>
  <c r="N56" i="23184"/>
  <c r="M118" i="23184"/>
  <c r="I90" i="23184"/>
  <c r="AC90" i="23184"/>
  <c r="AD90" i="23184"/>
  <c r="AE90" i="23184"/>
  <c r="AF90" i="23184"/>
  <c r="AG90" i="23184"/>
  <c r="AH90" i="23184"/>
  <c r="AJ90" i="23184"/>
  <c r="AI90" i="23184"/>
  <c r="Z90" i="23184"/>
  <c r="V90" i="23184"/>
  <c r="AA90" i="23184"/>
  <c r="AB90" i="23184"/>
  <c r="Y90" i="23184"/>
  <c r="J90" i="23184"/>
  <c r="K90" i="23184"/>
  <c r="L90" i="23184"/>
  <c r="Q90" i="23184"/>
  <c r="X90" i="23184"/>
  <c r="P90" i="23184"/>
  <c r="N115" i="23184"/>
  <c r="I113" i="23184"/>
  <c r="AB113" i="23184"/>
  <c r="AC113" i="23184"/>
  <c r="AD113" i="23184"/>
  <c r="AJ113" i="23184"/>
  <c r="AH113" i="23184"/>
  <c r="AG113" i="23184"/>
  <c r="AI113" i="23184"/>
  <c r="V113" i="23184"/>
  <c r="AA113" i="23184"/>
  <c r="Y113" i="23184"/>
  <c r="X113" i="23184"/>
  <c r="Z113" i="23184"/>
  <c r="AE113" i="23184"/>
  <c r="AF113" i="23184"/>
  <c r="Q113" i="23184"/>
  <c r="K113" i="23184"/>
  <c r="AC109" i="23184"/>
  <c r="AD109" i="23184"/>
  <c r="AE109" i="23184"/>
  <c r="AF109" i="23184"/>
  <c r="AG109" i="23184"/>
  <c r="AH109" i="23184"/>
  <c r="Y109" i="23184"/>
  <c r="AI109" i="23184"/>
  <c r="Z109" i="23184"/>
  <c r="AJ109" i="23184"/>
  <c r="AA109" i="23184"/>
  <c r="X109" i="23184"/>
  <c r="Q109" i="23184"/>
  <c r="V109" i="23184"/>
  <c r="J109" i="23184"/>
  <c r="K109" i="23184"/>
  <c r="O109" i="23184"/>
  <c r="AC97" i="23184"/>
  <c r="AD97" i="23184"/>
  <c r="AE97" i="23184"/>
  <c r="AF97" i="23184"/>
  <c r="AG97" i="23184"/>
  <c r="AH97" i="23184"/>
  <c r="Y97" i="23184"/>
  <c r="Z97" i="23184"/>
  <c r="AA97" i="23184"/>
  <c r="AB97" i="23184"/>
  <c r="X97" i="23184"/>
  <c r="Q97" i="23184"/>
  <c r="J97" i="23184"/>
  <c r="K97" i="23184"/>
  <c r="V97" i="23184"/>
  <c r="O97" i="23184"/>
  <c r="AC85" i="23184"/>
  <c r="AD85" i="23184"/>
  <c r="AE85" i="23184"/>
  <c r="AF85" i="23184"/>
  <c r="AG85" i="23184"/>
  <c r="AH85" i="23184"/>
  <c r="AI85" i="23184"/>
  <c r="AB85" i="23184"/>
  <c r="Y85" i="23184"/>
  <c r="Z85" i="23184"/>
  <c r="AA85" i="23184"/>
  <c r="X85" i="23184"/>
  <c r="AJ85" i="23184"/>
  <c r="Q85" i="23184"/>
  <c r="V85" i="23184"/>
  <c r="J85" i="23184"/>
  <c r="K85" i="23184"/>
  <c r="O85" i="23184"/>
  <c r="H120" i="23184"/>
  <c r="AI120" i="23184"/>
  <c r="AC120" i="23184"/>
  <c r="Z120" i="23184"/>
  <c r="AA120" i="23184"/>
  <c r="AB120" i="23184"/>
  <c r="X120" i="23184"/>
  <c r="AD120" i="23184"/>
  <c r="AE120" i="23184"/>
  <c r="AF120" i="23184"/>
  <c r="AJ120" i="23184"/>
  <c r="V120" i="23184"/>
  <c r="Q120" i="23184"/>
  <c r="AG120" i="23184"/>
  <c r="AH120" i="23184"/>
  <c r="Y120" i="23184"/>
  <c r="J120" i="23184"/>
  <c r="H108" i="23184"/>
  <c r="AI108" i="23184"/>
  <c r="AC108" i="23184"/>
  <c r="AG108" i="23184"/>
  <c r="AF108" i="23184"/>
  <c r="Z108" i="23184"/>
  <c r="AH108" i="23184"/>
  <c r="AA108" i="23184"/>
  <c r="AJ108" i="23184"/>
  <c r="X108" i="23184"/>
  <c r="V108" i="23184"/>
  <c r="Y108" i="23184"/>
  <c r="Q108" i="23184"/>
  <c r="AD108" i="23184"/>
  <c r="AE108" i="23184"/>
  <c r="P108" i="23184"/>
  <c r="J108" i="23184"/>
  <c r="H96" i="23184"/>
  <c r="AI96" i="23184"/>
  <c r="AC96" i="23184"/>
  <c r="AG96" i="23184"/>
  <c r="AJ96" i="23184"/>
  <c r="Z96" i="23184"/>
  <c r="AA96" i="23184"/>
  <c r="X96" i="23184"/>
  <c r="AD96" i="23184"/>
  <c r="AB96" i="23184"/>
  <c r="AE96" i="23184"/>
  <c r="AF96" i="23184"/>
  <c r="AH96" i="23184"/>
  <c r="V96" i="23184"/>
  <c r="Q96" i="23184"/>
  <c r="P96" i="23184"/>
  <c r="Y96" i="23184"/>
  <c r="J96" i="23184"/>
  <c r="H84" i="23184"/>
  <c r="AI84" i="23184"/>
  <c r="AC84" i="23184"/>
  <c r="AD84" i="23184"/>
  <c r="AG84" i="23184"/>
  <c r="Z84" i="23184"/>
  <c r="AB84" i="23184"/>
  <c r="AA84" i="23184"/>
  <c r="X84" i="23184"/>
  <c r="AJ84" i="23184"/>
  <c r="AE84" i="23184"/>
  <c r="V84" i="23184"/>
  <c r="Y84" i="23184"/>
  <c r="Q84" i="23184"/>
  <c r="P84" i="23184"/>
  <c r="AF84" i="23184"/>
  <c r="AH84" i="23184"/>
  <c r="J84" i="23184"/>
  <c r="N121" i="23184"/>
  <c r="J117" i="23184"/>
  <c r="O106" i="23184"/>
  <c r="N101" i="23184"/>
  <c r="H119" i="23184"/>
  <c r="AD119" i="23184"/>
  <c r="AJ119" i="23184"/>
  <c r="AE119" i="23184"/>
  <c r="AH119" i="23184"/>
  <c r="AI119" i="23184"/>
  <c r="AA119" i="23184"/>
  <c r="X119" i="23184"/>
  <c r="AC119" i="23184"/>
  <c r="AF119" i="23184"/>
  <c r="AB119" i="23184"/>
  <c r="AG119" i="23184"/>
  <c r="Y119" i="23184"/>
  <c r="L119" i="23184"/>
  <c r="M119" i="23184"/>
  <c r="Z119" i="23184"/>
  <c r="H107" i="23184"/>
  <c r="AD107" i="23184"/>
  <c r="AJ107" i="23184"/>
  <c r="AE107" i="23184"/>
  <c r="AF107" i="23184"/>
  <c r="AG107" i="23184"/>
  <c r="AH107" i="23184"/>
  <c r="AI107" i="23184"/>
  <c r="AB107" i="23184"/>
  <c r="AA107" i="23184"/>
  <c r="X107" i="23184"/>
  <c r="AC107" i="23184"/>
  <c r="Y107" i="23184"/>
  <c r="K107" i="23184"/>
  <c r="V107" i="23184"/>
  <c r="L107" i="23184"/>
  <c r="M107" i="23184"/>
  <c r="H95" i="23184"/>
  <c r="AD95" i="23184"/>
  <c r="AJ95" i="23184"/>
  <c r="AE95" i="23184"/>
  <c r="AF95" i="23184"/>
  <c r="AG95" i="23184"/>
  <c r="AH95" i="23184"/>
  <c r="AI95" i="23184"/>
  <c r="AA95" i="23184"/>
  <c r="X95" i="23184"/>
  <c r="AC95" i="23184"/>
  <c r="AB95" i="23184"/>
  <c r="Y95" i="23184"/>
  <c r="K95" i="23184"/>
  <c r="L95" i="23184"/>
  <c r="Z95" i="23184"/>
  <c r="M95" i="23184"/>
  <c r="H71" i="23184"/>
  <c r="AD71" i="23184"/>
  <c r="AJ71" i="23184"/>
  <c r="AE71" i="23184"/>
  <c r="AF71" i="23184"/>
  <c r="AG71" i="23184"/>
  <c r="AH71" i="23184"/>
  <c r="AI71" i="23184"/>
  <c r="AA71" i="23184"/>
  <c r="X71" i="23184"/>
  <c r="AC71" i="23184"/>
  <c r="AB71" i="23184"/>
  <c r="Y71" i="23184"/>
  <c r="K71" i="23184"/>
  <c r="L71" i="23184"/>
  <c r="M71" i="23184"/>
  <c r="Z71" i="23184"/>
  <c r="M121" i="23184"/>
  <c r="J119" i="23184"/>
  <c r="P116" i="23184"/>
  <c r="M114" i="23184"/>
  <c r="O111" i="23184"/>
  <c r="L109" i="23184"/>
  <c r="N106" i="23184"/>
  <c r="K104" i="23184"/>
  <c r="M101" i="23184"/>
  <c r="J99" i="23184"/>
  <c r="L96" i="23184"/>
  <c r="P93" i="23184"/>
  <c r="K91" i="23184"/>
  <c r="O88" i="23184"/>
  <c r="J86" i="23184"/>
  <c r="O71" i="23184"/>
  <c r="J63" i="23184"/>
  <c r="L56" i="23184"/>
  <c r="Q106" i="23184"/>
  <c r="Q34" i="23184"/>
  <c r="V119" i="23184"/>
  <c r="AI97" i="23184"/>
  <c r="E91" i="23184"/>
  <c r="E43" i="23184"/>
  <c r="G103" i="23184"/>
  <c r="G97" i="23184"/>
  <c r="B96" i="23184"/>
  <c r="B93" i="23184"/>
  <c r="B92" i="23184"/>
  <c r="E86" i="23184"/>
  <c r="H63" i="23184"/>
  <c r="G91" i="23184"/>
  <c r="B85" i="23184"/>
  <c r="B49" i="23184"/>
  <c r="G85" i="23184"/>
  <c r="I121" i="23184"/>
  <c r="B120" i="23184"/>
  <c r="B84" i="23184"/>
  <c r="I109" i="23184"/>
  <c r="E90" i="23184"/>
  <c r="B117" i="23184"/>
  <c r="I97" i="23184"/>
  <c r="B116" i="23184"/>
  <c r="B44" i="23184"/>
  <c r="E115" i="23184"/>
  <c r="H88" i="23184"/>
  <c r="I85" i="23184"/>
  <c r="B109" i="23184"/>
  <c r="E114" i="23184"/>
  <c r="H100" i="23184"/>
  <c r="B108" i="23184"/>
  <c r="E110" i="23184"/>
  <c r="H112" i="23184"/>
  <c r="B105" i="23184"/>
  <c r="B33" i="23184"/>
  <c r="E103" i="23184"/>
  <c r="G121" i="23184"/>
  <c r="B104" i="23184"/>
  <c r="E102" i="23184"/>
  <c r="G115" i="23184"/>
  <c r="G43" i="23184"/>
  <c r="B97" i="23184"/>
  <c r="E98" i="23184"/>
  <c r="E50" i="23184"/>
  <c r="G109" i="23184"/>
  <c r="B119" i="23184"/>
  <c r="B107" i="23184"/>
  <c r="B95" i="23184"/>
  <c r="B83" i="23184"/>
  <c r="E113" i="23184"/>
  <c r="E101" i="23184"/>
  <c r="E89" i="23184"/>
  <c r="H89" i="23184"/>
  <c r="H101" i="23184"/>
  <c r="H113" i="23184"/>
  <c r="F121" i="23184"/>
  <c r="F115" i="23184"/>
  <c r="F109" i="23184"/>
  <c r="F103" i="23184"/>
  <c r="F97" i="23184"/>
  <c r="F91" i="23184"/>
  <c r="F85" i="23184"/>
  <c r="F43" i="23184"/>
  <c r="I120" i="23184"/>
  <c r="I108" i="23184"/>
  <c r="I96" i="23184"/>
  <c r="I84" i="23184"/>
  <c r="B118" i="23184"/>
  <c r="B106" i="23184"/>
  <c r="B94" i="23184"/>
  <c r="B70" i="23184"/>
  <c r="E112" i="23184"/>
  <c r="E100" i="23184"/>
  <c r="E88" i="23184"/>
  <c r="H90" i="23184"/>
  <c r="H102" i="23184"/>
  <c r="H114" i="23184"/>
  <c r="G120" i="23184"/>
  <c r="G114" i="23184"/>
  <c r="G108" i="23184"/>
  <c r="G102" i="23184"/>
  <c r="G96" i="23184"/>
  <c r="G90" i="23184"/>
  <c r="G84" i="23184"/>
  <c r="I119" i="23184"/>
  <c r="I107" i="23184"/>
  <c r="I95" i="23184"/>
  <c r="I71" i="23184"/>
  <c r="E111" i="23184"/>
  <c r="E99" i="23184"/>
  <c r="E87" i="23184"/>
  <c r="E63" i="23184"/>
  <c r="H43" i="23184"/>
  <c r="H91" i="23184"/>
  <c r="H103" i="23184"/>
  <c r="H115" i="23184"/>
  <c r="F120" i="23184"/>
  <c r="F114" i="23184"/>
  <c r="F108" i="23184"/>
  <c r="F102" i="23184"/>
  <c r="F96" i="23184"/>
  <c r="F90" i="23184"/>
  <c r="F84" i="23184"/>
  <c r="I118" i="23184"/>
  <c r="I106" i="23184"/>
  <c r="I94" i="23184"/>
  <c r="I34" i="23184"/>
  <c r="H56" i="23184"/>
  <c r="H92" i="23184"/>
  <c r="H104" i="23184"/>
  <c r="H116" i="23184"/>
  <c r="G119" i="23184"/>
  <c r="G113" i="23184"/>
  <c r="G107" i="23184"/>
  <c r="G101" i="23184"/>
  <c r="G95" i="23184"/>
  <c r="G89" i="23184"/>
  <c r="G71" i="23184"/>
  <c r="I117" i="23184"/>
  <c r="I105" i="23184"/>
  <c r="I93" i="23184"/>
  <c r="I45" i="23184"/>
  <c r="B115" i="23184"/>
  <c r="B103" i="23184"/>
  <c r="B91" i="23184"/>
  <c r="B55" i="23184"/>
  <c r="E121" i="23184"/>
  <c r="E109" i="23184"/>
  <c r="E97" i="23184"/>
  <c r="E85" i="23184"/>
  <c r="H45" i="23184"/>
  <c r="H93" i="23184"/>
  <c r="H105" i="23184"/>
  <c r="H117" i="23184"/>
  <c r="F119" i="23184"/>
  <c r="F113" i="23184"/>
  <c r="F107" i="23184"/>
  <c r="F101" i="23184"/>
  <c r="F95" i="23184"/>
  <c r="F89" i="23184"/>
  <c r="F71" i="23184"/>
  <c r="I116" i="23184"/>
  <c r="I104" i="23184"/>
  <c r="I92" i="23184"/>
  <c r="I56" i="23184"/>
  <c r="B114" i="23184"/>
  <c r="B102" i="23184"/>
  <c r="B90" i="23184"/>
  <c r="B42" i="23184"/>
  <c r="E120" i="23184"/>
  <c r="E108" i="23184"/>
  <c r="E96" i="23184"/>
  <c r="E84" i="23184"/>
  <c r="H34" i="23184"/>
  <c r="H94" i="23184"/>
  <c r="H106" i="23184"/>
  <c r="H118" i="23184"/>
  <c r="G118" i="23184"/>
  <c r="G112" i="23184"/>
  <c r="G106" i="23184"/>
  <c r="G100" i="23184"/>
  <c r="G94" i="23184"/>
  <c r="G88" i="23184"/>
  <c r="G34" i="23184"/>
  <c r="B113" i="23184"/>
  <c r="B101" i="23184"/>
  <c r="B89" i="23184"/>
  <c r="E119" i="23184"/>
  <c r="E107" i="23184"/>
  <c r="E95" i="23184"/>
  <c r="E71" i="23184"/>
  <c r="F118" i="23184"/>
  <c r="F112" i="23184"/>
  <c r="F106" i="23184"/>
  <c r="F100" i="23184"/>
  <c r="F94" i="23184"/>
  <c r="F88" i="23184"/>
  <c r="F34" i="23184"/>
  <c r="B112" i="23184"/>
  <c r="B100" i="23184"/>
  <c r="B88" i="23184"/>
  <c r="G117" i="23184"/>
  <c r="G111" i="23184"/>
  <c r="G105" i="23184"/>
  <c r="G99" i="23184"/>
  <c r="G93" i="23184"/>
  <c r="G87" i="23184"/>
  <c r="G63" i="23184"/>
  <c r="G45" i="23184"/>
  <c r="B13" i="23184"/>
  <c r="B111" i="23184"/>
  <c r="B99" i="23184"/>
  <c r="B87" i="23184"/>
  <c r="E117" i="23184"/>
  <c r="E105" i="23184"/>
  <c r="E93" i="23184"/>
  <c r="E45" i="23184"/>
  <c r="H85" i="23184"/>
  <c r="H97" i="23184"/>
  <c r="H109" i="23184"/>
  <c r="H121" i="23184"/>
  <c r="F111" i="23184"/>
  <c r="F99" i="23184"/>
  <c r="F87" i="23184"/>
  <c r="F63" i="23184"/>
  <c r="B110" i="23184"/>
  <c r="B98" i="23184"/>
  <c r="B86" i="23184"/>
  <c r="B62" i="23184"/>
  <c r="E116" i="23184"/>
  <c r="E104" i="23184"/>
  <c r="E92" i="23184"/>
  <c r="E56" i="23184"/>
  <c r="H50" i="23184"/>
  <c r="H86" i="23184"/>
  <c r="H98" i="23184"/>
  <c r="H110" i="23184"/>
  <c r="G116" i="23184"/>
  <c r="G110" i="23184"/>
  <c r="G104" i="23184"/>
  <c r="G98" i="23184"/>
  <c r="G92" i="23184"/>
  <c r="G86" i="23184"/>
  <c r="G56" i="23184"/>
  <c r="G50" i="23184"/>
  <c r="I111" i="23184"/>
  <c r="I99" i="23184"/>
  <c r="I87" i="23184"/>
  <c r="G14" i="23184"/>
  <c r="F110" i="23184"/>
  <c r="F98" i="23184"/>
  <c r="F86" i="23184"/>
  <c r="F50" i="23184"/>
  <c r="BP73" i="23183"/>
  <c r="BP86" i="23183"/>
  <c r="BD85" i="23183"/>
  <c r="BH73" i="23183"/>
  <c r="BJ60" i="23183"/>
  <c r="BO86" i="23183"/>
  <c r="BJ84" i="23183"/>
  <c r="BG73" i="23183"/>
  <c r="BF73" i="23183"/>
  <c r="BF50" i="23183"/>
  <c r="BF86" i="23183"/>
  <c r="BG84" i="23183"/>
  <c r="BP75" i="23183"/>
  <c r="BE73" i="23183"/>
  <c r="BH49" i="23183"/>
  <c r="BE86" i="23183"/>
  <c r="BF84" i="23183"/>
  <c r="BP74" i="23183"/>
  <c r="BJ72" i="23183"/>
  <c r="BP62" i="23183"/>
  <c r="BJ48" i="23183"/>
  <c r="BF26" i="23183"/>
  <c r="BE61" i="23183"/>
  <c r="BN86" i="23183"/>
  <c r="BD86" i="23183"/>
  <c r="BP81" i="23183"/>
  <c r="BO74" i="23183"/>
  <c r="BH72" i="23183"/>
  <c r="BO62" i="23183"/>
  <c r="BL47" i="23183"/>
  <c r="BH25" i="23183"/>
  <c r="BK18" i="23183"/>
  <c r="BC86" i="23183"/>
  <c r="BN74" i="23183"/>
  <c r="BF62" i="23183"/>
  <c r="BP39" i="23183"/>
  <c r="BJ24" i="23183"/>
  <c r="BE85" i="23183"/>
  <c r="BP85" i="23183"/>
  <c r="BC80" i="23183"/>
  <c r="BF74" i="23183"/>
  <c r="BD68" i="23183"/>
  <c r="BD62" i="23183"/>
  <c r="BL23" i="23183"/>
  <c r="BP87" i="23183"/>
  <c r="BH85" i="23183"/>
  <c r="BH79" i="23183"/>
  <c r="BE74" i="23183"/>
  <c r="BC68" i="23183"/>
  <c r="BC62" i="23183"/>
  <c r="BF38" i="23183"/>
  <c r="BL22" i="23183"/>
  <c r="BO87" i="23183"/>
  <c r="BG85" i="23183"/>
  <c r="BG79" i="23183"/>
  <c r="BD74" i="23183"/>
  <c r="BH67" i="23183"/>
  <c r="BH61" i="23183"/>
  <c r="BH37" i="23183"/>
  <c r="BL21" i="23183"/>
  <c r="BN87" i="23183"/>
  <c r="BF85" i="23183"/>
  <c r="BF79" i="23183"/>
  <c r="BC74" i="23183"/>
  <c r="BF67" i="23183"/>
  <c r="BF61" i="23183"/>
  <c r="BJ36" i="23183"/>
  <c r="BL20" i="23183"/>
  <c r="U71" i="23183"/>
  <c r="BM71" i="23183"/>
  <c r="BN71" i="23183"/>
  <c r="BC71" i="23183"/>
  <c r="BO71" i="23183"/>
  <c r="BD71" i="23183"/>
  <c r="BP71" i="23183"/>
  <c r="BE71" i="23183"/>
  <c r="BF71" i="23183"/>
  <c r="BG71" i="23183"/>
  <c r="BH71" i="23183"/>
  <c r="BK71" i="23183"/>
  <c r="BJ71" i="23183"/>
  <c r="BC34" i="23183"/>
  <c r="BO34" i="23183"/>
  <c r="BD34" i="23183"/>
  <c r="BP34" i="23183"/>
  <c r="BE34" i="23183"/>
  <c r="BF34" i="23183"/>
  <c r="BG34" i="23183"/>
  <c r="BH34" i="23183"/>
  <c r="BI34" i="23183"/>
  <c r="BJ34" i="23183"/>
  <c r="BK34" i="23183"/>
  <c r="BL34" i="23183"/>
  <c r="BM34" i="23183"/>
  <c r="Y81" i="23183"/>
  <c r="BE81" i="23183"/>
  <c r="BF81" i="23183"/>
  <c r="BG81" i="23183"/>
  <c r="BH81" i="23183"/>
  <c r="BI81" i="23183"/>
  <c r="BJ81" i="23183"/>
  <c r="BK81" i="23183"/>
  <c r="U58" i="23183"/>
  <c r="BC58" i="23183"/>
  <c r="BO58" i="23183"/>
  <c r="BD58" i="23183"/>
  <c r="BP58" i="23183"/>
  <c r="BE58" i="23183"/>
  <c r="BF58" i="23183"/>
  <c r="BG58" i="23183"/>
  <c r="BH58" i="23183"/>
  <c r="BI58" i="23183"/>
  <c r="BJ58" i="23183"/>
  <c r="BK58" i="23183"/>
  <c r="BL58" i="23183"/>
  <c r="BM58" i="23183"/>
  <c r="AB69" i="23183"/>
  <c r="BE69" i="23183"/>
  <c r="BF69" i="23183"/>
  <c r="BG69" i="23183"/>
  <c r="BH69" i="23183"/>
  <c r="BI69" i="23183"/>
  <c r="BJ69" i="23183"/>
  <c r="BK69" i="23183"/>
  <c r="BL69" i="23183"/>
  <c r="BC69" i="23183"/>
  <c r="BO69" i="23183"/>
  <c r="T44" i="23183"/>
  <c r="BG44" i="23183"/>
  <c r="BH44" i="23183"/>
  <c r="BI44" i="23183"/>
  <c r="BJ44" i="23183"/>
  <c r="BK44" i="23183"/>
  <c r="BL44" i="23183"/>
  <c r="BM44" i="23183"/>
  <c r="BN44" i="23183"/>
  <c r="BC44" i="23183"/>
  <c r="BO44" i="23183"/>
  <c r="BD44" i="23183"/>
  <c r="BP44" i="23183"/>
  <c r="BE44" i="23183"/>
  <c r="X43" i="23183"/>
  <c r="BI43" i="23183"/>
  <c r="BJ43" i="23183"/>
  <c r="BK43" i="23183"/>
  <c r="BL43" i="23183"/>
  <c r="BM43" i="23183"/>
  <c r="BN43" i="23183"/>
  <c r="BC43" i="23183"/>
  <c r="BO43" i="23183"/>
  <c r="BD43" i="23183"/>
  <c r="BP43" i="23183"/>
  <c r="BE43" i="23183"/>
  <c r="BF43" i="23183"/>
  <c r="BG43" i="23183"/>
  <c r="AC42" i="23183"/>
  <c r="BK42" i="23183"/>
  <c r="BL42" i="23183"/>
  <c r="BM42" i="23183"/>
  <c r="BN42" i="23183"/>
  <c r="BC42" i="23183"/>
  <c r="BO42" i="23183"/>
  <c r="BD42" i="23183"/>
  <c r="BP42" i="23183"/>
  <c r="BE42" i="23183"/>
  <c r="BF42" i="23183"/>
  <c r="BG42" i="23183"/>
  <c r="BH42" i="23183"/>
  <c r="BI42" i="23183"/>
  <c r="BK30" i="23183"/>
  <c r="BL30" i="23183"/>
  <c r="BM30" i="23183"/>
  <c r="BN30" i="23183"/>
  <c r="BC30" i="23183"/>
  <c r="BO30" i="23183"/>
  <c r="BD30" i="23183"/>
  <c r="BP30" i="23183"/>
  <c r="BE30" i="23183"/>
  <c r="BF30" i="23183"/>
  <c r="BG30" i="23183"/>
  <c r="BH30" i="23183"/>
  <c r="BI30" i="23183"/>
  <c r="BJ83" i="23183"/>
  <c r="BJ78" i="23183"/>
  <c r="BN75" i="23183"/>
  <c r="BP69" i="23183"/>
  <c r="BJ66" i="23183"/>
  <c r="BP45" i="23183"/>
  <c r="AF77" i="23183"/>
  <c r="BM77" i="23183"/>
  <c r="BN77" i="23183"/>
  <c r="BC77" i="23183"/>
  <c r="BO77" i="23183"/>
  <c r="BD77" i="23183"/>
  <c r="BP77" i="23183"/>
  <c r="BE77" i="23183"/>
  <c r="BF77" i="23183"/>
  <c r="BG77" i="23183"/>
  <c r="BH77" i="23183"/>
  <c r="U65" i="23183"/>
  <c r="BM65" i="23183"/>
  <c r="BN65" i="23183"/>
  <c r="BC65" i="23183"/>
  <c r="BO65" i="23183"/>
  <c r="BD65" i="23183"/>
  <c r="BP65" i="23183"/>
  <c r="BE65" i="23183"/>
  <c r="BF65" i="23183"/>
  <c r="BG65" i="23183"/>
  <c r="BH65" i="23183"/>
  <c r="BK65" i="23183"/>
  <c r="AG53" i="23183"/>
  <c r="BM53" i="23183"/>
  <c r="BN53" i="23183"/>
  <c r="BC53" i="23183"/>
  <c r="BO53" i="23183"/>
  <c r="BD53" i="23183"/>
  <c r="BP53" i="23183"/>
  <c r="BE53" i="23183"/>
  <c r="BF53" i="23183"/>
  <c r="BG53" i="23183"/>
  <c r="BH53" i="23183"/>
  <c r="BI53" i="23183"/>
  <c r="BJ53" i="23183"/>
  <c r="BK53" i="23183"/>
  <c r="R41" i="23183"/>
  <c r="BM41" i="23183"/>
  <c r="BN41" i="23183"/>
  <c r="BC41" i="23183"/>
  <c r="BO41" i="23183"/>
  <c r="BD41" i="23183"/>
  <c r="BP41" i="23183"/>
  <c r="BE41" i="23183"/>
  <c r="BF41" i="23183"/>
  <c r="BG41" i="23183"/>
  <c r="BH41" i="23183"/>
  <c r="BI41" i="23183"/>
  <c r="BJ41" i="23183"/>
  <c r="BK41" i="23183"/>
  <c r="BM29" i="23183"/>
  <c r="BN29" i="23183"/>
  <c r="BC29" i="23183"/>
  <c r="BO29" i="23183"/>
  <c r="BD29" i="23183"/>
  <c r="BP29" i="23183"/>
  <c r="BE29" i="23183"/>
  <c r="BF29" i="23183"/>
  <c r="BG29" i="23183"/>
  <c r="BH29" i="23183"/>
  <c r="BI29" i="23183"/>
  <c r="BJ29" i="23183"/>
  <c r="BK29" i="23183"/>
  <c r="BL87" i="23183"/>
  <c r="BI83" i="23183"/>
  <c r="BC81" i="23183"/>
  <c r="BI78" i="23183"/>
  <c r="BM75" i="23183"/>
  <c r="BN69" i="23183"/>
  <c r="BH66" i="23183"/>
  <c r="BN34" i="23183"/>
  <c r="U70" i="23183"/>
  <c r="BC70" i="23183"/>
  <c r="BO70" i="23183"/>
  <c r="BD70" i="23183"/>
  <c r="BP70" i="23183"/>
  <c r="BE70" i="23183"/>
  <c r="BF70" i="23183"/>
  <c r="BG70" i="23183"/>
  <c r="BH70" i="23183"/>
  <c r="BI70" i="23183"/>
  <c r="BJ70" i="23183"/>
  <c r="BM70" i="23183"/>
  <c r="BI71" i="23183"/>
  <c r="S57" i="23183"/>
  <c r="BE57" i="23183"/>
  <c r="BF57" i="23183"/>
  <c r="BG57" i="23183"/>
  <c r="BH57" i="23183"/>
  <c r="BI57" i="23183"/>
  <c r="BJ57" i="23183"/>
  <c r="BK57" i="23183"/>
  <c r="BL57" i="23183"/>
  <c r="BM57" i="23183"/>
  <c r="BN57" i="23183"/>
  <c r="BC57" i="23183"/>
  <c r="BO57" i="23183"/>
  <c r="BN70" i="23183"/>
  <c r="AP56" i="23183"/>
  <c r="BG56" i="23183"/>
  <c r="BH56" i="23183"/>
  <c r="BI56" i="23183"/>
  <c r="BJ56" i="23183"/>
  <c r="BK56" i="23183"/>
  <c r="BL56" i="23183"/>
  <c r="BM56" i="23183"/>
  <c r="BN56" i="23183"/>
  <c r="BC56" i="23183"/>
  <c r="BO56" i="23183"/>
  <c r="BD56" i="23183"/>
  <c r="BP56" i="23183"/>
  <c r="BE56" i="23183"/>
  <c r="BM81" i="23183"/>
  <c r="AI55" i="23183"/>
  <c r="BI55" i="23183"/>
  <c r="BJ55" i="23183"/>
  <c r="BK55" i="23183"/>
  <c r="BL55" i="23183"/>
  <c r="BM55" i="23183"/>
  <c r="BN55" i="23183"/>
  <c r="BC55" i="23183"/>
  <c r="BO55" i="23183"/>
  <c r="BD55" i="23183"/>
  <c r="BP55" i="23183"/>
  <c r="BE55" i="23183"/>
  <c r="BF55" i="23183"/>
  <c r="BG55" i="23183"/>
  <c r="U19" i="23183"/>
  <c r="BC19" i="23183"/>
  <c r="BO19" i="23183"/>
  <c r="BD19" i="23183"/>
  <c r="BE19" i="23183"/>
  <c r="BF19" i="23183"/>
  <c r="BG19" i="23183"/>
  <c r="BH19" i="23183"/>
  <c r="BI19" i="23183"/>
  <c r="BJ19" i="23183"/>
  <c r="BK19" i="23183"/>
  <c r="BL19" i="23183"/>
  <c r="BK83" i="23183"/>
  <c r="BD81" i="23183"/>
  <c r="X18" i="23183"/>
  <c r="BC18" i="23183"/>
  <c r="BD18" i="23183"/>
  <c r="BE18" i="23183"/>
  <c r="BF18" i="23183"/>
  <c r="BG18" i="23183"/>
  <c r="BH18" i="23183"/>
  <c r="BI18" i="23183"/>
  <c r="AA76" i="23183"/>
  <c r="BC76" i="23183"/>
  <c r="BO76" i="23183"/>
  <c r="BD76" i="23183"/>
  <c r="BP76" i="23183"/>
  <c r="BE76" i="23183"/>
  <c r="BF76" i="23183"/>
  <c r="BG76" i="23183"/>
  <c r="BH76" i="23183"/>
  <c r="BI76" i="23183"/>
  <c r="BJ76" i="23183"/>
  <c r="BM76" i="23183"/>
  <c r="AD64" i="23183"/>
  <c r="BC64" i="23183"/>
  <c r="BO64" i="23183"/>
  <c r="BD64" i="23183"/>
  <c r="BP64" i="23183"/>
  <c r="BE64" i="23183"/>
  <c r="BF64" i="23183"/>
  <c r="BG64" i="23183"/>
  <c r="BH64" i="23183"/>
  <c r="BI64" i="23183"/>
  <c r="BJ64" i="23183"/>
  <c r="BL64" i="23183"/>
  <c r="BM64" i="23183"/>
  <c r="AC52" i="23183"/>
  <c r="BC52" i="23183"/>
  <c r="BO52" i="23183"/>
  <c r="BD52" i="23183"/>
  <c r="BP52" i="23183"/>
  <c r="BE52" i="23183"/>
  <c r="BF52" i="23183"/>
  <c r="BG52" i="23183"/>
  <c r="BH52" i="23183"/>
  <c r="BI52" i="23183"/>
  <c r="BJ52" i="23183"/>
  <c r="BK52" i="23183"/>
  <c r="BL52" i="23183"/>
  <c r="BM52" i="23183"/>
  <c r="V40" i="23183"/>
  <c r="BC40" i="23183"/>
  <c r="BO40" i="23183"/>
  <c r="BD40" i="23183"/>
  <c r="BP40" i="23183"/>
  <c r="BE40" i="23183"/>
  <c r="BF40" i="23183"/>
  <c r="BG40" i="23183"/>
  <c r="BH40" i="23183"/>
  <c r="BI40" i="23183"/>
  <c r="BJ40" i="23183"/>
  <c r="BK40" i="23183"/>
  <c r="BL40" i="23183"/>
  <c r="BM40" i="23183"/>
  <c r="U28" i="23183"/>
  <c r="BC28" i="23183"/>
  <c r="BO28" i="23183"/>
  <c r="BD28" i="23183"/>
  <c r="BP28" i="23183"/>
  <c r="BE28" i="23183"/>
  <c r="BF28" i="23183"/>
  <c r="BG28" i="23183"/>
  <c r="BH28" i="23183"/>
  <c r="BI28" i="23183"/>
  <c r="BJ28" i="23183"/>
  <c r="BK28" i="23183"/>
  <c r="BL28" i="23183"/>
  <c r="BM28" i="23183"/>
  <c r="BP80" i="23183"/>
  <c r="BM69" i="23183"/>
  <c r="BF44" i="23183"/>
  <c r="S78" i="23183"/>
  <c r="BK78" i="23183"/>
  <c r="BL78" i="23183"/>
  <c r="BM78" i="23183"/>
  <c r="BN78" i="23183"/>
  <c r="BC78" i="23183"/>
  <c r="BO78" i="23183"/>
  <c r="BD78" i="23183"/>
  <c r="BP78" i="23183"/>
  <c r="BE78" i="23183"/>
  <c r="BF78" i="23183"/>
  <c r="AF63" i="23183"/>
  <c r="BE63" i="23183"/>
  <c r="BF63" i="23183"/>
  <c r="BG63" i="23183"/>
  <c r="BH63" i="23183"/>
  <c r="BI63" i="23183"/>
  <c r="BJ63" i="23183"/>
  <c r="BK63" i="23183"/>
  <c r="BL63" i="23183"/>
  <c r="BN63" i="23183"/>
  <c r="BC63" i="23183"/>
  <c r="BO63" i="23183"/>
  <c r="AC83" i="23183"/>
  <c r="BM83" i="23183"/>
  <c r="BN83" i="23183"/>
  <c r="BC83" i="23183"/>
  <c r="BO83" i="23183"/>
  <c r="BD83" i="23183"/>
  <c r="BP83" i="23183"/>
  <c r="BE83" i="23183"/>
  <c r="BF83" i="23183"/>
  <c r="BG83" i="23183"/>
  <c r="AA46" i="23183"/>
  <c r="BC46" i="23183"/>
  <c r="BO46" i="23183"/>
  <c r="BD46" i="23183"/>
  <c r="BP46" i="23183"/>
  <c r="BE46" i="23183"/>
  <c r="BF46" i="23183"/>
  <c r="BG46" i="23183"/>
  <c r="BH46" i="23183"/>
  <c r="BI46" i="23183"/>
  <c r="BJ46" i="23183"/>
  <c r="BK46" i="23183"/>
  <c r="BL46" i="23183"/>
  <c r="BM46" i="23183"/>
  <c r="BE33" i="23183"/>
  <c r="BF33" i="23183"/>
  <c r="BG33" i="23183"/>
  <c r="BH33" i="23183"/>
  <c r="BI33" i="23183"/>
  <c r="BJ33" i="23183"/>
  <c r="BK33" i="23183"/>
  <c r="BL33" i="23183"/>
  <c r="BM33" i="23183"/>
  <c r="BN33" i="23183"/>
  <c r="BC33" i="23183"/>
  <c r="BO33" i="23183"/>
  <c r="BI31" i="23183"/>
  <c r="BJ31" i="23183"/>
  <c r="BK31" i="23183"/>
  <c r="BL31" i="23183"/>
  <c r="BM31" i="23183"/>
  <c r="BN31" i="23183"/>
  <c r="BC31" i="23183"/>
  <c r="BO31" i="23183"/>
  <c r="BD31" i="23183"/>
  <c r="BP31" i="23183"/>
  <c r="BE31" i="23183"/>
  <c r="BF31" i="23183"/>
  <c r="BG31" i="23183"/>
  <c r="BL81" i="23183"/>
  <c r="BK70" i="23183"/>
  <c r="BD57" i="23183"/>
  <c r="BD33" i="23183"/>
  <c r="BL77" i="23183"/>
  <c r="BJ65" i="23183"/>
  <c r="BN52" i="23183"/>
  <c r="BJ42" i="23183"/>
  <c r="AH45" i="23183"/>
  <c r="BE45" i="23183"/>
  <c r="BF45" i="23183"/>
  <c r="BG45" i="23183"/>
  <c r="BH45" i="23183"/>
  <c r="BI45" i="23183"/>
  <c r="BJ45" i="23183"/>
  <c r="BK45" i="23183"/>
  <c r="BL45" i="23183"/>
  <c r="BM45" i="23183"/>
  <c r="BN45" i="23183"/>
  <c r="BC45" i="23183"/>
  <c r="BO45" i="23183"/>
  <c r="BN81" i="23183"/>
  <c r="BN58" i="23183"/>
  <c r="X68" i="23183"/>
  <c r="BG68" i="23183"/>
  <c r="BH68" i="23183"/>
  <c r="BI68" i="23183"/>
  <c r="BJ68" i="23183"/>
  <c r="BK68" i="23183"/>
  <c r="BL68" i="23183"/>
  <c r="BM68" i="23183"/>
  <c r="BN68" i="23183"/>
  <c r="BE68" i="23183"/>
  <c r="BL70" i="23183"/>
  <c r="AA79" i="23183"/>
  <c r="BI79" i="23183"/>
  <c r="BJ79" i="23183"/>
  <c r="BK79" i="23183"/>
  <c r="BL79" i="23183"/>
  <c r="BM79" i="23183"/>
  <c r="BN79" i="23183"/>
  <c r="BD79" i="23183"/>
  <c r="BC79" i="23183"/>
  <c r="BO79" i="23183"/>
  <c r="BP79" i="23183"/>
  <c r="X66" i="23183"/>
  <c r="BK66" i="23183"/>
  <c r="BL66" i="23183"/>
  <c r="BM66" i="23183"/>
  <c r="BN66" i="23183"/>
  <c r="BC66" i="23183"/>
  <c r="BO66" i="23183"/>
  <c r="BD66" i="23183"/>
  <c r="BP66" i="23183"/>
  <c r="BE66" i="23183"/>
  <c r="BF66" i="23183"/>
  <c r="BI66" i="23183"/>
  <c r="AB59" i="23183"/>
  <c r="BM59" i="23183"/>
  <c r="BN59" i="23183"/>
  <c r="BC59" i="23183"/>
  <c r="BO59" i="23183"/>
  <c r="BD59" i="23183"/>
  <c r="BP59" i="23183"/>
  <c r="BE59" i="23183"/>
  <c r="BF59" i="23183"/>
  <c r="BG59" i="23183"/>
  <c r="BH59" i="23183"/>
  <c r="BI59" i="23183"/>
  <c r="BJ59" i="23183"/>
  <c r="BK59" i="23183"/>
  <c r="X82" i="23183"/>
  <c r="BC82" i="23183"/>
  <c r="BO82" i="23183"/>
  <c r="BD82" i="23183"/>
  <c r="BP82" i="23183"/>
  <c r="BE82" i="23183"/>
  <c r="BF82" i="23183"/>
  <c r="BG82" i="23183"/>
  <c r="BH82" i="23183"/>
  <c r="BI82" i="23183"/>
  <c r="BJ82" i="23183"/>
  <c r="AB80" i="23183"/>
  <c r="BG80" i="23183"/>
  <c r="BH80" i="23183"/>
  <c r="BI80" i="23183"/>
  <c r="BJ80" i="23183"/>
  <c r="BK80" i="23183"/>
  <c r="BL80" i="23183"/>
  <c r="BN80" i="23183"/>
  <c r="BM80" i="23183"/>
  <c r="BG32" i="23183"/>
  <c r="BH32" i="23183"/>
  <c r="BI32" i="23183"/>
  <c r="BJ32" i="23183"/>
  <c r="BK32" i="23183"/>
  <c r="BL32" i="23183"/>
  <c r="BM32" i="23183"/>
  <c r="BN32" i="23183"/>
  <c r="BC32" i="23183"/>
  <c r="BO32" i="23183"/>
  <c r="BD32" i="23183"/>
  <c r="BP32" i="23183"/>
  <c r="BE32" i="23183"/>
  <c r="BL83" i="23183"/>
  <c r="BP57" i="23183"/>
  <c r="AD67" i="23183"/>
  <c r="BI67" i="23183"/>
  <c r="BJ67" i="23183"/>
  <c r="BK67" i="23183"/>
  <c r="BL67" i="23183"/>
  <c r="BM67" i="23183"/>
  <c r="BN67" i="23183"/>
  <c r="BC67" i="23183"/>
  <c r="BO67" i="23183"/>
  <c r="BD67" i="23183"/>
  <c r="BP67" i="23183"/>
  <c r="BG67" i="23183"/>
  <c r="AJ54" i="23183"/>
  <c r="BK54" i="23183"/>
  <c r="BL54" i="23183"/>
  <c r="BM54" i="23183"/>
  <c r="BN54" i="23183"/>
  <c r="BC54" i="23183"/>
  <c r="BO54" i="23183"/>
  <c r="BD54" i="23183"/>
  <c r="BP54" i="23183"/>
  <c r="BE54" i="23183"/>
  <c r="BF54" i="23183"/>
  <c r="BG54" i="23183"/>
  <c r="BH54" i="23183"/>
  <c r="BI54" i="23183"/>
  <c r="AA87" i="23183"/>
  <c r="BE87" i="23183"/>
  <c r="BF87" i="23183"/>
  <c r="BG87" i="23183"/>
  <c r="BH87" i="23183"/>
  <c r="BI87" i="23183"/>
  <c r="BJ87" i="23183"/>
  <c r="BK87" i="23183"/>
  <c r="AD75" i="23183"/>
  <c r="BE75" i="23183"/>
  <c r="BF75" i="23183"/>
  <c r="BG75" i="23183"/>
  <c r="BH75" i="23183"/>
  <c r="BI75" i="23183"/>
  <c r="BJ75" i="23183"/>
  <c r="BL75" i="23183"/>
  <c r="BK75" i="23183"/>
  <c r="BC75" i="23183"/>
  <c r="BO75" i="23183"/>
  <c r="BE51" i="23183"/>
  <c r="BF51" i="23183"/>
  <c r="BG51" i="23183"/>
  <c r="BH51" i="23183"/>
  <c r="BI51" i="23183"/>
  <c r="BJ51" i="23183"/>
  <c r="BK51" i="23183"/>
  <c r="BL51" i="23183"/>
  <c r="BM51" i="23183"/>
  <c r="BN51" i="23183"/>
  <c r="BC51" i="23183"/>
  <c r="BO51" i="23183"/>
  <c r="AA39" i="23183"/>
  <c r="BE39" i="23183"/>
  <c r="BF39" i="23183"/>
  <c r="BG39" i="23183"/>
  <c r="BH39" i="23183"/>
  <c r="BI39" i="23183"/>
  <c r="BJ39" i="23183"/>
  <c r="BK39" i="23183"/>
  <c r="BL39" i="23183"/>
  <c r="BM39" i="23183"/>
  <c r="BN39" i="23183"/>
  <c r="BC39" i="23183"/>
  <c r="BO39" i="23183"/>
  <c r="BE27" i="23183"/>
  <c r="BF27" i="23183"/>
  <c r="BG27" i="23183"/>
  <c r="BH27" i="23183"/>
  <c r="BI27" i="23183"/>
  <c r="BJ27" i="23183"/>
  <c r="BK27" i="23183"/>
  <c r="BL27" i="23183"/>
  <c r="BM27" i="23183"/>
  <c r="BN27" i="23183"/>
  <c r="BC27" i="23183"/>
  <c r="BO27" i="23183"/>
  <c r="BC87" i="23183"/>
  <c r="BN82" i="23183"/>
  <c r="BG78" i="23183"/>
  <c r="BD69" i="23183"/>
  <c r="BH43" i="23183"/>
  <c r="BO18" i="23183"/>
  <c r="BF80" i="23183"/>
  <c r="BM18" i="23183"/>
  <c r="BL82" i="23183"/>
  <c r="BE80" i="23183"/>
  <c r="BK77" i="23183"/>
  <c r="BO68" i="23183"/>
  <c r="BI65" i="23183"/>
  <c r="BP51" i="23183"/>
  <c r="BL41" i="23183"/>
  <c r="BH31" i="23183"/>
  <c r="Z84" i="23183"/>
  <c r="BK84" i="23183"/>
  <c r="BL84" i="23183"/>
  <c r="BM84" i="23183"/>
  <c r="BN84" i="23183"/>
  <c r="BC84" i="23183"/>
  <c r="BO84" i="23183"/>
  <c r="BD84" i="23183"/>
  <c r="BP84" i="23183"/>
  <c r="BE84" i="23183"/>
  <c r="Z72" i="23183"/>
  <c r="BK72" i="23183"/>
  <c r="BL72" i="23183"/>
  <c r="BM72" i="23183"/>
  <c r="BN72" i="23183"/>
  <c r="BC72" i="23183"/>
  <c r="BO72" i="23183"/>
  <c r="BD72" i="23183"/>
  <c r="BP72" i="23183"/>
  <c r="BE72" i="23183"/>
  <c r="BF72" i="23183"/>
  <c r="BI72" i="23183"/>
  <c r="BL18" i="23183"/>
  <c r="BI84" i="23183"/>
  <c r="BK82" i="23183"/>
  <c r="BD80" i="23183"/>
  <c r="BJ77" i="23183"/>
  <c r="BL71" i="23183"/>
  <c r="BF68" i="23183"/>
  <c r="BN64" i="23183"/>
  <c r="BD51" i="23183"/>
  <c r="BN40" i="23183"/>
  <c r="BJ30" i="23183"/>
  <c r="BM19" i="23183"/>
  <c r="BE62" i="23183"/>
  <c r="BG61" i="23183"/>
  <c r="BI60" i="23183"/>
  <c r="BE50" i="23183"/>
  <c r="BG49" i="23183"/>
  <c r="BI48" i="23183"/>
  <c r="BK47" i="23183"/>
  <c r="BE38" i="23183"/>
  <c r="BG37" i="23183"/>
  <c r="BI36" i="23183"/>
  <c r="BK35" i="23183"/>
  <c r="BE26" i="23183"/>
  <c r="BG25" i="23183"/>
  <c r="BI24" i="23183"/>
  <c r="BK23" i="23183"/>
  <c r="BK22" i="23183"/>
  <c r="BK21" i="23183"/>
  <c r="BK20" i="23183"/>
  <c r="BH60" i="23183"/>
  <c r="BP50" i="23183"/>
  <c r="BD50" i="23183"/>
  <c r="BF49" i="23183"/>
  <c r="BH48" i="23183"/>
  <c r="BJ47" i="23183"/>
  <c r="BP38" i="23183"/>
  <c r="BD38" i="23183"/>
  <c r="BF37" i="23183"/>
  <c r="BH36" i="23183"/>
  <c r="BJ35" i="23183"/>
  <c r="BP26" i="23183"/>
  <c r="BD26" i="23183"/>
  <c r="BF25" i="23183"/>
  <c r="BH24" i="23183"/>
  <c r="BJ23" i="23183"/>
  <c r="BJ22" i="23183"/>
  <c r="BJ21" i="23183"/>
  <c r="BJ20" i="23183"/>
  <c r="BG60" i="23183"/>
  <c r="BO50" i="23183"/>
  <c r="BC50" i="23183"/>
  <c r="BE49" i="23183"/>
  <c r="BG48" i="23183"/>
  <c r="BI47" i="23183"/>
  <c r="BO38" i="23183"/>
  <c r="BC38" i="23183"/>
  <c r="BE37" i="23183"/>
  <c r="BG36" i="23183"/>
  <c r="BI35" i="23183"/>
  <c r="BO26" i="23183"/>
  <c r="BC26" i="23183"/>
  <c r="BE25" i="23183"/>
  <c r="BG24" i="23183"/>
  <c r="BI23" i="23183"/>
  <c r="BI22" i="23183"/>
  <c r="BI21" i="23183"/>
  <c r="BI20" i="23183"/>
  <c r="BD73" i="23183"/>
  <c r="BN62" i="23183"/>
  <c r="BP61" i="23183"/>
  <c r="BD61" i="23183"/>
  <c r="BF60" i="23183"/>
  <c r="BN50" i="23183"/>
  <c r="BP49" i="23183"/>
  <c r="BD49" i="23183"/>
  <c r="BF48" i="23183"/>
  <c r="BH47" i="23183"/>
  <c r="BN38" i="23183"/>
  <c r="BP37" i="23183"/>
  <c r="BD37" i="23183"/>
  <c r="BF36" i="23183"/>
  <c r="BH35" i="23183"/>
  <c r="BN26" i="23183"/>
  <c r="BD25" i="23183"/>
  <c r="BF24" i="23183"/>
  <c r="BH23" i="23183"/>
  <c r="BH22" i="23183"/>
  <c r="BH21" i="23183"/>
  <c r="BH20" i="23183"/>
  <c r="BM86" i="23183"/>
  <c r="BO85" i="23183"/>
  <c r="BC85" i="23183"/>
  <c r="BM74" i="23183"/>
  <c r="BO73" i="23183"/>
  <c r="BC73" i="23183"/>
  <c r="BM62" i="23183"/>
  <c r="BO61" i="23183"/>
  <c r="BC61" i="23183"/>
  <c r="BE60" i="23183"/>
  <c r="BM50" i="23183"/>
  <c r="BO49" i="23183"/>
  <c r="BC49" i="23183"/>
  <c r="BE48" i="23183"/>
  <c r="BG47" i="23183"/>
  <c r="BM38" i="23183"/>
  <c r="BO37" i="23183"/>
  <c r="BC37" i="23183"/>
  <c r="BE36" i="23183"/>
  <c r="BG35" i="23183"/>
  <c r="BM26" i="23183"/>
  <c r="BO25" i="23183"/>
  <c r="BC25" i="23183"/>
  <c r="BE24" i="23183"/>
  <c r="BG23" i="23183"/>
  <c r="BG22" i="23183"/>
  <c r="BG21" i="23183"/>
  <c r="BG20" i="23183"/>
  <c r="BL86" i="23183"/>
  <c r="BN85" i="23183"/>
  <c r="BL74" i="23183"/>
  <c r="BN73" i="23183"/>
  <c r="BL62" i="23183"/>
  <c r="BN61" i="23183"/>
  <c r="BP60" i="23183"/>
  <c r="BD60" i="23183"/>
  <c r="BL50" i="23183"/>
  <c r="BN49" i="23183"/>
  <c r="BP48" i="23183"/>
  <c r="BD48" i="23183"/>
  <c r="BF47" i="23183"/>
  <c r="BL38" i="23183"/>
  <c r="BN37" i="23183"/>
  <c r="BP36" i="23183"/>
  <c r="BD36" i="23183"/>
  <c r="BF35" i="23183"/>
  <c r="BL26" i="23183"/>
  <c r="BD24" i="23183"/>
  <c r="BF23" i="23183"/>
  <c r="BF22" i="23183"/>
  <c r="BF21" i="23183"/>
  <c r="BF20" i="23183"/>
  <c r="BK86" i="23183"/>
  <c r="BM85" i="23183"/>
  <c r="BK74" i="23183"/>
  <c r="BM73" i="23183"/>
  <c r="BK62" i="23183"/>
  <c r="BM61" i="23183"/>
  <c r="BO60" i="23183"/>
  <c r="BC60" i="23183"/>
  <c r="BK50" i="23183"/>
  <c r="BM49" i="23183"/>
  <c r="BO48" i="23183"/>
  <c r="BC48" i="23183"/>
  <c r="BE47" i="23183"/>
  <c r="BK38" i="23183"/>
  <c r="BM37" i="23183"/>
  <c r="BO36" i="23183"/>
  <c r="BC36" i="23183"/>
  <c r="BE35" i="23183"/>
  <c r="BK26" i="23183"/>
  <c r="BM25" i="23183"/>
  <c r="BO24" i="23183"/>
  <c r="BC24" i="23183"/>
  <c r="BE23" i="23183"/>
  <c r="BE22" i="23183"/>
  <c r="BE21" i="23183"/>
  <c r="BE20" i="23183"/>
  <c r="BJ86" i="23183"/>
  <c r="BL85" i="23183"/>
  <c r="BJ74" i="23183"/>
  <c r="BL73" i="23183"/>
  <c r="BJ62" i="23183"/>
  <c r="BL61" i="23183"/>
  <c r="BN60" i="23183"/>
  <c r="BJ50" i="23183"/>
  <c r="BL49" i="23183"/>
  <c r="BN48" i="23183"/>
  <c r="BP47" i="23183"/>
  <c r="BD47" i="23183"/>
  <c r="BJ38" i="23183"/>
  <c r="BL37" i="23183"/>
  <c r="BN36" i="23183"/>
  <c r="BP35" i="23183"/>
  <c r="BD35" i="23183"/>
  <c r="BJ26" i="23183"/>
  <c r="BL25" i="23183"/>
  <c r="BD23" i="23183"/>
  <c r="BD22" i="23183"/>
  <c r="BD21" i="23183"/>
  <c r="BD20" i="23183"/>
  <c r="BI86" i="23183"/>
  <c r="BK85" i="23183"/>
  <c r="BI74" i="23183"/>
  <c r="BK73" i="23183"/>
  <c r="BI62" i="23183"/>
  <c r="BK61" i="23183"/>
  <c r="BM60" i="23183"/>
  <c r="BI50" i="23183"/>
  <c r="BK49" i="23183"/>
  <c r="BM48" i="23183"/>
  <c r="BO47" i="23183"/>
  <c r="BC47" i="23183"/>
  <c r="BI38" i="23183"/>
  <c r="BK37" i="23183"/>
  <c r="BM36" i="23183"/>
  <c r="BO35" i="23183"/>
  <c r="BC35" i="23183"/>
  <c r="BI26" i="23183"/>
  <c r="BK25" i="23183"/>
  <c r="BM24" i="23183"/>
  <c r="BO23" i="23183"/>
  <c r="BC23" i="23183"/>
  <c r="BC22" i="23183"/>
  <c r="BC21" i="23183"/>
  <c r="BC20" i="23183"/>
  <c r="BH86" i="23183"/>
  <c r="BJ85" i="23183"/>
  <c r="BH74" i="23183"/>
  <c r="BJ73" i="23183"/>
  <c r="BH62" i="23183"/>
  <c r="BJ61" i="23183"/>
  <c r="BL60" i="23183"/>
  <c r="BH50" i="23183"/>
  <c r="BJ49" i="23183"/>
  <c r="BL48" i="23183"/>
  <c r="BN47" i="23183"/>
  <c r="BH38" i="23183"/>
  <c r="BJ37" i="23183"/>
  <c r="BL36" i="23183"/>
  <c r="BN35" i="23183"/>
  <c r="BH26" i="23183"/>
  <c r="BJ25" i="23183"/>
  <c r="BL24" i="23183"/>
  <c r="BO22" i="23183"/>
  <c r="BO21" i="23183"/>
  <c r="BO20" i="23183"/>
  <c r="BG86" i="23183"/>
  <c r="BI85" i="23183"/>
  <c r="BG74" i="23183"/>
  <c r="BI73" i="23183"/>
  <c r="BG62" i="23183"/>
  <c r="BI61" i="23183"/>
  <c r="BK60" i="23183"/>
  <c r="BI49" i="23183"/>
  <c r="BK48" i="23183"/>
  <c r="BM47" i="23183"/>
  <c r="BG38" i="23183"/>
  <c r="BI37" i="23183"/>
  <c r="BM35" i="23183"/>
  <c r="BM22" i="23183"/>
  <c r="BM21" i="23183"/>
  <c r="BM20" i="23183"/>
  <c r="AN20" i="23183"/>
  <c r="AM20" i="23183"/>
  <c r="AF21" i="23183"/>
  <c r="AL20" i="23183"/>
  <c r="V20" i="23183"/>
  <c r="AB19" i="23183"/>
  <c r="S19" i="23183"/>
  <c r="R19" i="23183"/>
  <c r="AG18" i="23183"/>
  <c r="AE22" i="23183"/>
  <c r="AI76" i="23183"/>
  <c r="T80" i="23183"/>
  <c r="AD22" i="23183"/>
  <c r="Y70" i="23183"/>
  <c r="S80" i="23183"/>
  <c r="AK69" i="23183"/>
  <c r="R80" i="23183"/>
  <c r="U69" i="23183"/>
  <c r="AK79" i="23183"/>
  <c r="AR68" i="23183"/>
  <c r="AK20" i="23183"/>
  <c r="AF18" i="23183"/>
  <c r="AI77" i="23183"/>
  <c r="V66" i="23183"/>
  <c r="AH20" i="23183"/>
  <c r="AE18" i="23183"/>
  <c r="AC77" i="23183"/>
  <c r="AG65" i="23183"/>
  <c r="Y20" i="23183"/>
  <c r="AD18" i="23183"/>
  <c r="Z77" i="23183"/>
  <c r="AF65" i="23183"/>
  <c r="X20" i="23183"/>
  <c r="R18" i="23183"/>
  <c r="Y77" i="23183"/>
  <c r="AC65" i="23183"/>
  <c r="W20" i="23183"/>
  <c r="AP80" i="23183"/>
  <c r="AJ76" i="23183"/>
  <c r="X64" i="23183"/>
  <c r="AO80" i="23183"/>
  <c r="AH21" i="23183"/>
  <c r="AQ19" i="23183"/>
  <c r="AK80" i="23183"/>
  <c r="AF76" i="23183"/>
  <c r="AK44" i="23183"/>
  <c r="S47" i="23183"/>
  <c r="AG21" i="23183"/>
  <c r="AC19" i="23183"/>
  <c r="AH80" i="23183"/>
  <c r="AB76" i="23183"/>
  <c r="AH84" i="23183"/>
  <c r="AP59" i="23183"/>
  <c r="X59" i="23183"/>
  <c r="U22" i="23183"/>
  <c r="AC21" i="23183"/>
  <c r="T22" i="23183"/>
  <c r="Y21" i="23183"/>
  <c r="AJ20" i="23183"/>
  <c r="T20" i="23183"/>
  <c r="AR18" i="23183"/>
  <c r="AC18" i="23183"/>
  <c r="Y83" i="23183"/>
  <c r="AG80" i="23183"/>
  <c r="Y79" i="23183"/>
  <c r="X77" i="23183"/>
  <c r="Y76" i="23183"/>
  <c r="AQ68" i="23183"/>
  <c r="AB65" i="23183"/>
  <c r="AD57" i="23183"/>
  <c r="S22" i="23183"/>
  <c r="X21" i="23183"/>
  <c r="AI20" i="23183"/>
  <c r="S20" i="23183"/>
  <c r="AQ18" i="23183"/>
  <c r="AB18" i="23183"/>
  <c r="AN82" i="23183"/>
  <c r="AF80" i="23183"/>
  <c r="AN78" i="23183"/>
  <c r="W77" i="23183"/>
  <c r="X76" i="23183"/>
  <c r="AE68" i="23183"/>
  <c r="AQ64" i="23183"/>
  <c r="AB56" i="23183"/>
  <c r="AP18" i="23183"/>
  <c r="Z18" i="23183"/>
  <c r="AB82" i="23183"/>
  <c r="AE80" i="23183"/>
  <c r="AB78" i="23183"/>
  <c r="V77" i="23183"/>
  <c r="W76" i="23183"/>
  <c r="AD68" i="23183"/>
  <c r="AP64" i="23183"/>
  <c r="X56" i="23183"/>
  <c r="AQ22" i="23183"/>
  <c r="AR21" i="23183"/>
  <c r="V21" i="23183"/>
  <c r="AF20" i="23183"/>
  <c r="AP19" i="23183"/>
  <c r="AO18" i="23183"/>
  <c r="Y18" i="23183"/>
  <c r="AQ81" i="23183"/>
  <c r="AD80" i="23183"/>
  <c r="AN77" i="23183"/>
  <c r="U77" i="23183"/>
  <c r="T76" i="23183"/>
  <c r="AC68" i="23183"/>
  <c r="AO64" i="23183"/>
  <c r="Z55" i="23183"/>
  <c r="AP22" i="23183"/>
  <c r="AO21" i="23183"/>
  <c r="U21" i="23183"/>
  <c r="AE20" i="23183"/>
  <c r="AO19" i="23183"/>
  <c r="AN18" i="23183"/>
  <c r="V18" i="23183"/>
  <c r="AE81" i="23183"/>
  <c r="AC80" i="23183"/>
  <c r="AM77" i="23183"/>
  <c r="AP76" i="23183"/>
  <c r="R76" i="23183"/>
  <c r="AB68" i="23183"/>
  <c r="AN64" i="23183"/>
  <c r="X54" i="23183"/>
  <c r="R22" i="23183"/>
  <c r="AH22" i="23183"/>
  <c r="AK21" i="23183"/>
  <c r="T21" i="23183"/>
  <c r="AB20" i="23183"/>
  <c r="AN19" i="23183"/>
  <c r="AL18" i="23183"/>
  <c r="U18" i="23183"/>
  <c r="S81" i="23183"/>
  <c r="Y80" i="23183"/>
  <c r="AL77" i="23183"/>
  <c r="AM76" i="23183"/>
  <c r="AR71" i="23183"/>
  <c r="AQ67" i="23183"/>
  <c r="AB64" i="23183"/>
  <c r="V53" i="23183"/>
  <c r="V22" i="23183"/>
  <c r="V84" i="23183"/>
  <c r="AR22" i="23183"/>
  <c r="W21" i="23183"/>
  <c r="AG22" i="23183"/>
  <c r="AJ21" i="23183"/>
  <c r="AR20" i="23183"/>
  <c r="AA20" i="23183"/>
  <c r="AE19" i="23183"/>
  <c r="AK18" i="23183"/>
  <c r="T18" i="23183"/>
  <c r="AR80" i="23183"/>
  <c r="V80" i="23183"/>
  <c r="AK77" i="23183"/>
  <c r="AL76" i="23183"/>
  <c r="AD71" i="23183"/>
  <c r="AA67" i="23183"/>
  <c r="AA64" i="23183"/>
  <c r="S53" i="23183"/>
  <c r="AK83" i="23183"/>
  <c r="AB58" i="23183"/>
  <c r="AQ20" i="23183"/>
  <c r="AD19" i="23183"/>
  <c r="AH18" i="23183"/>
  <c r="S18" i="23183"/>
  <c r="AQ80" i="23183"/>
  <c r="U80" i="23183"/>
  <c r="AJ77" i="23183"/>
  <c r="AK76" i="23183"/>
  <c r="AP70" i="23183"/>
  <c r="AK66" i="23183"/>
  <c r="Z64" i="23183"/>
  <c r="U52" i="23183"/>
  <c r="F51" i="23183"/>
  <c r="AT51" i="23183"/>
  <c r="AU51" i="23183"/>
  <c r="AV51" i="23183"/>
  <c r="AW51" i="23183"/>
  <c r="AX51" i="23183"/>
  <c r="AY51" i="23183"/>
  <c r="AZ51" i="23183"/>
  <c r="BA51" i="23183"/>
  <c r="AC51" i="23183"/>
  <c r="AO51" i="23183"/>
  <c r="V51" i="23183"/>
  <c r="AH51" i="23183"/>
  <c r="AS51" i="23183"/>
  <c r="T51" i="23183"/>
  <c r="AI51" i="23183"/>
  <c r="U51" i="23183"/>
  <c r="AJ51" i="23183"/>
  <c r="X51" i="23183"/>
  <c r="AL51" i="23183"/>
  <c r="Y51" i="23183"/>
  <c r="AM51" i="23183"/>
  <c r="Z51" i="23183"/>
  <c r="AN51" i="23183"/>
  <c r="AB51" i="23183"/>
  <c r="AQ51" i="23183"/>
  <c r="AK87" i="23183"/>
  <c r="Y87" i="23183"/>
  <c r="AN86" i="23183"/>
  <c r="AB86" i="23183"/>
  <c r="AQ85" i="23183"/>
  <c r="AE85" i="23183"/>
  <c r="S85" i="23183"/>
  <c r="AL75" i="23183"/>
  <c r="V75" i="23183"/>
  <c r="AI74" i="23183"/>
  <c r="U74" i="23183"/>
  <c r="AH73" i="23183"/>
  <c r="T73" i="23183"/>
  <c r="AE72" i="23183"/>
  <c r="AM63" i="23183"/>
  <c r="V63" i="23183"/>
  <c r="AH62" i="23183"/>
  <c r="R62" i="23183"/>
  <c r="AA61" i="23183"/>
  <c r="AJ60" i="23183"/>
  <c r="S51" i="23183"/>
  <c r="AR49" i="23183"/>
  <c r="AJ48" i="23183"/>
  <c r="AJ87" i="23183"/>
  <c r="X87" i="23183"/>
  <c r="AM86" i="23183"/>
  <c r="AP85" i="23183"/>
  <c r="AD85" i="23183"/>
  <c r="R85" i="23183"/>
  <c r="AG84" i="23183"/>
  <c r="U84" i="23183"/>
  <c r="AJ83" i="23183"/>
  <c r="X83" i="23183"/>
  <c r="AM82" i="23183"/>
  <c r="AA82" i="23183"/>
  <c r="AP81" i="23183"/>
  <c r="AD81" i="23183"/>
  <c r="R81" i="23183"/>
  <c r="AJ79" i="23183"/>
  <c r="X79" i="23183"/>
  <c r="AM78" i="23183"/>
  <c r="Z78" i="23183"/>
  <c r="AI75" i="23183"/>
  <c r="U75" i="23183"/>
  <c r="AH74" i="23183"/>
  <c r="T74" i="23183"/>
  <c r="AG73" i="23183"/>
  <c r="AR72" i="23183"/>
  <c r="AD72" i="23183"/>
  <c r="AQ71" i="23183"/>
  <c r="AC71" i="23183"/>
  <c r="AO70" i="23183"/>
  <c r="X70" i="23183"/>
  <c r="AJ69" i="23183"/>
  <c r="T69" i="23183"/>
  <c r="AP67" i="23183"/>
  <c r="Z67" i="23183"/>
  <c r="AJ66" i="23183"/>
  <c r="U66" i="23183"/>
  <c r="AL63" i="23183"/>
  <c r="U63" i="23183"/>
  <c r="AG62" i="23183"/>
  <c r="AR61" i="23183"/>
  <c r="Z61" i="23183"/>
  <c r="AI60" i="23183"/>
  <c r="AN59" i="23183"/>
  <c r="W59" i="23183"/>
  <c r="AA58" i="23183"/>
  <c r="AC57" i="23183"/>
  <c r="AA56" i="23183"/>
  <c r="Y55" i="23183"/>
  <c r="W54" i="23183"/>
  <c r="U53" i="23183"/>
  <c r="T52" i="23183"/>
  <c r="R51" i="23183"/>
  <c r="AQ49" i="23183"/>
  <c r="AI48" i="23183"/>
  <c r="AQ46" i="23183"/>
  <c r="AJ44" i="23183"/>
  <c r="AP41" i="23183"/>
  <c r="AM38" i="23183"/>
  <c r="C86" i="23183"/>
  <c r="AW86" i="23183"/>
  <c r="AX86" i="23183"/>
  <c r="AY86" i="23183"/>
  <c r="AZ86" i="23183"/>
  <c r="BA86" i="23183"/>
  <c r="AT86" i="23183"/>
  <c r="AU86" i="23183"/>
  <c r="AV86" i="23183"/>
  <c r="AS86" i="23183"/>
  <c r="AW50" i="23183"/>
  <c r="AX50" i="23183"/>
  <c r="AY50" i="23183"/>
  <c r="AZ50" i="23183"/>
  <c r="BA50" i="23183"/>
  <c r="AT50" i="23183"/>
  <c r="AU50" i="23183"/>
  <c r="T50" i="23183"/>
  <c r="AF50" i="23183"/>
  <c r="AR50" i="23183"/>
  <c r="AV50" i="23183"/>
  <c r="AS50" i="23183"/>
  <c r="Y50" i="23183"/>
  <c r="AK50" i="23183"/>
  <c r="R50" i="23183"/>
  <c r="AG50" i="23183"/>
  <c r="S50" i="23183"/>
  <c r="AH50" i="23183"/>
  <c r="V50" i="23183"/>
  <c r="AJ50" i="23183"/>
  <c r="W50" i="23183"/>
  <c r="AL50" i="23183"/>
  <c r="X50" i="23183"/>
  <c r="AM50" i="23183"/>
  <c r="AA50" i="23183"/>
  <c r="AO50" i="23183"/>
  <c r="AI87" i="23183"/>
  <c r="W87" i="23183"/>
  <c r="AL86" i="23183"/>
  <c r="Z86" i="23183"/>
  <c r="AO85" i="23183"/>
  <c r="AC85" i="23183"/>
  <c r="AR84" i="23183"/>
  <c r="AF84" i="23183"/>
  <c r="T84" i="23183"/>
  <c r="AI83" i="23183"/>
  <c r="W83" i="23183"/>
  <c r="AL82" i="23183"/>
  <c r="Z82" i="23183"/>
  <c r="AO81" i="23183"/>
  <c r="AC81" i="23183"/>
  <c r="AI79" i="23183"/>
  <c r="W79" i="23183"/>
  <c r="AL78" i="23183"/>
  <c r="Y78" i="23183"/>
  <c r="AH75" i="23183"/>
  <c r="T75" i="23183"/>
  <c r="AG74" i="23183"/>
  <c r="S74" i="23183"/>
  <c r="AF73" i="23183"/>
  <c r="AQ72" i="23183"/>
  <c r="AC72" i="23183"/>
  <c r="AP71" i="23183"/>
  <c r="AB71" i="23183"/>
  <c r="AL70" i="23183"/>
  <c r="W70" i="23183"/>
  <c r="AI69" i="23183"/>
  <c r="AO67" i="23183"/>
  <c r="W67" i="23183"/>
  <c r="AI66" i="23183"/>
  <c r="T66" i="23183"/>
  <c r="AI63" i="23183"/>
  <c r="T63" i="23183"/>
  <c r="AF62" i="23183"/>
  <c r="AO61" i="23183"/>
  <c r="AF60" i="23183"/>
  <c r="AM59" i="23183"/>
  <c r="T59" i="23183"/>
  <c r="Y58" i="23183"/>
  <c r="AA57" i="23183"/>
  <c r="Y56" i="23183"/>
  <c r="X55" i="23183"/>
  <c r="V54" i="23183"/>
  <c r="T53" i="23183"/>
  <c r="R52" i="23183"/>
  <c r="AQ50" i="23183"/>
  <c r="AP49" i="23183"/>
  <c r="AH48" i="23183"/>
  <c r="AC46" i="23183"/>
  <c r="V44" i="23183"/>
  <c r="AK41" i="23183"/>
  <c r="C61" i="23183"/>
  <c r="AW61" i="23183"/>
  <c r="AX61" i="23183"/>
  <c r="AY61" i="23183"/>
  <c r="AZ61" i="23183"/>
  <c r="BA61" i="23183"/>
  <c r="AS61" i="23183"/>
  <c r="AT61" i="23183"/>
  <c r="AU61" i="23183"/>
  <c r="AV61" i="23183"/>
  <c r="W61" i="23183"/>
  <c r="AI61" i="23183"/>
  <c r="AC61" i="23183"/>
  <c r="AP61" i="23183"/>
  <c r="AD61" i="23183"/>
  <c r="AQ61" i="23183"/>
  <c r="S61" i="23183"/>
  <c r="T61" i="23183"/>
  <c r="AG61" i="23183"/>
  <c r="AH87" i="23183"/>
  <c r="V87" i="23183"/>
  <c r="AK86" i="23183"/>
  <c r="Y86" i="23183"/>
  <c r="AN85" i="23183"/>
  <c r="AB85" i="23183"/>
  <c r="AQ84" i="23183"/>
  <c r="AE84" i="23183"/>
  <c r="S84" i="23183"/>
  <c r="AH83" i="23183"/>
  <c r="V83" i="23183"/>
  <c r="AK82" i="23183"/>
  <c r="Y82" i="23183"/>
  <c r="AN81" i="23183"/>
  <c r="AB81" i="23183"/>
  <c r="AH79" i="23183"/>
  <c r="V79" i="23183"/>
  <c r="AK78" i="23183"/>
  <c r="X78" i="23183"/>
  <c r="AG75" i="23183"/>
  <c r="S75" i="23183"/>
  <c r="AF74" i="23183"/>
  <c r="AC73" i="23183"/>
  <c r="AP72" i="23183"/>
  <c r="AB72" i="23183"/>
  <c r="AO71" i="23183"/>
  <c r="AA71" i="23183"/>
  <c r="AK70" i="23183"/>
  <c r="V70" i="23183"/>
  <c r="AG69" i="23183"/>
  <c r="AM67" i="23183"/>
  <c r="V67" i="23183"/>
  <c r="AH66" i="23183"/>
  <c r="R66" i="23183"/>
  <c r="AH63" i="23183"/>
  <c r="S63" i="23183"/>
  <c r="AN61" i="23183"/>
  <c r="X61" i="23183"/>
  <c r="AC60" i="23183"/>
  <c r="AL59" i="23183"/>
  <c r="AQ58" i="23183"/>
  <c r="X58" i="23183"/>
  <c r="Z57" i="23183"/>
  <c r="W55" i="23183"/>
  <c r="U54" i="23183"/>
  <c r="AR51" i="23183"/>
  <c r="AP50" i="23183"/>
  <c r="AO49" i="23183"/>
  <c r="AG48" i="23183"/>
  <c r="AB46" i="23183"/>
  <c r="U44" i="23183"/>
  <c r="AH41" i="23183"/>
  <c r="AP37" i="23183"/>
  <c r="K74" i="23183"/>
  <c r="AW74" i="23183"/>
  <c r="AX74" i="23183"/>
  <c r="AY74" i="23183"/>
  <c r="AZ74" i="23183"/>
  <c r="BA74" i="23183"/>
  <c r="AT74" i="23183"/>
  <c r="AU74" i="23183"/>
  <c r="AV74" i="23183"/>
  <c r="AA74" i="23183"/>
  <c r="AM74" i="23183"/>
  <c r="AB74" i="23183"/>
  <c r="AN74" i="23183"/>
  <c r="AS74" i="23183"/>
  <c r="I62" i="23183"/>
  <c r="AW62" i="23183"/>
  <c r="AX62" i="23183"/>
  <c r="AY62" i="23183"/>
  <c r="AZ62" i="23183"/>
  <c r="BA62" i="23183"/>
  <c r="AT62" i="23183"/>
  <c r="AU62" i="23183"/>
  <c r="AV62" i="23183"/>
  <c r="AA62" i="23183"/>
  <c r="AM62" i="23183"/>
  <c r="AB62" i="23183"/>
  <c r="AN62" i="23183"/>
  <c r="AS62" i="23183"/>
  <c r="S62" i="23183"/>
  <c r="AE62" i="23183"/>
  <c r="AQ62" i="23183"/>
  <c r="D38" i="23183"/>
  <c r="AW38" i="23183"/>
  <c r="AX38" i="23183"/>
  <c r="AY38" i="23183"/>
  <c r="AZ38" i="23183"/>
  <c r="BA38" i="23183"/>
  <c r="AT38" i="23183"/>
  <c r="AU38" i="23183"/>
  <c r="T38" i="23183"/>
  <c r="AF38" i="23183"/>
  <c r="AR38" i="23183"/>
  <c r="U38" i="23183"/>
  <c r="AG38" i="23183"/>
  <c r="W38" i="23183"/>
  <c r="AI38" i="23183"/>
  <c r="X38" i="23183"/>
  <c r="AJ38" i="23183"/>
  <c r="Y38" i="23183"/>
  <c r="AK38" i="23183"/>
  <c r="Z38" i="23183"/>
  <c r="AL38" i="23183"/>
  <c r="AV38" i="23183"/>
  <c r="AN38" i="23183"/>
  <c r="AO38" i="23183"/>
  <c r="R38" i="23183"/>
  <c r="AP38" i="23183"/>
  <c r="S38" i="23183"/>
  <c r="AQ38" i="23183"/>
  <c r="V38" i="23183"/>
  <c r="AA38" i="23183"/>
  <c r="AB38" i="23183"/>
  <c r="AC38" i="23183"/>
  <c r="AD38" i="23183"/>
  <c r="AS38" i="23183"/>
  <c r="AH38" i="23183"/>
  <c r="Y26" i="23183"/>
  <c r="AK26" i="23183"/>
  <c r="Z26" i="23183"/>
  <c r="AL26" i="23183"/>
  <c r="AW26" i="23183"/>
  <c r="AB26" i="23183"/>
  <c r="AN26" i="23183"/>
  <c r="AX26" i="23183"/>
  <c r="AC26" i="23183"/>
  <c r="AO26" i="23183"/>
  <c r="AY26" i="23183"/>
  <c r="R26" i="23183"/>
  <c r="AD26" i="23183"/>
  <c r="AP26" i="23183"/>
  <c r="AZ26" i="23183"/>
  <c r="S26" i="23183"/>
  <c r="AE26" i="23183"/>
  <c r="AQ26" i="23183"/>
  <c r="BA26" i="23183"/>
  <c r="AT26" i="23183"/>
  <c r="AU26" i="23183"/>
  <c r="W26" i="23183"/>
  <c r="AI26" i="23183"/>
  <c r="U26" i="23183"/>
  <c r="V26" i="23183"/>
  <c r="AA26" i="23183"/>
  <c r="AF26" i="23183"/>
  <c r="AG26" i="23183"/>
  <c r="AH26" i="23183"/>
  <c r="AJ26" i="23183"/>
  <c r="AR26" i="23183"/>
  <c r="AV26" i="23183"/>
  <c r="T26" i="23183"/>
  <c r="X26" i="23183"/>
  <c r="AM26" i="23183"/>
  <c r="AS26" i="23183"/>
  <c r="AM19" i="23183"/>
  <c r="AA19" i="23183"/>
  <c r="AG87" i="23183"/>
  <c r="U87" i="23183"/>
  <c r="AJ86" i="23183"/>
  <c r="X86" i="23183"/>
  <c r="AM85" i="23183"/>
  <c r="AA85" i="23183"/>
  <c r="AP84" i="23183"/>
  <c r="AD84" i="23183"/>
  <c r="R84" i="23183"/>
  <c r="AG83" i="23183"/>
  <c r="U83" i="23183"/>
  <c r="AJ82" i="23183"/>
  <c r="AM81" i="23183"/>
  <c r="AA81" i="23183"/>
  <c r="AG79" i="23183"/>
  <c r="U79" i="23183"/>
  <c r="AJ78" i="23183"/>
  <c r="W78" i="23183"/>
  <c r="S76" i="23183"/>
  <c r="AF75" i="23183"/>
  <c r="R75" i="23183"/>
  <c r="AE74" i="23183"/>
  <c r="AR73" i="23183"/>
  <c r="AB73" i="23183"/>
  <c r="AO72" i="23183"/>
  <c r="AA72" i="23183"/>
  <c r="AN71" i="23183"/>
  <c r="Z71" i="23183"/>
  <c r="AJ70" i="23183"/>
  <c r="AF69" i="23183"/>
  <c r="AP68" i="23183"/>
  <c r="AA68" i="23183"/>
  <c r="AL67" i="23183"/>
  <c r="U67" i="23183"/>
  <c r="AG66" i="23183"/>
  <c r="AR65" i="23183"/>
  <c r="AA65" i="23183"/>
  <c r="AM64" i="23183"/>
  <c r="W64" i="23183"/>
  <c r="AG63" i="23183"/>
  <c r="R63" i="23183"/>
  <c r="AC62" i="23183"/>
  <c r="AM61" i="23183"/>
  <c r="V61" i="23183"/>
  <c r="AB60" i="23183"/>
  <c r="AK59" i="23183"/>
  <c r="AP58" i="23183"/>
  <c r="X57" i="23183"/>
  <c r="V56" i="23183"/>
  <c r="T55" i="23183"/>
  <c r="R54" i="23183"/>
  <c r="AR52" i="23183"/>
  <c r="AP51" i="23183"/>
  <c r="AN50" i="23183"/>
  <c r="AL49" i="23183"/>
  <c r="T41" i="23183"/>
  <c r="E82" i="23183"/>
  <c r="AW82" i="23183"/>
  <c r="AX82" i="23183"/>
  <c r="AY82" i="23183"/>
  <c r="AZ82" i="23183"/>
  <c r="BA82" i="23183"/>
  <c r="AT82" i="23183"/>
  <c r="AU82" i="23183"/>
  <c r="AV82" i="23183"/>
  <c r="AS82" i="23183"/>
  <c r="L70" i="23183"/>
  <c r="AW70" i="23183"/>
  <c r="AX70" i="23183"/>
  <c r="AY70" i="23183"/>
  <c r="AZ70" i="23183"/>
  <c r="BA70" i="23183"/>
  <c r="AT70" i="23183"/>
  <c r="AU70" i="23183"/>
  <c r="AV70" i="23183"/>
  <c r="AA70" i="23183"/>
  <c r="AM70" i="23183"/>
  <c r="AB70" i="23183"/>
  <c r="AN70" i="23183"/>
  <c r="AS70" i="23183"/>
  <c r="S70" i="23183"/>
  <c r="AE70" i="23183"/>
  <c r="AQ70" i="23183"/>
  <c r="G58" i="23183"/>
  <c r="AW58" i="23183"/>
  <c r="AX58" i="23183"/>
  <c r="AY58" i="23183"/>
  <c r="AZ58" i="23183"/>
  <c r="BA58" i="23183"/>
  <c r="AT58" i="23183"/>
  <c r="AU58" i="23183"/>
  <c r="T58" i="23183"/>
  <c r="AF58" i="23183"/>
  <c r="AR58" i="23183"/>
  <c r="AV58" i="23183"/>
  <c r="R58" i="23183"/>
  <c r="AE58" i="23183"/>
  <c r="S58" i="23183"/>
  <c r="AG58" i="23183"/>
  <c r="AS58" i="23183"/>
  <c r="V58" i="23183"/>
  <c r="AI58" i="23183"/>
  <c r="W58" i="23183"/>
  <c r="AJ58" i="23183"/>
  <c r="Z58" i="23183"/>
  <c r="AM58" i="23183"/>
  <c r="D46" i="23183"/>
  <c r="AW46" i="23183"/>
  <c r="AX46" i="23183"/>
  <c r="AY46" i="23183"/>
  <c r="AZ46" i="23183"/>
  <c r="BA46" i="23183"/>
  <c r="AT46" i="23183"/>
  <c r="AU46" i="23183"/>
  <c r="T46" i="23183"/>
  <c r="AF46" i="23183"/>
  <c r="AR46" i="23183"/>
  <c r="AV46" i="23183"/>
  <c r="U46" i="23183"/>
  <c r="AG46" i="23183"/>
  <c r="W46" i="23183"/>
  <c r="AI46" i="23183"/>
  <c r="X46" i="23183"/>
  <c r="AJ46" i="23183"/>
  <c r="Y46" i="23183"/>
  <c r="AK46" i="23183"/>
  <c r="AS46" i="23183"/>
  <c r="AD46" i="23183"/>
  <c r="AE46" i="23183"/>
  <c r="AH46" i="23183"/>
  <c r="AL46" i="23183"/>
  <c r="AM46" i="23183"/>
  <c r="R46" i="23183"/>
  <c r="AN46" i="23183"/>
  <c r="S46" i="23183"/>
  <c r="AO46" i="23183"/>
  <c r="V46" i="23183"/>
  <c r="AP46" i="23183"/>
  <c r="Z34" i="23183"/>
  <c r="AW34" i="23183"/>
  <c r="AX34" i="23183"/>
  <c r="AC34" i="23183"/>
  <c r="AO34" i="23183"/>
  <c r="AY34" i="23183"/>
  <c r="R34" i="23183"/>
  <c r="AD34" i="23183"/>
  <c r="AP34" i="23183"/>
  <c r="AZ34" i="23183"/>
  <c r="BA34" i="23183"/>
  <c r="AT34" i="23183"/>
  <c r="AU34" i="23183"/>
  <c r="S34" i="23183"/>
  <c r="AH34" i="23183"/>
  <c r="T34" i="23183"/>
  <c r="AI34" i="23183"/>
  <c r="V34" i="23183"/>
  <c r="AK34" i="23183"/>
  <c r="AV34" i="23183"/>
  <c r="W34" i="23183"/>
  <c r="AL34" i="23183"/>
  <c r="AS34" i="23183"/>
  <c r="X34" i="23183"/>
  <c r="AM34" i="23183"/>
  <c r="Y34" i="23183"/>
  <c r="AN34" i="23183"/>
  <c r="AA34" i="23183"/>
  <c r="AQ34" i="23183"/>
  <c r="AF34" i="23183"/>
  <c r="AE34" i="23183"/>
  <c r="AG34" i="23183"/>
  <c r="AJ34" i="23183"/>
  <c r="AR34" i="23183"/>
  <c r="U34" i="23183"/>
  <c r="AW22" i="23183"/>
  <c r="AX22" i="23183"/>
  <c r="AV22" i="23183"/>
  <c r="AO22" i="23183"/>
  <c r="AC22" i="23183"/>
  <c r="AR87" i="23183"/>
  <c r="AF87" i="23183"/>
  <c r="T87" i="23183"/>
  <c r="AI86" i="23183"/>
  <c r="W86" i="23183"/>
  <c r="AL85" i="23183"/>
  <c r="Z85" i="23183"/>
  <c r="AO84" i="23183"/>
  <c r="AC84" i="23183"/>
  <c r="AR83" i="23183"/>
  <c r="AF83" i="23183"/>
  <c r="T83" i="23183"/>
  <c r="AI82" i="23183"/>
  <c r="W82" i="23183"/>
  <c r="AL81" i="23183"/>
  <c r="Z81" i="23183"/>
  <c r="AR79" i="23183"/>
  <c r="AF79" i="23183"/>
  <c r="T79" i="23183"/>
  <c r="AI78" i="23183"/>
  <c r="V78" i="23183"/>
  <c r="AE75" i="23183"/>
  <c r="AR74" i="23183"/>
  <c r="AD74" i="23183"/>
  <c r="AO73" i="23183"/>
  <c r="AA73" i="23183"/>
  <c r="AN72" i="23183"/>
  <c r="AM71" i="23183"/>
  <c r="W71" i="23183"/>
  <c r="AI70" i="23183"/>
  <c r="T70" i="23183"/>
  <c r="AC69" i="23183"/>
  <c r="AO68" i="23183"/>
  <c r="Z68" i="23183"/>
  <c r="AI67" i="23183"/>
  <c r="T67" i="23183"/>
  <c r="AF66" i="23183"/>
  <c r="AO65" i="23183"/>
  <c r="Z65" i="23183"/>
  <c r="AL64" i="23183"/>
  <c r="T64" i="23183"/>
  <c r="AR62" i="23183"/>
  <c r="Z62" i="23183"/>
  <c r="AL61" i="23183"/>
  <c r="U61" i="23183"/>
  <c r="AA60" i="23183"/>
  <c r="AJ59" i="23183"/>
  <c r="AO58" i="23183"/>
  <c r="AR57" i="23183"/>
  <c r="AR55" i="23183"/>
  <c r="AP54" i="23183"/>
  <c r="AO53" i="23183"/>
  <c r="AM52" i="23183"/>
  <c r="AK51" i="23183"/>
  <c r="AI50" i="23183"/>
  <c r="AF49" i="23183"/>
  <c r="AQ47" i="23183"/>
  <c r="Z46" i="23183"/>
  <c r="AQ43" i="23183"/>
  <c r="J63" i="23183"/>
  <c r="AT63" i="23183"/>
  <c r="AU63" i="23183"/>
  <c r="AV63" i="23183"/>
  <c r="AW63" i="23183"/>
  <c r="AX63" i="23183"/>
  <c r="AY63" i="23183"/>
  <c r="AZ63" i="23183"/>
  <c r="BA63" i="23183"/>
  <c r="AS63" i="23183"/>
  <c r="X63" i="23183"/>
  <c r="AJ63" i="23183"/>
  <c r="Y63" i="23183"/>
  <c r="AK63" i="23183"/>
  <c r="AB63" i="23183"/>
  <c r="AN63" i="23183"/>
  <c r="J27" i="23183"/>
  <c r="AT27" i="23183"/>
  <c r="V27" i="23183"/>
  <c r="AH27" i="23183"/>
  <c r="AU27" i="23183"/>
  <c r="W27" i="23183"/>
  <c r="AI27" i="23183"/>
  <c r="Y27" i="23183"/>
  <c r="AK27" i="23183"/>
  <c r="Z27" i="23183"/>
  <c r="AL27" i="23183"/>
  <c r="AV27" i="23183"/>
  <c r="AA27" i="23183"/>
  <c r="AM27" i="23183"/>
  <c r="AW27" i="23183"/>
  <c r="AB27" i="23183"/>
  <c r="AN27" i="23183"/>
  <c r="AX27" i="23183"/>
  <c r="AY27" i="23183"/>
  <c r="AZ27" i="23183"/>
  <c r="BA27" i="23183"/>
  <c r="T27" i="23183"/>
  <c r="AF27" i="23183"/>
  <c r="AR27" i="23183"/>
  <c r="AS27" i="23183"/>
  <c r="U27" i="23183"/>
  <c r="X27" i="23183"/>
  <c r="AD27" i="23183"/>
  <c r="AE27" i="23183"/>
  <c r="AG27" i="23183"/>
  <c r="AJ27" i="23183"/>
  <c r="AO27" i="23183"/>
  <c r="AQ27" i="23183"/>
  <c r="R27" i="23183"/>
  <c r="S27" i="23183"/>
  <c r="AC27" i="23183"/>
  <c r="AP27" i="23183"/>
  <c r="D72" i="23183"/>
  <c r="AZ72" i="23183"/>
  <c r="BA72" i="23183"/>
  <c r="AT72" i="23183"/>
  <c r="AU72" i="23183"/>
  <c r="AW72" i="23183"/>
  <c r="AX72" i="23183"/>
  <c r="AY72" i="23183"/>
  <c r="AS72" i="23183"/>
  <c r="U72" i="23183"/>
  <c r="AG72" i="23183"/>
  <c r="V72" i="23183"/>
  <c r="AH72" i="23183"/>
  <c r="AV72" i="23183"/>
  <c r="C48" i="23183"/>
  <c r="AZ48" i="23183"/>
  <c r="BA48" i="23183"/>
  <c r="AT48" i="23183"/>
  <c r="AU48" i="23183"/>
  <c r="AW48" i="23183"/>
  <c r="AX48" i="23183"/>
  <c r="Z48" i="23183"/>
  <c r="AL48" i="23183"/>
  <c r="AA48" i="23183"/>
  <c r="AM48" i="23183"/>
  <c r="AC48" i="23183"/>
  <c r="AS48" i="23183"/>
  <c r="R48" i="23183"/>
  <c r="AD48" i="23183"/>
  <c r="AP48" i="23183"/>
  <c r="S48" i="23183"/>
  <c r="AE48" i="23183"/>
  <c r="AQ48" i="23183"/>
  <c r="AY48" i="23183"/>
  <c r="AV48" i="23183"/>
  <c r="T48" i="23183"/>
  <c r="AK48" i="23183"/>
  <c r="U48" i="23183"/>
  <c r="AN48" i="23183"/>
  <c r="W48" i="23183"/>
  <c r="AR48" i="23183"/>
  <c r="X48" i="23183"/>
  <c r="Y48" i="23183"/>
  <c r="AB48" i="23183"/>
  <c r="AF48" i="23183"/>
  <c r="G24" i="23183"/>
  <c r="S24" i="23183"/>
  <c r="AE24" i="23183"/>
  <c r="AQ24" i="23183"/>
  <c r="T24" i="23183"/>
  <c r="AF24" i="23183"/>
  <c r="AR24" i="23183"/>
  <c r="V24" i="23183"/>
  <c r="AH24" i="23183"/>
  <c r="W24" i="23183"/>
  <c r="AI24" i="23183"/>
  <c r="X24" i="23183"/>
  <c r="AJ24" i="23183"/>
  <c r="Y24" i="23183"/>
  <c r="AK24" i="23183"/>
  <c r="AW24" i="23183"/>
  <c r="AX24" i="23183"/>
  <c r="AC24" i="23183"/>
  <c r="AO24" i="23183"/>
  <c r="R24" i="23183"/>
  <c r="Z24" i="23183"/>
  <c r="AA24" i="23183"/>
  <c r="AB24" i="23183"/>
  <c r="AD24" i="23183"/>
  <c r="AG24" i="23183"/>
  <c r="AM24" i="23183"/>
  <c r="AN24" i="23183"/>
  <c r="U24" i="23183"/>
  <c r="AL24" i="23183"/>
  <c r="AP24" i="23183"/>
  <c r="AV24" i="23183"/>
  <c r="Z19" i="23183"/>
  <c r="M57" i="23183"/>
  <c r="AW57" i="23183"/>
  <c r="AX57" i="23183"/>
  <c r="AY57" i="23183"/>
  <c r="AZ57" i="23183"/>
  <c r="BA57" i="23183"/>
  <c r="AS57" i="23183"/>
  <c r="AT57" i="23183"/>
  <c r="AU57" i="23183"/>
  <c r="W57" i="23183"/>
  <c r="AI57" i="23183"/>
  <c r="AB57" i="23183"/>
  <c r="AN57" i="23183"/>
  <c r="AV57" i="23183"/>
  <c r="AE57" i="23183"/>
  <c r="R57" i="23183"/>
  <c r="AF57" i="23183"/>
  <c r="T57" i="23183"/>
  <c r="AH57" i="23183"/>
  <c r="U57" i="23183"/>
  <c r="AJ57" i="23183"/>
  <c r="V57" i="23183"/>
  <c r="Y57" i="23183"/>
  <c r="AM57" i="23183"/>
  <c r="AW21" i="23183"/>
  <c r="AX21" i="23183"/>
  <c r="AV21" i="23183"/>
  <c r="AN22" i="23183"/>
  <c r="AK19" i="23183"/>
  <c r="AQ87" i="23183"/>
  <c r="AE87" i="23183"/>
  <c r="S87" i="23183"/>
  <c r="AH86" i="23183"/>
  <c r="V86" i="23183"/>
  <c r="AK85" i="23183"/>
  <c r="Y85" i="23183"/>
  <c r="AN84" i="23183"/>
  <c r="AB84" i="23183"/>
  <c r="AQ83" i="23183"/>
  <c r="AE83" i="23183"/>
  <c r="S83" i="23183"/>
  <c r="AH82" i="23183"/>
  <c r="V82" i="23183"/>
  <c r="AK81" i="23183"/>
  <c r="AN80" i="23183"/>
  <c r="AQ79" i="23183"/>
  <c r="AE79" i="23183"/>
  <c r="S79" i="23183"/>
  <c r="AH78" i="23183"/>
  <c r="U78" i="23183"/>
  <c r="AH77" i="23183"/>
  <c r="T77" i="23183"/>
  <c r="AE76" i="23183"/>
  <c r="AR75" i="23183"/>
  <c r="AQ74" i="23183"/>
  <c r="AC74" i="23183"/>
  <c r="AN73" i="23183"/>
  <c r="Z73" i="23183"/>
  <c r="AM72" i="23183"/>
  <c r="Y72" i="23183"/>
  <c r="AL71" i="23183"/>
  <c r="V71" i="23183"/>
  <c r="AH70" i="23183"/>
  <c r="R70" i="23183"/>
  <c r="AN68" i="23183"/>
  <c r="AH67" i="23183"/>
  <c r="S67" i="23183"/>
  <c r="AD66" i="23183"/>
  <c r="AN65" i="23183"/>
  <c r="Y65" i="23183"/>
  <c r="AJ64" i="23183"/>
  <c r="S64" i="23183"/>
  <c r="AE63" i="23183"/>
  <c r="AP62" i="23183"/>
  <c r="Y62" i="23183"/>
  <c r="AK61" i="23183"/>
  <c r="R61" i="23183"/>
  <c r="Y60" i="23183"/>
  <c r="AG59" i="23183"/>
  <c r="AN58" i="23183"/>
  <c r="AQ57" i="23183"/>
  <c r="AN55" i="23183"/>
  <c r="AM54" i="23183"/>
  <c r="AK53" i="23183"/>
  <c r="AI52" i="23183"/>
  <c r="AG51" i="23183"/>
  <c r="AE50" i="23183"/>
  <c r="AC49" i="23183"/>
  <c r="AN47" i="23183"/>
  <c r="AA43" i="23183"/>
  <c r="AR40" i="23183"/>
  <c r="AB34" i="23183"/>
  <c r="D75" i="23183"/>
  <c r="AT75" i="23183"/>
  <c r="AU75" i="23183"/>
  <c r="AV75" i="23183"/>
  <c r="AW75" i="23183"/>
  <c r="AX75" i="23183"/>
  <c r="AZ75" i="23183"/>
  <c r="BA75" i="23183"/>
  <c r="AS75" i="23183"/>
  <c r="AY75" i="23183"/>
  <c r="X75" i="23183"/>
  <c r="AJ75" i="23183"/>
  <c r="Y75" i="23183"/>
  <c r="AK75" i="23183"/>
  <c r="M37" i="23183"/>
  <c r="AW37" i="23183"/>
  <c r="AX37" i="23183"/>
  <c r="AY37" i="23183"/>
  <c r="AZ37" i="23183"/>
  <c r="BA37" i="23183"/>
  <c r="AS37" i="23183"/>
  <c r="AT37" i="23183"/>
  <c r="AU37" i="23183"/>
  <c r="W37" i="23183"/>
  <c r="AI37" i="23183"/>
  <c r="X37" i="23183"/>
  <c r="AJ37" i="23183"/>
  <c r="Z37" i="23183"/>
  <c r="AL37" i="23183"/>
  <c r="AA37" i="23183"/>
  <c r="AM37" i="23183"/>
  <c r="AB37" i="23183"/>
  <c r="AN37" i="23183"/>
  <c r="AV37" i="23183"/>
  <c r="AC37" i="23183"/>
  <c r="AO37" i="23183"/>
  <c r="S37" i="23183"/>
  <c r="AQ37" i="23183"/>
  <c r="T37" i="23183"/>
  <c r="AR37" i="23183"/>
  <c r="U37" i="23183"/>
  <c r="V37" i="23183"/>
  <c r="Y37" i="23183"/>
  <c r="AD37" i="23183"/>
  <c r="AE37" i="23183"/>
  <c r="AF37" i="23183"/>
  <c r="AG37" i="23183"/>
  <c r="AH37" i="23183"/>
  <c r="AK37" i="23183"/>
  <c r="AL19" i="23183"/>
  <c r="O81" i="23183"/>
  <c r="AW81" i="23183"/>
  <c r="AX81" i="23183"/>
  <c r="AZ81" i="23183"/>
  <c r="BA81" i="23183"/>
  <c r="AS81" i="23183"/>
  <c r="AT81" i="23183"/>
  <c r="AU81" i="23183"/>
  <c r="AV81" i="23183"/>
  <c r="AY81" i="23183"/>
  <c r="L69" i="23183"/>
  <c r="AW69" i="23183"/>
  <c r="AX69" i="23183"/>
  <c r="AZ69" i="23183"/>
  <c r="BA69" i="23183"/>
  <c r="AS69" i="23183"/>
  <c r="AT69" i="23183"/>
  <c r="AU69" i="23183"/>
  <c r="AY69" i="23183"/>
  <c r="AV69" i="23183"/>
  <c r="R69" i="23183"/>
  <c r="AD69" i="23183"/>
  <c r="AP69" i="23183"/>
  <c r="S69" i="23183"/>
  <c r="AE69" i="23183"/>
  <c r="AQ69" i="23183"/>
  <c r="V69" i="23183"/>
  <c r="AH69" i="23183"/>
  <c r="G45" i="23183"/>
  <c r="AW45" i="23183"/>
  <c r="AX45" i="23183"/>
  <c r="AY45" i="23183"/>
  <c r="AZ45" i="23183"/>
  <c r="BA45" i="23183"/>
  <c r="AS45" i="23183"/>
  <c r="AT45" i="23183"/>
  <c r="AU45" i="23183"/>
  <c r="AV45" i="23183"/>
  <c r="W45" i="23183"/>
  <c r="AI45" i="23183"/>
  <c r="X45" i="23183"/>
  <c r="AJ45" i="23183"/>
  <c r="Z45" i="23183"/>
  <c r="AL45" i="23183"/>
  <c r="AA45" i="23183"/>
  <c r="AM45" i="23183"/>
  <c r="AB45" i="23183"/>
  <c r="AN45" i="23183"/>
  <c r="R45" i="23183"/>
  <c r="AK45" i="23183"/>
  <c r="S45" i="23183"/>
  <c r="AO45" i="23183"/>
  <c r="T45" i="23183"/>
  <c r="AP45" i="23183"/>
  <c r="U45" i="23183"/>
  <c r="AQ45" i="23183"/>
  <c r="V45" i="23183"/>
  <c r="AR45" i="23183"/>
  <c r="Y45" i="23183"/>
  <c r="AC45" i="23183"/>
  <c r="AD45" i="23183"/>
  <c r="P33" i="23183"/>
  <c r="AW33" i="23183"/>
  <c r="AX33" i="23183"/>
  <c r="AC33" i="23183"/>
  <c r="AO33" i="23183"/>
  <c r="AY33" i="23183"/>
  <c r="AZ33" i="23183"/>
  <c r="BA33" i="23183"/>
  <c r="T33" i="23183"/>
  <c r="AF33" i="23183"/>
  <c r="AR33" i="23183"/>
  <c r="AS33" i="23183"/>
  <c r="U33" i="23183"/>
  <c r="AG33" i="23183"/>
  <c r="AT33" i="23183"/>
  <c r="AU33" i="23183"/>
  <c r="AB33" i="23183"/>
  <c r="AD33" i="23183"/>
  <c r="AV33" i="23183"/>
  <c r="AH33" i="23183"/>
  <c r="R33" i="23183"/>
  <c r="AI33" i="23183"/>
  <c r="S33" i="23183"/>
  <c r="AJ33" i="23183"/>
  <c r="V33" i="23183"/>
  <c r="AK33" i="23183"/>
  <c r="W33" i="23183"/>
  <c r="AL33" i="23183"/>
  <c r="Y33" i="23183"/>
  <c r="Z33" i="23183"/>
  <c r="AP33" i="23183"/>
  <c r="X33" i="23183"/>
  <c r="AA33" i="23183"/>
  <c r="AE33" i="23183"/>
  <c r="AM33" i="23183"/>
  <c r="AN33" i="23183"/>
  <c r="AQ33" i="23183"/>
  <c r="AB22" i="23183"/>
  <c r="AQ21" i="23183"/>
  <c r="AE21" i="23183"/>
  <c r="S21" i="23183"/>
  <c r="Y19" i="23183"/>
  <c r="I80" i="23183"/>
  <c r="AZ80" i="23183"/>
  <c r="BA80" i="23183"/>
  <c r="AT80" i="23183"/>
  <c r="AU80" i="23183"/>
  <c r="AW80" i="23183"/>
  <c r="AX80" i="23183"/>
  <c r="AS80" i="23183"/>
  <c r="AY80" i="23183"/>
  <c r="AV80" i="23183"/>
  <c r="K68" i="23183"/>
  <c r="AZ68" i="23183"/>
  <c r="BA68" i="23183"/>
  <c r="AT68" i="23183"/>
  <c r="AU68" i="23183"/>
  <c r="AW68" i="23183"/>
  <c r="AX68" i="23183"/>
  <c r="AY68" i="23183"/>
  <c r="AV68" i="23183"/>
  <c r="AS68" i="23183"/>
  <c r="U68" i="23183"/>
  <c r="AG68" i="23183"/>
  <c r="V68" i="23183"/>
  <c r="AH68" i="23183"/>
  <c r="Y68" i="23183"/>
  <c r="AK68" i="23183"/>
  <c r="G56" i="23183"/>
  <c r="AZ56" i="23183"/>
  <c r="BA56" i="23183"/>
  <c r="AT56" i="23183"/>
  <c r="AU56" i="23183"/>
  <c r="AW56" i="23183"/>
  <c r="AX56" i="23183"/>
  <c r="Z56" i="23183"/>
  <c r="AL56" i="23183"/>
  <c r="S56" i="23183"/>
  <c r="AE56" i="23183"/>
  <c r="AQ56" i="23183"/>
  <c r="AY56" i="23183"/>
  <c r="AS56" i="23183"/>
  <c r="AC56" i="23183"/>
  <c r="AR56" i="23183"/>
  <c r="AV56" i="23183"/>
  <c r="AD56" i="23183"/>
  <c r="R56" i="23183"/>
  <c r="AG56" i="23183"/>
  <c r="T56" i="23183"/>
  <c r="AH56" i="23183"/>
  <c r="U56" i="23183"/>
  <c r="AI56" i="23183"/>
  <c r="W56" i="23183"/>
  <c r="AK56" i="23183"/>
  <c r="I44" i="23183"/>
  <c r="AZ44" i="23183"/>
  <c r="BA44" i="23183"/>
  <c r="AT44" i="23183"/>
  <c r="AU44" i="23183"/>
  <c r="AW44" i="23183"/>
  <c r="AX44" i="23183"/>
  <c r="Z44" i="23183"/>
  <c r="AL44" i="23183"/>
  <c r="AS44" i="23183"/>
  <c r="AA44" i="23183"/>
  <c r="AM44" i="23183"/>
  <c r="AC44" i="23183"/>
  <c r="AO44" i="23183"/>
  <c r="R44" i="23183"/>
  <c r="AD44" i="23183"/>
  <c r="AP44" i="23183"/>
  <c r="S44" i="23183"/>
  <c r="AE44" i="23183"/>
  <c r="AQ44" i="23183"/>
  <c r="AY44" i="23183"/>
  <c r="W44" i="23183"/>
  <c r="X44" i="23183"/>
  <c r="Y44" i="23183"/>
  <c r="AB44" i="23183"/>
  <c r="AF44" i="23183"/>
  <c r="AG44" i="23183"/>
  <c r="AH44" i="23183"/>
  <c r="AI44" i="23183"/>
  <c r="AZ32" i="23183"/>
  <c r="BA32" i="23183"/>
  <c r="T32" i="23183"/>
  <c r="AF32" i="23183"/>
  <c r="AR32" i="23183"/>
  <c r="AT32" i="23183"/>
  <c r="V32" i="23183"/>
  <c r="AH32" i="23183"/>
  <c r="AU32" i="23183"/>
  <c r="W32" i="23183"/>
  <c r="AI32" i="23183"/>
  <c r="X32" i="23183"/>
  <c r="AJ32" i="23183"/>
  <c r="AW32" i="23183"/>
  <c r="AX32" i="23183"/>
  <c r="AC32" i="23183"/>
  <c r="S32" i="23183"/>
  <c r="AN32" i="23183"/>
  <c r="U32" i="23183"/>
  <c r="AO32" i="23183"/>
  <c r="AY32" i="23183"/>
  <c r="Z32" i="23183"/>
  <c r="AQ32" i="23183"/>
  <c r="AS32" i="23183"/>
  <c r="AA32" i="23183"/>
  <c r="AB32" i="23183"/>
  <c r="AD32" i="23183"/>
  <c r="AE32" i="23183"/>
  <c r="AK32" i="23183"/>
  <c r="AL32" i="23183"/>
  <c r="Y32" i="23183"/>
  <c r="AG32" i="23183"/>
  <c r="AM32" i="23183"/>
  <c r="AP32" i="23183"/>
  <c r="AV32" i="23183"/>
  <c r="AW20" i="23183"/>
  <c r="AX20" i="23183"/>
  <c r="AV20" i="23183"/>
  <c r="AM22" i="23183"/>
  <c r="AA22" i="23183"/>
  <c r="AP21" i="23183"/>
  <c r="AD21" i="23183"/>
  <c r="R21" i="23183"/>
  <c r="AG20" i="23183"/>
  <c r="U20" i="23183"/>
  <c r="AJ19" i="23183"/>
  <c r="X19" i="23183"/>
  <c r="AM18" i="23183"/>
  <c r="AA18" i="23183"/>
  <c r="AP87" i="23183"/>
  <c r="AD87" i="23183"/>
  <c r="R87" i="23183"/>
  <c r="AG86" i="23183"/>
  <c r="U86" i="23183"/>
  <c r="AJ85" i="23183"/>
  <c r="X85" i="23183"/>
  <c r="AM84" i="23183"/>
  <c r="AA84" i="23183"/>
  <c r="AP83" i="23183"/>
  <c r="AD83" i="23183"/>
  <c r="R83" i="23183"/>
  <c r="AG82" i="23183"/>
  <c r="U82" i="23183"/>
  <c r="AJ81" i="23183"/>
  <c r="X81" i="23183"/>
  <c r="AM80" i="23183"/>
  <c r="AA80" i="23183"/>
  <c r="AP79" i="23183"/>
  <c r="AD79" i="23183"/>
  <c r="R79" i="23183"/>
  <c r="AG78" i="23183"/>
  <c r="T78" i="23183"/>
  <c r="AG77" i="23183"/>
  <c r="AR76" i="23183"/>
  <c r="AD76" i="23183"/>
  <c r="AQ75" i="23183"/>
  <c r="AC75" i="23183"/>
  <c r="AP74" i="23183"/>
  <c r="Z74" i="23183"/>
  <c r="AM73" i="23183"/>
  <c r="Y73" i="23183"/>
  <c r="AL72" i="23183"/>
  <c r="X72" i="23183"/>
  <c r="AI71" i="23183"/>
  <c r="AG70" i="23183"/>
  <c r="AR69" i="23183"/>
  <c r="AA69" i="23183"/>
  <c r="AM68" i="23183"/>
  <c r="W68" i="23183"/>
  <c r="AG67" i="23183"/>
  <c r="R67" i="23183"/>
  <c r="AC66" i="23183"/>
  <c r="AM65" i="23183"/>
  <c r="X65" i="23183"/>
  <c r="AI64" i="23183"/>
  <c r="R64" i="23183"/>
  <c r="AD63" i="23183"/>
  <c r="AO62" i="23183"/>
  <c r="X62" i="23183"/>
  <c r="AJ61" i="23183"/>
  <c r="AP60" i="23183"/>
  <c r="X60" i="23183"/>
  <c r="AD59" i="23183"/>
  <c r="AL58" i="23183"/>
  <c r="AP57" i="23183"/>
  <c r="AO56" i="23183"/>
  <c r="AM55" i="23183"/>
  <c r="AL54" i="23183"/>
  <c r="AJ53" i="23183"/>
  <c r="AH52" i="23183"/>
  <c r="AF51" i="23183"/>
  <c r="AD50" i="23183"/>
  <c r="Z49" i="23183"/>
  <c r="AM47" i="23183"/>
  <c r="AG45" i="23183"/>
  <c r="Z43" i="23183"/>
  <c r="Y40" i="23183"/>
  <c r="R32" i="23183"/>
  <c r="M71" i="23183"/>
  <c r="AT71" i="23183"/>
  <c r="AU71" i="23183"/>
  <c r="AV71" i="23183"/>
  <c r="AW71" i="23183"/>
  <c r="AX71" i="23183"/>
  <c r="AZ71" i="23183"/>
  <c r="BA71" i="23183"/>
  <c r="AS71" i="23183"/>
  <c r="X71" i="23183"/>
  <c r="AJ71" i="23183"/>
  <c r="Y71" i="23183"/>
  <c r="AK71" i="23183"/>
  <c r="AY71" i="23183"/>
  <c r="M35" i="23183"/>
  <c r="AT35" i="23183"/>
  <c r="AU35" i="23183"/>
  <c r="Z35" i="23183"/>
  <c r="AL35" i="23183"/>
  <c r="AV35" i="23183"/>
  <c r="AA35" i="23183"/>
  <c r="AM35" i="23183"/>
  <c r="AW35" i="23183"/>
  <c r="AX35" i="23183"/>
  <c r="AY35" i="23183"/>
  <c r="AZ35" i="23183"/>
  <c r="BA35" i="23183"/>
  <c r="U35" i="23183"/>
  <c r="AI35" i="23183"/>
  <c r="V35" i="23183"/>
  <c r="AJ35" i="23183"/>
  <c r="X35" i="23183"/>
  <c r="AN35" i="23183"/>
  <c r="Y35" i="23183"/>
  <c r="AO35" i="23183"/>
  <c r="AB35" i="23183"/>
  <c r="AP35" i="23183"/>
  <c r="AS35" i="23183"/>
  <c r="AC35" i="23183"/>
  <c r="AQ35" i="23183"/>
  <c r="AD35" i="23183"/>
  <c r="AR35" i="23183"/>
  <c r="AK35" i="23183"/>
  <c r="R35" i="23183"/>
  <c r="S35" i="23183"/>
  <c r="T35" i="23183"/>
  <c r="W35" i="23183"/>
  <c r="AE35" i="23183"/>
  <c r="AF35" i="23183"/>
  <c r="AG35" i="23183"/>
  <c r="AO87" i="23183"/>
  <c r="AC87" i="23183"/>
  <c r="AR86" i="23183"/>
  <c r="AF86" i="23183"/>
  <c r="T86" i="23183"/>
  <c r="AI85" i="23183"/>
  <c r="AL84" i="23183"/>
  <c r="AO83" i="23183"/>
  <c r="AR82" i="23183"/>
  <c r="AF82" i="23183"/>
  <c r="T82" i="23183"/>
  <c r="AI81" i="23183"/>
  <c r="W81" i="23183"/>
  <c r="AL80" i="23183"/>
  <c r="Z80" i="23183"/>
  <c r="AO79" i="23183"/>
  <c r="AC79" i="23183"/>
  <c r="AR78" i="23183"/>
  <c r="AF78" i="23183"/>
  <c r="AQ76" i="23183"/>
  <c r="AC76" i="23183"/>
  <c r="AP75" i="23183"/>
  <c r="AB75" i="23183"/>
  <c r="AO74" i="23183"/>
  <c r="Y74" i="23183"/>
  <c r="AL73" i="23183"/>
  <c r="X73" i="23183"/>
  <c r="AK72" i="23183"/>
  <c r="W72" i="23183"/>
  <c r="AH71" i="23183"/>
  <c r="T71" i="23183"/>
  <c r="AF70" i="23183"/>
  <c r="AO69" i="23183"/>
  <c r="Z69" i="23183"/>
  <c r="AL68" i="23183"/>
  <c r="T68" i="23183"/>
  <c r="AF67" i="23183"/>
  <c r="AR66" i="23183"/>
  <c r="Z66" i="23183"/>
  <c r="AL65" i="23183"/>
  <c r="W65" i="23183"/>
  <c r="AF64" i="23183"/>
  <c r="AR63" i="23183"/>
  <c r="AC63" i="23183"/>
  <c r="AL62" i="23183"/>
  <c r="W62" i="23183"/>
  <c r="AH61" i="23183"/>
  <c r="AO60" i="23183"/>
  <c r="W60" i="23183"/>
  <c r="AK58" i="23183"/>
  <c r="AO57" i="23183"/>
  <c r="AN56" i="23183"/>
  <c r="AL55" i="23183"/>
  <c r="AH53" i="23183"/>
  <c r="AG52" i="23183"/>
  <c r="AE51" i="23183"/>
  <c r="AC50" i="23183"/>
  <c r="AF45" i="23183"/>
  <c r="Y43" i="23183"/>
  <c r="W40" i="23183"/>
  <c r="L49" i="23183"/>
  <c r="AW49" i="23183"/>
  <c r="AX49" i="23183"/>
  <c r="AY49" i="23183"/>
  <c r="AZ49" i="23183"/>
  <c r="BA49" i="23183"/>
  <c r="AS49" i="23183"/>
  <c r="AT49" i="23183"/>
  <c r="AU49" i="23183"/>
  <c r="W49" i="23183"/>
  <c r="AI49" i="23183"/>
  <c r="X49" i="23183"/>
  <c r="AJ49" i="23183"/>
  <c r="AV49" i="23183"/>
  <c r="AA49" i="23183"/>
  <c r="AB49" i="23183"/>
  <c r="AN49" i="23183"/>
  <c r="AD49" i="23183"/>
  <c r="AE49" i="23183"/>
  <c r="AG49" i="23183"/>
  <c r="R49" i="23183"/>
  <c r="AH49" i="23183"/>
  <c r="S49" i="23183"/>
  <c r="AK49" i="23183"/>
  <c r="U49" i="23183"/>
  <c r="AM49" i="23183"/>
  <c r="H83" i="23183"/>
  <c r="AT83" i="23183"/>
  <c r="AU83" i="23183"/>
  <c r="AV83" i="23183"/>
  <c r="AW83" i="23183"/>
  <c r="AX83" i="23183"/>
  <c r="AZ83" i="23183"/>
  <c r="BA83" i="23183"/>
  <c r="AS83" i="23183"/>
  <c r="AY83" i="23183"/>
  <c r="D59" i="23183"/>
  <c r="AT59" i="23183"/>
  <c r="AU59" i="23183"/>
  <c r="AV59" i="23183"/>
  <c r="AW59" i="23183"/>
  <c r="AX59" i="23183"/>
  <c r="AY59" i="23183"/>
  <c r="AZ59" i="23183"/>
  <c r="BA59" i="23183"/>
  <c r="AS59" i="23183"/>
  <c r="AC59" i="23183"/>
  <c r="AO59" i="23183"/>
  <c r="R59" i="23183"/>
  <c r="AE59" i="23183"/>
  <c r="AR59" i="23183"/>
  <c r="S59" i="23183"/>
  <c r="AF59" i="23183"/>
  <c r="U59" i="23183"/>
  <c r="AH59" i="23183"/>
  <c r="V59" i="23183"/>
  <c r="AI59" i="23183"/>
  <c r="G47" i="23183"/>
  <c r="AT47" i="23183"/>
  <c r="AU47" i="23183"/>
  <c r="AV47" i="23183"/>
  <c r="AW47" i="23183"/>
  <c r="AX47" i="23183"/>
  <c r="AY47" i="23183"/>
  <c r="AZ47" i="23183"/>
  <c r="BA47" i="23183"/>
  <c r="AC47" i="23183"/>
  <c r="AO47" i="23183"/>
  <c r="R47" i="23183"/>
  <c r="AD47" i="23183"/>
  <c r="AP47" i="23183"/>
  <c r="AS47" i="23183"/>
  <c r="T47" i="23183"/>
  <c r="AF47" i="23183"/>
  <c r="AR47" i="23183"/>
  <c r="U47" i="23183"/>
  <c r="AG47" i="23183"/>
  <c r="V47" i="23183"/>
  <c r="AH47" i="23183"/>
  <c r="Y47" i="23183"/>
  <c r="Z47" i="23183"/>
  <c r="AB47" i="23183"/>
  <c r="AE47" i="23183"/>
  <c r="AI47" i="23183"/>
  <c r="AJ47" i="23183"/>
  <c r="AK47" i="23183"/>
  <c r="M23" i="23183"/>
  <c r="V23" i="23183"/>
  <c r="AH23" i="23183"/>
  <c r="W23" i="23183"/>
  <c r="AI23" i="23183"/>
  <c r="Y23" i="23183"/>
  <c r="AK23" i="23183"/>
  <c r="Z23" i="23183"/>
  <c r="AL23" i="23183"/>
  <c r="AV23" i="23183"/>
  <c r="AA23" i="23183"/>
  <c r="AM23" i="23183"/>
  <c r="AW23" i="23183"/>
  <c r="AB23" i="23183"/>
  <c r="AN23" i="23183"/>
  <c r="AX23" i="23183"/>
  <c r="S23" i="23183"/>
  <c r="T23" i="23183"/>
  <c r="AF23" i="23183"/>
  <c r="AR23" i="23183"/>
  <c r="AQ23" i="23183"/>
  <c r="U23" i="23183"/>
  <c r="X23" i="23183"/>
  <c r="AC23" i="23183"/>
  <c r="AD23" i="23183"/>
  <c r="AE23" i="23183"/>
  <c r="AJ23" i="23183"/>
  <c r="AO23" i="23183"/>
  <c r="R23" i="23183"/>
  <c r="AG23" i="23183"/>
  <c r="D78" i="23183"/>
  <c r="AW78" i="23183"/>
  <c r="AX78" i="23183"/>
  <c r="AY78" i="23183"/>
  <c r="AZ78" i="23183"/>
  <c r="BA78" i="23183"/>
  <c r="AT78" i="23183"/>
  <c r="AU78" i="23183"/>
  <c r="AV78" i="23183"/>
  <c r="AA78" i="23183"/>
  <c r="AS78" i="23183"/>
  <c r="P54" i="23183"/>
  <c r="AW54" i="23183"/>
  <c r="AX54" i="23183"/>
  <c r="AY54" i="23183"/>
  <c r="AZ54" i="23183"/>
  <c r="BA54" i="23183"/>
  <c r="AT54" i="23183"/>
  <c r="AU54" i="23183"/>
  <c r="T54" i="23183"/>
  <c r="AF54" i="23183"/>
  <c r="AR54" i="23183"/>
  <c r="Y54" i="23183"/>
  <c r="AK54" i="23183"/>
  <c r="AV54" i="23183"/>
  <c r="Z54" i="23183"/>
  <c r="AN54" i="23183"/>
  <c r="AS54" i="23183"/>
  <c r="AA54" i="23183"/>
  <c r="AO54" i="23183"/>
  <c r="AC54" i="23183"/>
  <c r="AQ54" i="23183"/>
  <c r="AD54" i="23183"/>
  <c r="AE54" i="23183"/>
  <c r="S54" i="23183"/>
  <c r="AH54" i="23183"/>
  <c r="Y30" i="23183"/>
  <c r="AK30" i="23183"/>
  <c r="Z30" i="23183"/>
  <c r="AL30" i="23183"/>
  <c r="AW30" i="23183"/>
  <c r="AB30" i="23183"/>
  <c r="AN30" i="23183"/>
  <c r="AX30" i="23183"/>
  <c r="AC30" i="23183"/>
  <c r="AO30" i="23183"/>
  <c r="AY30" i="23183"/>
  <c r="R30" i="23183"/>
  <c r="AD30" i="23183"/>
  <c r="AP30" i="23183"/>
  <c r="AZ30" i="23183"/>
  <c r="S30" i="23183"/>
  <c r="AE30" i="23183"/>
  <c r="BA30" i="23183"/>
  <c r="AT30" i="23183"/>
  <c r="AU30" i="23183"/>
  <c r="W30" i="23183"/>
  <c r="AI30" i="23183"/>
  <c r="AA30" i="23183"/>
  <c r="AV30" i="23183"/>
  <c r="AF30" i="23183"/>
  <c r="AH30" i="23183"/>
  <c r="AJ30" i="23183"/>
  <c r="AM30" i="23183"/>
  <c r="AQ30" i="23183"/>
  <c r="AR30" i="23183"/>
  <c r="U30" i="23183"/>
  <c r="V30" i="23183"/>
  <c r="T30" i="23183"/>
  <c r="X30" i="23183"/>
  <c r="AG30" i="23183"/>
  <c r="AS30" i="23183"/>
  <c r="AK22" i="23183"/>
  <c r="Y22" i="23183"/>
  <c r="AN21" i="23183"/>
  <c r="AB21" i="23183"/>
  <c r="AH19" i="23183"/>
  <c r="V19" i="23183"/>
  <c r="AE86" i="23183"/>
  <c r="AQ82" i="23183"/>
  <c r="AA75" i="23183"/>
  <c r="X74" i="23183"/>
  <c r="AK73" i="23183"/>
  <c r="W73" i="23183"/>
  <c r="T72" i="23183"/>
  <c r="S71" i="23183"/>
  <c r="AD70" i="23183"/>
  <c r="AN69" i="23183"/>
  <c r="Y69" i="23183"/>
  <c r="AJ68" i="23183"/>
  <c r="S68" i="23183"/>
  <c r="AE67" i="23183"/>
  <c r="AP66" i="23183"/>
  <c r="Y66" i="23183"/>
  <c r="AK65" i="23183"/>
  <c r="AE64" i="23183"/>
  <c r="AQ63" i="23183"/>
  <c r="AA63" i="23183"/>
  <c r="AK62" i="23183"/>
  <c r="V62" i="23183"/>
  <c r="AF61" i="23183"/>
  <c r="AN60" i="23183"/>
  <c r="AA59" i="23183"/>
  <c r="AH58" i="23183"/>
  <c r="AL57" i="23183"/>
  <c r="AM56" i="23183"/>
  <c r="AK55" i="23183"/>
  <c r="AI54" i="23183"/>
  <c r="AF52" i="23183"/>
  <c r="AD51" i="23183"/>
  <c r="AB50" i="23183"/>
  <c r="V49" i="23183"/>
  <c r="AA47" i="23183"/>
  <c r="AE45" i="23183"/>
  <c r="AP23" i="23183"/>
  <c r="G39" i="23183"/>
  <c r="AT39" i="23183"/>
  <c r="AU39" i="23183"/>
  <c r="AV39" i="23183"/>
  <c r="AW39" i="23183"/>
  <c r="AX39" i="23183"/>
  <c r="AY39" i="23183"/>
  <c r="AZ39" i="23183"/>
  <c r="BA39" i="23183"/>
  <c r="AC39" i="23183"/>
  <c r="AO39" i="23183"/>
  <c r="R39" i="23183"/>
  <c r="AD39" i="23183"/>
  <c r="AP39" i="23183"/>
  <c r="T39" i="23183"/>
  <c r="AF39" i="23183"/>
  <c r="AR39" i="23183"/>
  <c r="U39" i="23183"/>
  <c r="AG39" i="23183"/>
  <c r="V39" i="23183"/>
  <c r="AH39" i="23183"/>
  <c r="W39" i="23183"/>
  <c r="AS39" i="23183"/>
  <c r="AJ39" i="23183"/>
  <c r="AK39" i="23183"/>
  <c r="AL39" i="23183"/>
  <c r="AM39" i="23183"/>
  <c r="S39" i="23183"/>
  <c r="AN39" i="23183"/>
  <c r="X39" i="23183"/>
  <c r="AQ39" i="23183"/>
  <c r="Y39" i="23183"/>
  <c r="Z39" i="23183"/>
  <c r="AE39" i="23183"/>
  <c r="N85" i="23183"/>
  <c r="AW85" i="23183"/>
  <c r="AX85" i="23183"/>
  <c r="AZ85" i="23183"/>
  <c r="BA85" i="23183"/>
  <c r="AS85" i="23183"/>
  <c r="AT85" i="23183"/>
  <c r="AU85" i="23183"/>
  <c r="AY85" i="23183"/>
  <c r="AV85" i="23183"/>
  <c r="AW25" i="23183"/>
  <c r="AB25" i="23183"/>
  <c r="AN25" i="23183"/>
  <c r="AX25" i="23183"/>
  <c r="AC25" i="23183"/>
  <c r="AO25" i="23183"/>
  <c r="S25" i="23183"/>
  <c r="AE25" i="23183"/>
  <c r="AQ25" i="23183"/>
  <c r="T25" i="23183"/>
  <c r="AF25" i="23183"/>
  <c r="AR25" i="23183"/>
  <c r="U25" i="23183"/>
  <c r="AG25" i="23183"/>
  <c r="V25" i="23183"/>
  <c r="AH25" i="23183"/>
  <c r="Z25" i="23183"/>
  <c r="AL25" i="23183"/>
  <c r="R25" i="23183"/>
  <c r="W25" i="23183"/>
  <c r="Y25" i="23183"/>
  <c r="AA25" i="23183"/>
  <c r="AD25" i="23183"/>
  <c r="AI25" i="23183"/>
  <c r="AJ25" i="23183"/>
  <c r="AV25" i="23183"/>
  <c r="AM25" i="23183"/>
  <c r="AP25" i="23183"/>
  <c r="X25" i="23183"/>
  <c r="AK25" i="23183"/>
  <c r="L84" i="23183"/>
  <c r="AZ84" i="23183"/>
  <c r="BA84" i="23183"/>
  <c r="AT84" i="23183"/>
  <c r="AU84" i="23183"/>
  <c r="AW84" i="23183"/>
  <c r="AX84" i="23183"/>
  <c r="AY84" i="23183"/>
  <c r="AV84" i="23183"/>
  <c r="AS84" i="23183"/>
  <c r="I60" i="23183"/>
  <c r="AZ60" i="23183"/>
  <c r="BA60" i="23183"/>
  <c r="AT60" i="23183"/>
  <c r="AU60" i="23183"/>
  <c r="AW60" i="23183"/>
  <c r="AX60" i="23183"/>
  <c r="Z60" i="23183"/>
  <c r="AL60" i="23183"/>
  <c r="AS60" i="23183"/>
  <c r="AY60" i="23183"/>
  <c r="AD60" i="23183"/>
  <c r="AQ60" i="23183"/>
  <c r="R60" i="23183"/>
  <c r="AE60" i="23183"/>
  <c r="AR60" i="23183"/>
  <c r="AV60" i="23183"/>
  <c r="T60" i="23183"/>
  <c r="AG60" i="23183"/>
  <c r="U60" i="23183"/>
  <c r="AH60" i="23183"/>
  <c r="I36" i="23183"/>
  <c r="AZ36" i="23183"/>
  <c r="BA36" i="23183"/>
  <c r="AT36" i="23183"/>
  <c r="AU36" i="23183"/>
  <c r="W36" i="23183"/>
  <c r="AI36" i="23183"/>
  <c r="X36" i="23183"/>
  <c r="AJ36" i="23183"/>
  <c r="AW36" i="23183"/>
  <c r="AX36" i="23183"/>
  <c r="V36" i="23183"/>
  <c r="AL36" i="23183"/>
  <c r="Y36" i="23183"/>
  <c r="AM36" i="23183"/>
  <c r="AA36" i="23183"/>
  <c r="AO36" i="23183"/>
  <c r="AY36" i="23183"/>
  <c r="AB36" i="23183"/>
  <c r="AP36" i="23183"/>
  <c r="AV36" i="23183"/>
  <c r="AC36" i="23183"/>
  <c r="AQ36" i="23183"/>
  <c r="AD36" i="23183"/>
  <c r="AR36" i="23183"/>
  <c r="AS36" i="23183"/>
  <c r="AE36" i="23183"/>
  <c r="R36" i="23183"/>
  <c r="S36" i="23183"/>
  <c r="T36" i="23183"/>
  <c r="U36" i="23183"/>
  <c r="Z36" i="23183"/>
  <c r="AF36" i="23183"/>
  <c r="AG36" i="23183"/>
  <c r="AH36" i="23183"/>
  <c r="AK36" i="23183"/>
  <c r="AN36" i="23183"/>
  <c r="W19" i="23183"/>
  <c r="L42" i="23183"/>
  <c r="AW42" i="23183"/>
  <c r="AX42" i="23183"/>
  <c r="AY42" i="23183"/>
  <c r="AZ42" i="23183"/>
  <c r="BA42" i="23183"/>
  <c r="AT42" i="23183"/>
  <c r="AU42" i="23183"/>
  <c r="T42" i="23183"/>
  <c r="AF42" i="23183"/>
  <c r="AR42" i="23183"/>
  <c r="U42" i="23183"/>
  <c r="AG42" i="23183"/>
  <c r="W42" i="23183"/>
  <c r="AI42" i="23183"/>
  <c r="X42" i="23183"/>
  <c r="AJ42" i="23183"/>
  <c r="Y42" i="23183"/>
  <c r="AK42" i="23183"/>
  <c r="AV42" i="23183"/>
  <c r="AL42" i="23183"/>
  <c r="AM42" i="23183"/>
  <c r="R42" i="23183"/>
  <c r="AN42" i="23183"/>
  <c r="S42" i="23183"/>
  <c r="AO42" i="23183"/>
  <c r="V42" i="23183"/>
  <c r="AP42" i="23183"/>
  <c r="Z42" i="23183"/>
  <c r="AQ42" i="23183"/>
  <c r="AA42" i="23183"/>
  <c r="AB42" i="23183"/>
  <c r="AE42" i="23183"/>
  <c r="AB87" i="23183"/>
  <c r="S86" i="23183"/>
  <c r="V85" i="23183"/>
  <c r="Y84" i="23183"/>
  <c r="AB83" i="23183"/>
  <c r="S82" i="23183"/>
  <c r="V81" i="23183"/>
  <c r="AB79" i="23183"/>
  <c r="AQ78" i="23183"/>
  <c r="R78" i="23183"/>
  <c r="AL74" i="23183"/>
  <c r="AG71" i="23183"/>
  <c r="F77" i="23183"/>
  <c r="AW77" i="23183"/>
  <c r="AX77" i="23183"/>
  <c r="AZ77" i="23183"/>
  <c r="BA77" i="23183"/>
  <c r="AS77" i="23183"/>
  <c r="AT77" i="23183"/>
  <c r="AU77" i="23183"/>
  <c r="AV77" i="23183"/>
  <c r="AY77" i="23183"/>
  <c r="R77" i="23183"/>
  <c r="AD77" i="23183"/>
  <c r="AP77" i="23183"/>
  <c r="S77" i="23183"/>
  <c r="AE77" i="23183"/>
  <c r="AQ77" i="23183"/>
  <c r="P65" i="23183"/>
  <c r="AW65" i="23183"/>
  <c r="AX65" i="23183"/>
  <c r="AY65" i="23183"/>
  <c r="AZ65" i="23183"/>
  <c r="BA65" i="23183"/>
  <c r="AS65" i="23183"/>
  <c r="AT65" i="23183"/>
  <c r="AU65" i="23183"/>
  <c r="AV65" i="23183"/>
  <c r="R65" i="23183"/>
  <c r="AD65" i="23183"/>
  <c r="AP65" i="23183"/>
  <c r="S65" i="23183"/>
  <c r="AE65" i="23183"/>
  <c r="AQ65" i="23183"/>
  <c r="V65" i="23183"/>
  <c r="AH65" i="23183"/>
  <c r="AW53" i="23183"/>
  <c r="AX53" i="23183"/>
  <c r="AY53" i="23183"/>
  <c r="AZ53" i="23183"/>
  <c r="BA53" i="23183"/>
  <c r="AS53" i="23183"/>
  <c r="AT53" i="23183"/>
  <c r="AU53" i="23183"/>
  <c r="W53" i="23183"/>
  <c r="AI53" i="23183"/>
  <c r="AB53" i="23183"/>
  <c r="AN53" i="23183"/>
  <c r="AV53" i="23183"/>
  <c r="X53" i="23183"/>
  <c r="AL53" i="23183"/>
  <c r="Y53" i="23183"/>
  <c r="AM53" i="23183"/>
  <c r="AA53" i="23183"/>
  <c r="AP53" i="23183"/>
  <c r="AC53" i="23183"/>
  <c r="AQ53" i="23183"/>
  <c r="AD53" i="23183"/>
  <c r="AR53" i="23183"/>
  <c r="R53" i="23183"/>
  <c r="AF53" i="23183"/>
  <c r="F41" i="23183"/>
  <c r="AW41" i="23183"/>
  <c r="AX41" i="23183"/>
  <c r="AY41" i="23183"/>
  <c r="AZ41" i="23183"/>
  <c r="BA41" i="23183"/>
  <c r="AS41" i="23183"/>
  <c r="AT41" i="23183"/>
  <c r="AU41" i="23183"/>
  <c r="W41" i="23183"/>
  <c r="AI41" i="23183"/>
  <c r="X41" i="23183"/>
  <c r="AJ41" i="23183"/>
  <c r="Z41" i="23183"/>
  <c r="AL41" i="23183"/>
  <c r="AA41" i="23183"/>
  <c r="AM41" i="23183"/>
  <c r="AB41" i="23183"/>
  <c r="AN41" i="23183"/>
  <c r="AV41" i="23183"/>
  <c r="U41" i="23183"/>
  <c r="AQ41" i="23183"/>
  <c r="V41" i="23183"/>
  <c r="AR41" i="23183"/>
  <c r="Y41" i="23183"/>
  <c r="AC41" i="23183"/>
  <c r="AD41" i="23183"/>
  <c r="AE41" i="23183"/>
  <c r="AF41" i="23183"/>
  <c r="AG41" i="23183"/>
  <c r="S41" i="23183"/>
  <c r="AO41" i="23183"/>
  <c r="M29" i="23183"/>
  <c r="AW29" i="23183"/>
  <c r="AB29" i="23183"/>
  <c r="AN29" i="23183"/>
  <c r="AX29" i="23183"/>
  <c r="AC29" i="23183"/>
  <c r="AO29" i="23183"/>
  <c r="AY29" i="23183"/>
  <c r="AZ29" i="23183"/>
  <c r="S29" i="23183"/>
  <c r="AE29" i="23183"/>
  <c r="AQ29" i="23183"/>
  <c r="BA29" i="23183"/>
  <c r="T29" i="23183"/>
  <c r="AF29" i="23183"/>
  <c r="AR29" i="23183"/>
  <c r="AS29" i="23183"/>
  <c r="U29" i="23183"/>
  <c r="AG29" i="23183"/>
  <c r="AT29" i="23183"/>
  <c r="V29" i="23183"/>
  <c r="AH29" i="23183"/>
  <c r="AU29" i="23183"/>
  <c r="Z29" i="23183"/>
  <c r="AL29" i="23183"/>
  <c r="AV29" i="23183"/>
  <c r="Y29" i="23183"/>
  <c r="AA29" i="23183"/>
  <c r="AI29" i="23183"/>
  <c r="AJ29" i="23183"/>
  <c r="AK29" i="23183"/>
  <c r="AM29" i="23183"/>
  <c r="AP29" i="23183"/>
  <c r="R29" i="23183"/>
  <c r="W29" i="23183"/>
  <c r="X29" i="23183"/>
  <c r="AD29" i="23183"/>
  <c r="AJ22" i="23183"/>
  <c r="X22" i="23183"/>
  <c r="AM21" i="23183"/>
  <c r="AA21" i="23183"/>
  <c r="AP20" i="23183"/>
  <c r="AD20" i="23183"/>
  <c r="R20" i="23183"/>
  <c r="AG19" i="23183"/>
  <c r="AJ18" i="23183"/>
  <c r="AM87" i="23183"/>
  <c r="AP86" i="23183"/>
  <c r="AD86" i="23183"/>
  <c r="R86" i="23183"/>
  <c r="AG85" i="23183"/>
  <c r="U85" i="23183"/>
  <c r="AJ84" i="23183"/>
  <c r="X84" i="23183"/>
  <c r="AM83" i="23183"/>
  <c r="AA83" i="23183"/>
  <c r="AP82" i="23183"/>
  <c r="AD82" i="23183"/>
  <c r="R82" i="23183"/>
  <c r="AG81" i="23183"/>
  <c r="U81" i="23183"/>
  <c r="AJ80" i="23183"/>
  <c r="X80" i="23183"/>
  <c r="AM79" i="23183"/>
  <c r="AP78" i="23183"/>
  <c r="AD78" i="23183"/>
  <c r="AR77" i="23183"/>
  <c r="AB77" i="23183"/>
  <c r="AO76" i="23183"/>
  <c r="AN75" i="23183"/>
  <c r="Z75" i="23183"/>
  <c r="AK74" i="23183"/>
  <c r="W74" i="23183"/>
  <c r="AJ73" i="23183"/>
  <c r="AI72" i="23183"/>
  <c r="S72" i="23183"/>
  <c r="AF71" i="23183"/>
  <c r="R71" i="23183"/>
  <c r="AC70" i="23183"/>
  <c r="AM69" i="23183"/>
  <c r="X69" i="23183"/>
  <c r="AI68" i="23183"/>
  <c r="R68" i="23183"/>
  <c r="AO66" i="23183"/>
  <c r="AJ65" i="23183"/>
  <c r="T65" i="23183"/>
  <c r="AP63" i="23183"/>
  <c r="Z63" i="23183"/>
  <c r="AJ62" i="23183"/>
  <c r="U62" i="23183"/>
  <c r="AE61" i="23183"/>
  <c r="AM60" i="23183"/>
  <c r="S60" i="23183"/>
  <c r="Z59" i="23183"/>
  <c r="AD58" i="23183"/>
  <c r="AK57" i="23183"/>
  <c r="AJ56" i="23183"/>
  <c r="AG54" i="23183"/>
  <c r="AE53" i="23183"/>
  <c r="AA51" i="23183"/>
  <c r="Z50" i="23183"/>
  <c r="T49" i="23183"/>
  <c r="X47" i="23183"/>
  <c r="AR44" i="23183"/>
  <c r="AH42" i="23183"/>
  <c r="AI39" i="23183"/>
  <c r="AS42" i="23183"/>
  <c r="N87" i="23183"/>
  <c r="AT87" i="23183"/>
  <c r="AU87" i="23183"/>
  <c r="AV87" i="23183"/>
  <c r="AW87" i="23183"/>
  <c r="AX87" i="23183"/>
  <c r="AZ87" i="23183"/>
  <c r="BA87" i="23183"/>
  <c r="AS87" i="23183"/>
  <c r="AY87" i="23183"/>
  <c r="H73" i="23183"/>
  <c r="AW73" i="23183"/>
  <c r="AX73" i="23183"/>
  <c r="AZ73" i="23183"/>
  <c r="BA73" i="23183"/>
  <c r="AS73" i="23183"/>
  <c r="AT73" i="23183"/>
  <c r="AU73" i="23183"/>
  <c r="AY73" i="23183"/>
  <c r="AV73" i="23183"/>
  <c r="R73" i="23183"/>
  <c r="AD73" i="23183"/>
  <c r="AP73" i="23183"/>
  <c r="S73" i="23183"/>
  <c r="AE73" i="23183"/>
  <c r="AQ73" i="23183"/>
  <c r="D79" i="23183"/>
  <c r="AT79" i="23183"/>
  <c r="AU79" i="23183"/>
  <c r="AV79" i="23183"/>
  <c r="AW79" i="23183"/>
  <c r="AX79" i="23183"/>
  <c r="AZ79" i="23183"/>
  <c r="BA79" i="23183"/>
  <c r="AS79" i="23183"/>
  <c r="AY79" i="23183"/>
  <c r="L67" i="23183"/>
  <c r="AT67" i="23183"/>
  <c r="AU67" i="23183"/>
  <c r="AV67" i="23183"/>
  <c r="AW67" i="23183"/>
  <c r="AX67" i="23183"/>
  <c r="AY67" i="23183"/>
  <c r="AZ67" i="23183"/>
  <c r="BA67" i="23183"/>
  <c r="AS67" i="23183"/>
  <c r="X67" i="23183"/>
  <c r="AJ67" i="23183"/>
  <c r="Y67" i="23183"/>
  <c r="AK67" i="23183"/>
  <c r="AB67" i="23183"/>
  <c r="AN67" i="23183"/>
  <c r="F55" i="23183"/>
  <c r="AT55" i="23183"/>
  <c r="AU55" i="23183"/>
  <c r="AV55" i="23183"/>
  <c r="AW55" i="23183"/>
  <c r="AX55" i="23183"/>
  <c r="AY55" i="23183"/>
  <c r="AZ55" i="23183"/>
  <c r="BA55" i="23183"/>
  <c r="AC55" i="23183"/>
  <c r="AO55" i="23183"/>
  <c r="V55" i="23183"/>
  <c r="AH55" i="23183"/>
  <c r="AS55" i="23183"/>
  <c r="AA55" i="23183"/>
  <c r="AP55" i="23183"/>
  <c r="AB55" i="23183"/>
  <c r="AQ55" i="23183"/>
  <c r="AE55" i="23183"/>
  <c r="R55" i="23183"/>
  <c r="AF55" i="23183"/>
  <c r="S55" i="23183"/>
  <c r="AG55" i="23183"/>
  <c r="U55" i="23183"/>
  <c r="AJ55" i="23183"/>
  <c r="F43" i="23183"/>
  <c r="AT43" i="23183"/>
  <c r="AU43" i="23183"/>
  <c r="AV43" i="23183"/>
  <c r="AW43" i="23183"/>
  <c r="AX43" i="23183"/>
  <c r="AY43" i="23183"/>
  <c r="AZ43" i="23183"/>
  <c r="BA43" i="23183"/>
  <c r="AS43" i="23183"/>
  <c r="AC43" i="23183"/>
  <c r="AO43" i="23183"/>
  <c r="R43" i="23183"/>
  <c r="AD43" i="23183"/>
  <c r="AP43" i="23183"/>
  <c r="T43" i="23183"/>
  <c r="AF43" i="23183"/>
  <c r="AR43" i="23183"/>
  <c r="U43" i="23183"/>
  <c r="AG43" i="23183"/>
  <c r="V43" i="23183"/>
  <c r="AH43" i="23183"/>
  <c r="AB43" i="23183"/>
  <c r="AE43" i="23183"/>
  <c r="AI43" i="23183"/>
  <c r="AJ43" i="23183"/>
  <c r="AK43" i="23183"/>
  <c r="AL43" i="23183"/>
  <c r="S43" i="23183"/>
  <c r="AM43" i="23183"/>
  <c r="W43" i="23183"/>
  <c r="AN43" i="23183"/>
  <c r="G31" i="23183"/>
  <c r="AT31" i="23183"/>
  <c r="V31" i="23183"/>
  <c r="AU31" i="23183"/>
  <c r="W31" i="23183"/>
  <c r="AI31" i="23183"/>
  <c r="Y31" i="23183"/>
  <c r="AK31" i="23183"/>
  <c r="Z31" i="23183"/>
  <c r="AL31" i="23183"/>
  <c r="AV31" i="23183"/>
  <c r="AA31" i="23183"/>
  <c r="AM31" i="23183"/>
  <c r="AW31" i="23183"/>
  <c r="AX31" i="23183"/>
  <c r="AY31" i="23183"/>
  <c r="AZ31" i="23183"/>
  <c r="BA31" i="23183"/>
  <c r="T31" i="23183"/>
  <c r="AF31" i="23183"/>
  <c r="AR31" i="23183"/>
  <c r="AB31" i="23183"/>
  <c r="AC31" i="23183"/>
  <c r="AS31" i="23183"/>
  <c r="AE31" i="23183"/>
  <c r="AG31" i="23183"/>
  <c r="AH31" i="23183"/>
  <c r="AJ31" i="23183"/>
  <c r="AN31" i="23183"/>
  <c r="S31" i="23183"/>
  <c r="AP31" i="23183"/>
  <c r="U31" i="23183"/>
  <c r="AQ31" i="23183"/>
  <c r="R31" i="23183"/>
  <c r="X31" i="23183"/>
  <c r="AD31" i="23183"/>
  <c r="AO31" i="23183"/>
  <c r="AV19" i="23183"/>
  <c r="AW19" i="23183"/>
  <c r="AX19" i="23183"/>
  <c r="AL22" i="23183"/>
  <c r="Z22" i="23183"/>
  <c r="AI19" i="23183"/>
  <c r="L66" i="23183"/>
  <c r="AW66" i="23183"/>
  <c r="AX66" i="23183"/>
  <c r="AY66" i="23183"/>
  <c r="AZ66" i="23183"/>
  <c r="BA66" i="23183"/>
  <c r="AT66" i="23183"/>
  <c r="AU66" i="23183"/>
  <c r="AV66" i="23183"/>
  <c r="AS66" i="23183"/>
  <c r="AA66" i="23183"/>
  <c r="AM66" i="23183"/>
  <c r="AB66" i="23183"/>
  <c r="AN66" i="23183"/>
  <c r="S66" i="23183"/>
  <c r="AE66" i="23183"/>
  <c r="AQ66" i="23183"/>
  <c r="AN87" i="23183"/>
  <c r="AQ86" i="23183"/>
  <c r="AH85" i="23183"/>
  <c r="AK84" i="23183"/>
  <c r="AN83" i="23183"/>
  <c r="AE82" i="23183"/>
  <c r="AH81" i="23183"/>
  <c r="AN79" i="23183"/>
  <c r="AE78" i="23183"/>
  <c r="AO75" i="23183"/>
  <c r="AJ72" i="23183"/>
  <c r="AW18" i="23183"/>
  <c r="AV18" i="23183"/>
  <c r="AX18" i="23183"/>
  <c r="L76" i="23183"/>
  <c r="AZ76" i="23183"/>
  <c r="BA76" i="23183"/>
  <c r="AT76" i="23183"/>
  <c r="AU76" i="23183"/>
  <c r="AW76" i="23183"/>
  <c r="AX76" i="23183"/>
  <c r="AS76" i="23183"/>
  <c r="AY76" i="23183"/>
  <c r="U76" i="23183"/>
  <c r="AG76" i="23183"/>
  <c r="V76" i="23183"/>
  <c r="AH76" i="23183"/>
  <c r="AV76" i="23183"/>
  <c r="C64" i="23183"/>
  <c r="AZ64" i="23183"/>
  <c r="BA64" i="23183"/>
  <c r="AT64" i="23183"/>
  <c r="AU64" i="23183"/>
  <c r="AW64" i="23183"/>
  <c r="AX64" i="23183"/>
  <c r="AS64" i="23183"/>
  <c r="U64" i="23183"/>
  <c r="AG64" i="23183"/>
  <c r="V64" i="23183"/>
  <c r="AH64" i="23183"/>
  <c r="AY64" i="23183"/>
  <c r="AV64" i="23183"/>
  <c r="Y64" i="23183"/>
  <c r="AK64" i="23183"/>
  <c r="D52" i="23183"/>
  <c r="AZ52" i="23183"/>
  <c r="BA52" i="23183"/>
  <c r="AT52" i="23183"/>
  <c r="AU52" i="23183"/>
  <c r="AW52" i="23183"/>
  <c r="AX52" i="23183"/>
  <c r="Z52" i="23183"/>
  <c r="AL52" i="23183"/>
  <c r="AV52" i="23183"/>
  <c r="S52" i="23183"/>
  <c r="AE52" i="23183"/>
  <c r="AQ52" i="23183"/>
  <c r="AS52" i="23183"/>
  <c r="V52" i="23183"/>
  <c r="AJ52" i="23183"/>
  <c r="AY52" i="23183"/>
  <c r="W52" i="23183"/>
  <c r="AK52" i="23183"/>
  <c r="Y52" i="23183"/>
  <c r="AN52" i="23183"/>
  <c r="AA52" i="23183"/>
  <c r="AO52" i="23183"/>
  <c r="AB52" i="23183"/>
  <c r="AP52" i="23183"/>
  <c r="AD52" i="23183"/>
  <c r="O40" i="23183"/>
  <c r="AZ40" i="23183"/>
  <c r="BA40" i="23183"/>
  <c r="AT40" i="23183"/>
  <c r="AU40" i="23183"/>
  <c r="AW40" i="23183"/>
  <c r="AX40" i="23183"/>
  <c r="Z40" i="23183"/>
  <c r="AL40" i="23183"/>
  <c r="AA40" i="23183"/>
  <c r="AM40" i="23183"/>
  <c r="AC40" i="23183"/>
  <c r="AO40" i="23183"/>
  <c r="R40" i="23183"/>
  <c r="AD40" i="23183"/>
  <c r="AP40" i="23183"/>
  <c r="AY40" i="23183"/>
  <c r="S40" i="23183"/>
  <c r="AE40" i="23183"/>
  <c r="AQ40" i="23183"/>
  <c r="AS40" i="23183"/>
  <c r="AB40" i="23183"/>
  <c r="AF40" i="23183"/>
  <c r="AG40" i="23183"/>
  <c r="AH40" i="23183"/>
  <c r="AI40" i="23183"/>
  <c r="AJ40" i="23183"/>
  <c r="T40" i="23183"/>
  <c r="AK40" i="23183"/>
  <c r="U40" i="23183"/>
  <c r="AN40" i="23183"/>
  <c r="AV40" i="23183"/>
  <c r="X40" i="23183"/>
  <c r="D28" i="23183"/>
  <c r="AZ28" i="23183"/>
  <c r="S28" i="23183"/>
  <c r="AE28" i="23183"/>
  <c r="AQ28" i="23183"/>
  <c r="BA28" i="23183"/>
  <c r="T28" i="23183"/>
  <c r="AF28" i="23183"/>
  <c r="AR28" i="23183"/>
  <c r="AT28" i="23183"/>
  <c r="V28" i="23183"/>
  <c r="AH28" i="23183"/>
  <c r="AU28" i="23183"/>
  <c r="W28" i="23183"/>
  <c r="AI28" i="23183"/>
  <c r="X28" i="23183"/>
  <c r="AJ28" i="23183"/>
  <c r="Y28" i="23183"/>
  <c r="AK28" i="23183"/>
  <c r="AW28" i="23183"/>
  <c r="AX28" i="23183"/>
  <c r="AC28" i="23183"/>
  <c r="AO28" i="23183"/>
  <c r="Z28" i="23183"/>
  <c r="AS28" i="23183"/>
  <c r="AA28" i="23183"/>
  <c r="AD28" i="23183"/>
  <c r="AG28" i="23183"/>
  <c r="AL28" i="23183"/>
  <c r="AM28" i="23183"/>
  <c r="AN28" i="23183"/>
  <c r="R28" i="23183"/>
  <c r="AY28" i="23183"/>
  <c r="AB28" i="23183"/>
  <c r="AP28" i="23183"/>
  <c r="AV28" i="23183"/>
  <c r="AI22" i="23183"/>
  <c r="W22" i="23183"/>
  <c r="AL21" i="23183"/>
  <c r="Z21" i="23183"/>
  <c r="AO20" i="23183"/>
  <c r="AC20" i="23183"/>
  <c r="AR19" i="23183"/>
  <c r="AF19" i="23183"/>
  <c r="T19" i="23183"/>
  <c r="AI18" i="23183"/>
  <c r="W18" i="23183"/>
  <c r="AL87" i="23183"/>
  <c r="Z87" i="23183"/>
  <c r="AO86" i="23183"/>
  <c r="AC86" i="23183"/>
  <c r="AR85" i="23183"/>
  <c r="AF85" i="23183"/>
  <c r="T85" i="23183"/>
  <c r="AI84" i="23183"/>
  <c r="W84" i="23183"/>
  <c r="AL83" i="23183"/>
  <c r="Z83" i="23183"/>
  <c r="AO82" i="23183"/>
  <c r="AC82" i="23183"/>
  <c r="AR81" i="23183"/>
  <c r="AF81" i="23183"/>
  <c r="T81" i="23183"/>
  <c r="AI80" i="23183"/>
  <c r="W80" i="23183"/>
  <c r="AL79" i="23183"/>
  <c r="Z79" i="23183"/>
  <c r="AO78" i="23183"/>
  <c r="AC78" i="23183"/>
  <c r="AO77" i="23183"/>
  <c r="AA77" i="23183"/>
  <c r="AN76" i="23183"/>
  <c r="Z76" i="23183"/>
  <c r="AM75" i="23183"/>
  <c r="W75" i="23183"/>
  <c r="AJ74" i="23183"/>
  <c r="V74" i="23183"/>
  <c r="AI73" i="23183"/>
  <c r="U73" i="23183"/>
  <c r="AF72" i="23183"/>
  <c r="R72" i="23183"/>
  <c r="AE71" i="23183"/>
  <c r="AR70" i="23183"/>
  <c r="Z70" i="23183"/>
  <c r="AL69" i="23183"/>
  <c r="W69" i="23183"/>
  <c r="AF68" i="23183"/>
  <c r="AR67" i="23183"/>
  <c r="AC67" i="23183"/>
  <c r="AL66" i="23183"/>
  <c r="W66" i="23183"/>
  <c r="AI65" i="23183"/>
  <c r="AR64" i="23183"/>
  <c r="AC64" i="23183"/>
  <c r="AO63" i="23183"/>
  <c r="W63" i="23183"/>
  <c r="AI62" i="23183"/>
  <c r="T62" i="23183"/>
  <c r="AB61" i="23183"/>
  <c r="AK60" i="23183"/>
  <c r="AQ59" i="23183"/>
  <c r="Y59" i="23183"/>
  <c r="AC58" i="23183"/>
  <c r="AG57" i="23183"/>
  <c r="AF56" i="23183"/>
  <c r="AD55" i="23183"/>
  <c r="AB54" i="23183"/>
  <c r="Z53" i="23183"/>
  <c r="X52" i="23183"/>
  <c r="W51" i="23183"/>
  <c r="U50" i="23183"/>
  <c r="AO48" i="23183"/>
  <c r="W47" i="23183"/>
  <c r="AN44" i="23183"/>
  <c r="AD42" i="23183"/>
  <c r="AB39" i="23183"/>
  <c r="AV44" i="23183"/>
  <c r="H81" i="23183"/>
  <c r="I87" i="23183"/>
  <c r="H87" i="23183"/>
  <c r="G81" i="23183"/>
  <c r="C81" i="23183"/>
  <c r="K70" i="23183"/>
  <c r="J70" i="23183"/>
  <c r="D70" i="23183"/>
  <c r="M55" i="23183"/>
  <c r="I55" i="23183"/>
  <c r="O84" i="23183"/>
  <c r="C77" i="23183"/>
  <c r="O69" i="23183"/>
  <c r="H51" i="23183"/>
  <c r="N84" i="23183"/>
  <c r="Q76" i="23183"/>
  <c r="F67" i="23183"/>
  <c r="P49" i="23183"/>
  <c r="K84" i="23183"/>
  <c r="N75" i="23183"/>
  <c r="Q64" i="23183"/>
  <c r="M49" i="23183"/>
  <c r="J84" i="23183"/>
  <c r="K75" i="23183"/>
  <c r="P63" i="23183"/>
  <c r="J47" i="23183"/>
  <c r="D87" i="23183"/>
  <c r="C23" i="23183"/>
  <c r="K83" i="23183"/>
  <c r="J75" i="23183"/>
  <c r="N63" i="23183"/>
  <c r="G23" i="23183"/>
  <c r="I83" i="23183"/>
  <c r="P72" i="23183"/>
  <c r="G60" i="23183"/>
  <c r="O46" i="23183"/>
  <c r="H23" i="23183"/>
  <c r="D83" i="23183"/>
  <c r="N72" i="23183"/>
  <c r="F60" i="23183"/>
  <c r="M46" i="23183"/>
  <c r="J23" i="23183"/>
  <c r="M82" i="23183"/>
  <c r="M72" i="23183"/>
  <c r="D60" i="23183"/>
  <c r="J40" i="23183"/>
  <c r="K23" i="23183"/>
  <c r="J81" i="23183"/>
  <c r="K72" i="23183"/>
  <c r="C60" i="23183"/>
  <c r="D40" i="23183"/>
  <c r="P64" i="23183"/>
  <c r="H63" i="23183"/>
  <c r="C40" i="23183"/>
  <c r="O64" i="23183"/>
  <c r="E63" i="23183"/>
  <c r="Q52" i="23183"/>
  <c r="Q48" i="23183"/>
  <c r="L39" i="23183"/>
  <c r="K86" i="23183"/>
  <c r="I84" i="23183"/>
  <c r="K82" i="23183"/>
  <c r="O80" i="23183"/>
  <c r="K76" i="23183"/>
  <c r="H75" i="23183"/>
  <c r="J72" i="23183"/>
  <c r="D69" i="23183"/>
  <c r="N64" i="23183"/>
  <c r="D63" i="23183"/>
  <c r="M59" i="23183"/>
  <c r="O52" i="23183"/>
  <c r="P48" i="23183"/>
  <c r="F39" i="23183"/>
  <c r="L23" i="23183"/>
  <c r="G86" i="23183"/>
  <c r="G84" i="23183"/>
  <c r="J82" i="23183"/>
  <c r="P79" i="23183"/>
  <c r="I76" i="23183"/>
  <c r="G75" i="23183"/>
  <c r="I72" i="23183"/>
  <c r="O68" i="23183"/>
  <c r="M64" i="23183"/>
  <c r="D61" i="23183"/>
  <c r="G59" i="23183"/>
  <c r="J52" i="23183"/>
  <c r="J48" i="23183"/>
  <c r="O45" i="23183"/>
  <c r="M76" i="23183"/>
  <c r="P87" i="23183"/>
  <c r="E86" i="23183"/>
  <c r="F84" i="23183"/>
  <c r="I82" i="23183"/>
  <c r="N79" i="23183"/>
  <c r="H76" i="23183"/>
  <c r="F75" i="23183"/>
  <c r="G72" i="23183"/>
  <c r="N68" i="23183"/>
  <c r="K64" i="23183"/>
  <c r="I52" i="23183"/>
  <c r="I48" i="23183"/>
  <c r="I43" i="23183"/>
  <c r="O36" i="23183"/>
  <c r="I75" i="23183"/>
  <c r="O87" i="23183"/>
  <c r="Q85" i="23183"/>
  <c r="E84" i="23183"/>
  <c r="H82" i="23183"/>
  <c r="M79" i="23183"/>
  <c r="G76" i="23183"/>
  <c r="H74" i="23183"/>
  <c r="F72" i="23183"/>
  <c r="M68" i="23183"/>
  <c r="G64" i="23183"/>
  <c r="Q60" i="23183"/>
  <c r="P58" i="23183"/>
  <c r="G52" i="23183"/>
  <c r="G48" i="23183"/>
  <c r="G36" i="23183"/>
  <c r="P76" i="23183"/>
  <c r="M87" i="23183"/>
  <c r="D85" i="23183"/>
  <c r="D84" i="23183"/>
  <c r="G82" i="23183"/>
  <c r="L79" i="23183"/>
  <c r="F76" i="23183"/>
  <c r="P73" i="23183"/>
  <c r="C72" i="23183"/>
  <c r="E68" i="23183"/>
  <c r="F64" i="23183"/>
  <c r="P60" i="23183"/>
  <c r="M58" i="23183"/>
  <c r="F52" i="23183"/>
  <c r="F48" i="23183"/>
  <c r="P41" i="23183"/>
  <c r="D36" i="23183"/>
  <c r="L87" i="23183"/>
  <c r="C85" i="23183"/>
  <c r="C84" i="23183"/>
  <c r="K79" i="23183"/>
  <c r="E76" i="23183"/>
  <c r="M73" i="23183"/>
  <c r="N71" i="23183"/>
  <c r="Q67" i="23183"/>
  <c r="D64" i="23183"/>
  <c r="O60" i="23183"/>
  <c r="L58" i="23183"/>
  <c r="E52" i="23183"/>
  <c r="E48" i="23183"/>
  <c r="L41" i="23183"/>
  <c r="P28" i="23183"/>
  <c r="K87" i="23183"/>
  <c r="Q84" i="23183"/>
  <c r="Q83" i="23183"/>
  <c r="P81" i="23183"/>
  <c r="G79" i="23183"/>
  <c r="D76" i="23183"/>
  <c r="K73" i="23183"/>
  <c r="M70" i="23183"/>
  <c r="P67" i="23183"/>
  <c r="N60" i="23183"/>
  <c r="I56" i="23183"/>
  <c r="D48" i="23183"/>
  <c r="D41" i="23183"/>
  <c r="J28" i="23183"/>
  <c r="C87" i="23183"/>
  <c r="J87" i="23183"/>
  <c r="P84" i="23183"/>
  <c r="L83" i="23183"/>
  <c r="L81" i="23183"/>
  <c r="C76" i="23183"/>
  <c r="Q72" i="23183"/>
  <c r="N67" i="23183"/>
  <c r="Q63" i="23183"/>
  <c r="M60" i="23183"/>
  <c r="L51" i="23183"/>
  <c r="P40" i="23183"/>
  <c r="P66" i="23183"/>
  <c r="E53" i="23183"/>
  <c r="Q53" i="23183"/>
  <c r="H53" i="23183"/>
  <c r="I53" i="23183"/>
  <c r="J53" i="23183"/>
  <c r="K53" i="23183"/>
  <c r="D53" i="23183"/>
  <c r="F53" i="23183"/>
  <c r="G53" i="23183"/>
  <c r="L53" i="23183"/>
  <c r="O53" i="23183"/>
  <c r="P53" i="23183"/>
  <c r="M66" i="23183"/>
  <c r="M42" i="23183"/>
  <c r="F78" i="23183"/>
  <c r="G78" i="23183"/>
  <c r="H78" i="23183"/>
  <c r="J78" i="23183"/>
  <c r="K78" i="23183"/>
  <c r="L78" i="23183"/>
  <c r="C78" i="23183"/>
  <c r="L73" i="23183"/>
  <c r="N66" i="23183"/>
  <c r="F66" i="23183"/>
  <c r="D66" i="23183"/>
  <c r="E66" i="23183"/>
  <c r="H66" i="23183"/>
  <c r="I66" i="23183"/>
  <c r="J66" i="23183"/>
  <c r="K66" i="23183"/>
  <c r="N38" i="23183"/>
  <c r="E38" i="23183"/>
  <c r="Q38" i="23183"/>
  <c r="F38" i="23183"/>
  <c r="G38" i="23183"/>
  <c r="H38" i="23183"/>
  <c r="K38" i="23183"/>
  <c r="L38" i="23183"/>
  <c r="C38" i="23183"/>
  <c r="I38" i="23183"/>
  <c r="J38" i="23183"/>
  <c r="M38" i="23183"/>
  <c r="O38" i="23183"/>
  <c r="P38" i="23183"/>
  <c r="E78" i="23183"/>
  <c r="P62" i="23183"/>
  <c r="N54" i="23183"/>
  <c r="E54" i="23183"/>
  <c r="Q54" i="23183"/>
  <c r="F54" i="23183"/>
  <c r="G54" i="23183"/>
  <c r="H54" i="23183"/>
  <c r="D54" i="23183"/>
  <c r="I54" i="23183"/>
  <c r="K54" i="23183"/>
  <c r="L54" i="23183"/>
  <c r="M54" i="23183"/>
  <c r="O54" i="23183"/>
  <c r="I78" i="23183"/>
  <c r="N50" i="23183"/>
  <c r="E50" i="23183"/>
  <c r="Q50" i="23183"/>
  <c r="F50" i="23183"/>
  <c r="G50" i="23183"/>
  <c r="H50" i="23183"/>
  <c r="C50" i="23183"/>
  <c r="D50" i="23183"/>
  <c r="J50" i="23183"/>
  <c r="K50" i="23183"/>
  <c r="L50" i="23183"/>
  <c r="M50" i="23183"/>
  <c r="E25" i="23183"/>
  <c r="F25" i="23183"/>
  <c r="G25" i="23183"/>
  <c r="H25" i="23183"/>
  <c r="I25" i="23183"/>
  <c r="J25" i="23183"/>
  <c r="K25" i="23183"/>
  <c r="L25" i="23183"/>
  <c r="M25" i="23183"/>
  <c r="N25" i="23183"/>
  <c r="C25" i="23183"/>
  <c r="D25" i="23183"/>
  <c r="P25" i="23183"/>
  <c r="N80" i="23183"/>
  <c r="O62" i="23183"/>
  <c r="O85" i="23183"/>
  <c r="M80" i="23183"/>
  <c r="O77" i="23183"/>
  <c r="N69" i="23183"/>
  <c r="J54" i="23183"/>
  <c r="L45" i="23183"/>
  <c r="F86" i="23183"/>
  <c r="D86" i="23183"/>
  <c r="Q86" i="23183"/>
  <c r="H86" i="23183"/>
  <c r="I86" i="23183"/>
  <c r="J86" i="23183"/>
  <c r="E73" i="23183"/>
  <c r="Q73" i="23183"/>
  <c r="I73" i="23183"/>
  <c r="N73" i="23183"/>
  <c r="O73" i="23183"/>
  <c r="C73" i="23183"/>
  <c r="D73" i="23183"/>
  <c r="F73" i="23183"/>
  <c r="G73" i="23183"/>
  <c r="C66" i="23183"/>
  <c r="K59" i="23183"/>
  <c r="N59" i="23183"/>
  <c r="C59" i="23183"/>
  <c r="O59" i="23183"/>
  <c r="E59" i="23183"/>
  <c r="F59" i="23183"/>
  <c r="H59" i="23183"/>
  <c r="I59" i="23183"/>
  <c r="J59" i="23183"/>
  <c r="L59" i="23183"/>
  <c r="Q59" i="23183"/>
  <c r="K77" i="23183"/>
  <c r="C54" i="23183"/>
  <c r="N42" i="23183"/>
  <c r="E42" i="23183"/>
  <c r="Q42" i="23183"/>
  <c r="F42" i="23183"/>
  <c r="G42" i="23183"/>
  <c r="H42" i="23183"/>
  <c r="K42" i="23183"/>
  <c r="C42" i="23183"/>
  <c r="D42" i="23183"/>
  <c r="I42" i="23183"/>
  <c r="J42" i="23183"/>
  <c r="O42" i="23183"/>
  <c r="P42" i="23183"/>
  <c r="E65" i="23183"/>
  <c r="Q65" i="23183"/>
  <c r="I65" i="23183"/>
  <c r="D65" i="23183"/>
  <c r="F65" i="23183"/>
  <c r="H65" i="23183"/>
  <c r="J65" i="23183"/>
  <c r="K65" i="23183"/>
  <c r="L65" i="23183"/>
  <c r="N62" i="23183"/>
  <c r="F62" i="23183"/>
  <c r="G62" i="23183"/>
  <c r="H62" i="23183"/>
  <c r="J62" i="23183"/>
  <c r="K62" i="23183"/>
  <c r="L62" i="23183"/>
  <c r="M62" i="23183"/>
  <c r="C62" i="23183"/>
  <c r="Q62" i="23183"/>
  <c r="G66" i="23183"/>
  <c r="I85" i="23183"/>
  <c r="F85" i="23183"/>
  <c r="J85" i="23183"/>
  <c r="K85" i="23183"/>
  <c r="L85" i="23183"/>
  <c r="E49" i="23183"/>
  <c r="Q49" i="23183"/>
  <c r="H49" i="23183"/>
  <c r="I49" i="23183"/>
  <c r="J49" i="23183"/>
  <c r="K49" i="23183"/>
  <c r="C49" i="23183"/>
  <c r="D49" i="23183"/>
  <c r="F49" i="23183"/>
  <c r="G49" i="23183"/>
  <c r="N49" i="23183"/>
  <c r="O49" i="23183"/>
  <c r="E37" i="23183"/>
  <c r="Q37" i="23183"/>
  <c r="H37" i="23183"/>
  <c r="I37" i="23183"/>
  <c r="J37" i="23183"/>
  <c r="K37" i="23183"/>
  <c r="N37" i="23183"/>
  <c r="C37" i="23183"/>
  <c r="O37" i="23183"/>
  <c r="P37" i="23183"/>
  <c r="D37" i="23183"/>
  <c r="F37" i="23183"/>
  <c r="G37" i="23183"/>
  <c r="L37" i="23183"/>
  <c r="P77" i="23183"/>
  <c r="J73" i="23183"/>
  <c r="C83" i="23183"/>
  <c r="O83" i="23183"/>
  <c r="J83" i="23183"/>
  <c r="M83" i="23183"/>
  <c r="N83" i="23183"/>
  <c r="P83" i="23183"/>
  <c r="K71" i="23183"/>
  <c r="C71" i="23183"/>
  <c r="O71" i="23183"/>
  <c r="P71" i="23183"/>
  <c r="Q71" i="23183"/>
  <c r="E71" i="23183"/>
  <c r="F71" i="23183"/>
  <c r="G71" i="23183"/>
  <c r="H71" i="23183"/>
  <c r="K35" i="23183"/>
  <c r="N35" i="23183"/>
  <c r="C35" i="23183"/>
  <c r="O35" i="23183"/>
  <c r="D35" i="23183"/>
  <c r="P35" i="23183"/>
  <c r="E35" i="23183"/>
  <c r="Q35" i="23183"/>
  <c r="H35" i="23183"/>
  <c r="I35" i="23183"/>
  <c r="F35" i="23183"/>
  <c r="G35" i="23183"/>
  <c r="J35" i="23183"/>
  <c r="L35" i="23183"/>
  <c r="I23" i="23183"/>
  <c r="F23" i="23183"/>
  <c r="E18" i="23201" s="1"/>
  <c r="E23" i="23183"/>
  <c r="D23" i="23183"/>
  <c r="P23" i="23183"/>
  <c r="F17" i="23201" s="1"/>
  <c r="P86" i="23183"/>
  <c r="K80" i="23183"/>
  <c r="Q78" i="23183"/>
  <c r="L71" i="23183"/>
  <c r="M69" i="23183"/>
  <c r="O65" i="23183"/>
  <c r="E62" i="23183"/>
  <c r="P57" i="23183"/>
  <c r="F82" i="23183"/>
  <c r="L82" i="23183"/>
  <c r="O82" i="23183"/>
  <c r="C82" i="23183"/>
  <c r="P82" i="23183"/>
  <c r="D82" i="23183"/>
  <c r="Q82" i="23183"/>
  <c r="N70" i="23183"/>
  <c r="F70" i="23183"/>
  <c r="P70" i="23183"/>
  <c r="C70" i="23183"/>
  <c r="Q70" i="23183"/>
  <c r="E70" i="23183"/>
  <c r="G70" i="23183"/>
  <c r="H70" i="23183"/>
  <c r="I70" i="23183"/>
  <c r="N58" i="23183"/>
  <c r="E58" i="23183"/>
  <c r="Q58" i="23183"/>
  <c r="F58" i="23183"/>
  <c r="C58" i="23183"/>
  <c r="D58" i="23183"/>
  <c r="H58" i="23183"/>
  <c r="I58" i="23183"/>
  <c r="J58" i="23183"/>
  <c r="K58" i="23183"/>
  <c r="O58" i="23183"/>
  <c r="N46" i="23183"/>
  <c r="E46" i="23183"/>
  <c r="Q46" i="23183"/>
  <c r="F46" i="23183"/>
  <c r="G46" i="23183"/>
  <c r="H46" i="23183"/>
  <c r="C46" i="23183"/>
  <c r="I46" i="23183"/>
  <c r="J46" i="23183"/>
  <c r="K46" i="23183"/>
  <c r="L46" i="23183"/>
  <c r="P46" i="23183"/>
  <c r="N34" i="23183"/>
  <c r="E34" i="23183"/>
  <c r="Q34" i="23183"/>
  <c r="F34" i="23183"/>
  <c r="G34" i="23183"/>
  <c r="H34" i="23183"/>
  <c r="K34" i="23183"/>
  <c r="L34" i="23183"/>
  <c r="C34" i="23183"/>
  <c r="D34" i="23183"/>
  <c r="I34" i="23183"/>
  <c r="J34" i="23183"/>
  <c r="M34" i="23183"/>
  <c r="O34" i="23183"/>
  <c r="P34" i="23183"/>
  <c r="D22" i="23183"/>
  <c r="P22" i="23183"/>
  <c r="F16" i="23201" s="1"/>
  <c r="C22" i="23183"/>
  <c r="N22" i="23183"/>
  <c r="M22" i="23183"/>
  <c r="L22" i="23183"/>
  <c r="K22" i="23183"/>
  <c r="J22" i="23183"/>
  <c r="I22" i="23183"/>
  <c r="H22" i="23183"/>
  <c r="G22" i="23183"/>
  <c r="F22" i="23183"/>
  <c r="E17" i="23201" s="1"/>
  <c r="E22" i="23183"/>
  <c r="O86" i="23183"/>
  <c r="M85" i="23183"/>
  <c r="F83" i="23183"/>
  <c r="J80" i="23183"/>
  <c r="P78" i="23183"/>
  <c r="G77" i="23183"/>
  <c r="L74" i="23183"/>
  <c r="J71" i="23183"/>
  <c r="M67" i="23183"/>
  <c r="N65" i="23183"/>
  <c r="D62" i="23183"/>
  <c r="N53" i="23183"/>
  <c r="P44" i="23183"/>
  <c r="N26" i="23183"/>
  <c r="C26" i="23183"/>
  <c r="O26" i="23183"/>
  <c r="D26" i="23183"/>
  <c r="P26" i="23183"/>
  <c r="E26" i="23183"/>
  <c r="Q26" i="23183"/>
  <c r="F26" i="23183"/>
  <c r="G26" i="23183"/>
  <c r="H26" i="23183"/>
  <c r="I26" i="23183"/>
  <c r="J26" i="23183"/>
  <c r="K26" i="23183"/>
  <c r="L26" i="23183"/>
  <c r="M26" i="23183"/>
  <c r="E61" i="23183"/>
  <c r="Q61" i="23183"/>
  <c r="H61" i="23183"/>
  <c r="I61" i="23183"/>
  <c r="F61" i="23183"/>
  <c r="G61" i="23183"/>
  <c r="K61" i="23183"/>
  <c r="L61" i="23183"/>
  <c r="M61" i="23183"/>
  <c r="N61" i="23183"/>
  <c r="P85" i="23183"/>
  <c r="K47" i="23183"/>
  <c r="N47" i="23183"/>
  <c r="C47" i="23183"/>
  <c r="O47" i="23183"/>
  <c r="D47" i="23183"/>
  <c r="P47" i="23183"/>
  <c r="E47" i="23183"/>
  <c r="Q47" i="23183"/>
  <c r="H47" i="23183"/>
  <c r="I47" i="23183"/>
  <c r="L47" i="23183"/>
  <c r="M47" i="23183"/>
  <c r="F47" i="23183"/>
  <c r="N23" i="23183"/>
  <c r="G83" i="23183"/>
  <c r="P74" i="23183"/>
  <c r="I81" i="23183"/>
  <c r="N81" i="23183"/>
  <c r="D81" i="23183"/>
  <c r="Q81" i="23183"/>
  <c r="E81" i="23183"/>
  <c r="F81" i="23183"/>
  <c r="E69" i="23183"/>
  <c r="Q69" i="23183"/>
  <c r="I69" i="23183"/>
  <c r="P69" i="23183"/>
  <c r="C69" i="23183"/>
  <c r="F69" i="23183"/>
  <c r="G69" i="23183"/>
  <c r="H69" i="23183"/>
  <c r="J69" i="23183"/>
  <c r="E57" i="23183"/>
  <c r="Q57" i="23183"/>
  <c r="H57" i="23183"/>
  <c r="I57" i="23183"/>
  <c r="J57" i="23183"/>
  <c r="D57" i="23183"/>
  <c r="F57" i="23183"/>
  <c r="G57" i="23183"/>
  <c r="K57" i="23183"/>
  <c r="N57" i="23183"/>
  <c r="O57" i="23183"/>
  <c r="E45" i="23183"/>
  <c r="Q45" i="23183"/>
  <c r="H45" i="23183"/>
  <c r="I45" i="23183"/>
  <c r="J45" i="23183"/>
  <c r="K45" i="23183"/>
  <c r="P45" i="23183"/>
  <c r="C45" i="23183"/>
  <c r="D45" i="23183"/>
  <c r="F45" i="23183"/>
  <c r="M45" i="23183"/>
  <c r="N45" i="23183"/>
  <c r="E33" i="23183"/>
  <c r="Q33" i="23183"/>
  <c r="F33" i="23183"/>
  <c r="H33" i="23183"/>
  <c r="I33" i="23183"/>
  <c r="J33" i="23183"/>
  <c r="K33" i="23183"/>
  <c r="N33" i="23183"/>
  <c r="C33" i="23183"/>
  <c r="O33" i="23183"/>
  <c r="D33" i="23183"/>
  <c r="G33" i="23183"/>
  <c r="L33" i="23183"/>
  <c r="M33" i="23183"/>
  <c r="E21" i="23183"/>
  <c r="D21" i="23183"/>
  <c r="P21" i="23183"/>
  <c r="F15" i="23201" s="1"/>
  <c r="C21" i="23183"/>
  <c r="N21" i="23183"/>
  <c r="M21" i="23183"/>
  <c r="L21" i="23183"/>
  <c r="K21" i="23183"/>
  <c r="J21" i="23183"/>
  <c r="I21" i="23183"/>
  <c r="H21" i="23183"/>
  <c r="G21" i="23183"/>
  <c r="F21" i="23183"/>
  <c r="E16" i="23201" s="1"/>
  <c r="N86" i="23183"/>
  <c r="H85" i="23183"/>
  <c r="E83" i="23183"/>
  <c r="M81" i="23183"/>
  <c r="O78" i="23183"/>
  <c r="I71" i="23183"/>
  <c r="K69" i="23183"/>
  <c r="M65" i="23183"/>
  <c r="P61" i="23183"/>
  <c r="L57" i="23183"/>
  <c r="M53" i="23183"/>
  <c r="P50" i="23183"/>
  <c r="N74" i="23183"/>
  <c r="F74" i="23183"/>
  <c r="M74" i="23183"/>
  <c r="O74" i="23183"/>
  <c r="C74" i="23183"/>
  <c r="Q74" i="23183"/>
  <c r="D74" i="23183"/>
  <c r="E74" i="23183"/>
  <c r="G74" i="23183"/>
  <c r="N30" i="23183"/>
  <c r="C30" i="23183"/>
  <c r="O30" i="23183"/>
  <c r="E30" i="23183"/>
  <c r="Q30" i="23183"/>
  <c r="F30" i="23183"/>
  <c r="G30" i="23183"/>
  <c r="H30" i="23183"/>
  <c r="I30" i="23183"/>
  <c r="K30" i="23183"/>
  <c r="L30" i="23183"/>
  <c r="D30" i="23183"/>
  <c r="J30" i="23183"/>
  <c r="M30" i="23183"/>
  <c r="P30" i="23183"/>
  <c r="I77" i="23183"/>
  <c r="H77" i="23183"/>
  <c r="J77" i="23183"/>
  <c r="L77" i="23183"/>
  <c r="M77" i="23183"/>
  <c r="N77" i="23183"/>
  <c r="O66" i="23183"/>
  <c r="Q77" i="23183"/>
  <c r="L80" i="23183"/>
  <c r="C80" i="23183"/>
  <c r="P80" i="23183"/>
  <c r="D80" i="23183"/>
  <c r="Q80" i="23183"/>
  <c r="F80" i="23183"/>
  <c r="G80" i="23183"/>
  <c r="H80" i="23183"/>
  <c r="H68" i="23183"/>
  <c r="L68" i="23183"/>
  <c r="C68" i="23183"/>
  <c r="Q68" i="23183"/>
  <c r="D68" i="23183"/>
  <c r="F68" i="23183"/>
  <c r="G68" i="23183"/>
  <c r="I68" i="23183"/>
  <c r="J68" i="23183"/>
  <c r="H56" i="23183"/>
  <c r="K56" i="23183"/>
  <c r="L56" i="23183"/>
  <c r="M56" i="23183"/>
  <c r="P56" i="23183"/>
  <c r="Q56" i="23183"/>
  <c r="C56" i="23183"/>
  <c r="D56" i="23183"/>
  <c r="E56" i="23183"/>
  <c r="F56" i="23183"/>
  <c r="J56" i="23183"/>
  <c r="N56" i="23183"/>
  <c r="H44" i="23183"/>
  <c r="K44" i="23183"/>
  <c r="L44" i="23183"/>
  <c r="M44" i="23183"/>
  <c r="N44" i="23183"/>
  <c r="J44" i="23183"/>
  <c r="O44" i="23183"/>
  <c r="Q44" i="23183"/>
  <c r="C44" i="23183"/>
  <c r="F44" i="23183"/>
  <c r="G44" i="23183"/>
  <c r="H32" i="23183"/>
  <c r="I32" i="23183"/>
  <c r="K32" i="23183"/>
  <c r="L32" i="23183"/>
  <c r="M32" i="23183"/>
  <c r="N32" i="23183"/>
  <c r="C32" i="23183"/>
  <c r="E32" i="23183"/>
  <c r="Q32" i="23183"/>
  <c r="F32" i="23183"/>
  <c r="D32" i="23183"/>
  <c r="G32" i="23183"/>
  <c r="J32" i="23183"/>
  <c r="O32" i="23183"/>
  <c r="P32" i="23183"/>
  <c r="F20" i="23183"/>
  <c r="E15" i="23201" s="1"/>
  <c r="E20" i="23183"/>
  <c r="D20" i="23183"/>
  <c r="P20" i="23183"/>
  <c r="F14" i="23201" s="1"/>
  <c r="C20" i="23183"/>
  <c r="N20" i="23183"/>
  <c r="M20" i="23183"/>
  <c r="L20" i="23183"/>
  <c r="K20" i="23183"/>
  <c r="J20" i="23183"/>
  <c r="I20" i="23183"/>
  <c r="H20" i="23183"/>
  <c r="G20" i="23183"/>
  <c r="M86" i="23183"/>
  <c r="G85" i="23183"/>
  <c r="E80" i="23183"/>
  <c r="N78" i="23183"/>
  <c r="E77" i="23183"/>
  <c r="J74" i="23183"/>
  <c r="D71" i="23183"/>
  <c r="G65" i="23183"/>
  <c r="O61" i="23183"/>
  <c r="C57" i="23183"/>
  <c r="C53" i="23183"/>
  <c r="O50" i="23183"/>
  <c r="E44" i="23183"/>
  <c r="C79" i="23183"/>
  <c r="O79" i="23183"/>
  <c r="E79" i="23183"/>
  <c r="F79" i="23183"/>
  <c r="H79" i="23183"/>
  <c r="I79" i="23183"/>
  <c r="J79" i="23183"/>
  <c r="K67" i="23183"/>
  <c r="C67" i="23183"/>
  <c r="O67" i="23183"/>
  <c r="D67" i="23183"/>
  <c r="E67" i="23183"/>
  <c r="G67" i="23183"/>
  <c r="H67" i="23183"/>
  <c r="I67" i="23183"/>
  <c r="J67" i="23183"/>
  <c r="K55" i="23183"/>
  <c r="N55" i="23183"/>
  <c r="C55" i="23183"/>
  <c r="O55" i="23183"/>
  <c r="D55" i="23183"/>
  <c r="P55" i="23183"/>
  <c r="E55" i="23183"/>
  <c r="Q55" i="23183"/>
  <c r="J55" i="23183"/>
  <c r="L55" i="23183"/>
  <c r="G55" i="23183"/>
  <c r="H55" i="23183"/>
  <c r="K43" i="23183"/>
  <c r="N43" i="23183"/>
  <c r="C43" i="23183"/>
  <c r="O43" i="23183"/>
  <c r="D43" i="23183"/>
  <c r="P43" i="23183"/>
  <c r="E43" i="23183"/>
  <c r="Q43" i="23183"/>
  <c r="G43" i="23183"/>
  <c r="H43" i="23183"/>
  <c r="J43" i="23183"/>
  <c r="L43" i="23183"/>
  <c r="M43" i="23183"/>
  <c r="K31" i="23183"/>
  <c r="L31" i="23183"/>
  <c r="N31" i="23183"/>
  <c r="C31" i="23183"/>
  <c r="O31" i="23183"/>
  <c r="D31" i="23183"/>
  <c r="P31" i="23183"/>
  <c r="E31" i="23183"/>
  <c r="Q31" i="23183"/>
  <c r="F31" i="23183"/>
  <c r="H31" i="23183"/>
  <c r="I31" i="23183"/>
  <c r="J31" i="23183"/>
  <c r="M31" i="23183"/>
  <c r="G19" i="23183"/>
  <c r="F19" i="23183"/>
  <c r="E14" i="23201" s="1"/>
  <c r="E19" i="23183"/>
  <c r="D19" i="23183"/>
  <c r="P19" i="23183"/>
  <c r="F13" i="23201" s="1"/>
  <c r="C19" i="23183"/>
  <c r="E38" i="39" s="1"/>
  <c r="N19" i="23183"/>
  <c r="M19" i="23183"/>
  <c r="L19" i="23183"/>
  <c r="K19" i="23183"/>
  <c r="J19" i="23183"/>
  <c r="I19" i="23183"/>
  <c r="H19" i="23183"/>
  <c r="L86" i="23183"/>
  <c r="E85" i="23183"/>
  <c r="N82" i="23183"/>
  <c r="K81" i="23183"/>
  <c r="Q79" i="23183"/>
  <c r="M78" i="23183"/>
  <c r="D77" i="23183"/>
  <c r="I74" i="23183"/>
  <c r="O70" i="23183"/>
  <c r="P68" i="23183"/>
  <c r="Q66" i="23183"/>
  <c r="C65" i="23183"/>
  <c r="J61" i="23183"/>
  <c r="P59" i="23183"/>
  <c r="O56" i="23183"/>
  <c r="I50" i="23183"/>
  <c r="D44" i="23183"/>
  <c r="G51" i="23183"/>
  <c r="G41" i="23183"/>
  <c r="J39" i="23183"/>
  <c r="M63" i="23183"/>
  <c r="P36" i="23183"/>
  <c r="P29" i="23183"/>
  <c r="E41" i="23183"/>
  <c r="Q41" i="23183"/>
  <c r="H41" i="23183"/>
  <c r="I41" i="23183"/>
  <c r="J41" i="23183"/>
  <c r="K41" i="23183"/>
  <c r="N41" i="23183"/>
  <c r="C41" i="23183"/>
  <c r="L63" i="23183"/>
  <c r="E29" i="23183"/>
  <c r="Q29" i="23183"/>
  <c r="F29" i="23183"/>
  <c r="H29" i="23183"/>
  <c r="I29" i="23183"/>
  <c r="J29" i="23183"/>
  <c r="K29" i="23183"/>
  <c r="L29" i="23183"/>
  <c r="N29" i="23183"/>
  <c r="C29" i="23183"/>
  <c r="O29" i="23183"/>
  <c r="G87" i="23183"/>
  <c r="E75" i="23183"/>
  <c r="H18" i="23183"/>
  <c r="G18" i="23183"/>
  <c r="F18" i="23183"/>
  <c r="E13" i="23201" s="1"/>
  <c r="E18" i="23183"/>
  <c r="D18" i="23183"/>
  <c r="P18" i="23183"/>
  <c r="C18" i="23183"/>
  <c r="N18" i="23183"/>
  <c r="M18" i="23183"/>
  <c r="L18" i="23183"/>
  <c r="K18" i="23183"/>
  <c r="J18" i="23183"/>
  <c r="H64" i="23183"/>
  <c r="L64" i="23183"/>
  <c r="H52" i="23183"/>
  <c r="K52" i="23183"/>
  <c r="L52" i="23183"/>
  <c r="M52" i="23183"/>
  <c r="N52" i="23183"/>
  <c r="H40" i="23183"/>
  <c r="K40" i="23183"/>
  <c r="L40" i="23183"/>
  <c r="M40" i="23183"/>
  <c r="N40" i="23183"/>
  <c r="E40" i="23183"/>
  <c r="Q40" i="23183"/>
  <c r="F40" i="23183"/>
  <c r="H28" i="23183"/>
  <c r="I28" i="23183"/>
  <c r="K28" i="23183"/>
  <c r="L28" i="23183"/>
  <c r="M28" i="23183"/>
  <c r="N28" i="23183"/>
  <c r="C28" i="23183"/>
  <c r="O28" i="23183"/>
  <c r="E28" i="23183"/>
  <c r="Q28" i="23183"/>
  <c r="F28" i="23183"/>
  <c r="F87" i="23183"/>
  <c r="M84" i="23183"/>
  <c r="O76" i="23183"/>
  <c r="Q75" i="23183"/>
  <c r="E72" i="23183"/>
  <c r="J64" i="23183"/>
  <c r="J60" i="23183"/>
  <c r="C52" i="23183"/>
  <c r="I40" i="23183"/>
  <c r="J36" i="23183"/>
  <c r="G29" i="23183"/>
  <c r="I18" i="23183"/>
  <c r="C75" i="23183"/>
  <c r="O75" i="23183"/>
  <c r="K63" i="23183"/>
  <c r="C63" i="23183"/>
  <c r="O63" i="23183"/>
  <c r="K51" i="23183"/>
  <c r="N51" i="23183"/>
  <c r="C51" i="23183"/>
  <c r="O51" i="23183"/>
  <c r="D51" i="23183"/>
  <c r="P51" i="23183"/>
  <c r="E51" i="23183"/>
  <c r="Q51" i="23183"/>
  <c r="K39" i="23183"/>
  <c r="N39" i="23183"/>
  <c r="C39" i="23183"/>
  <c r="O39" i="23183"/>
  <c r="D39" i="23183"/>
  <c r="P39" i="23183"/>
  <c r="E39" i="23183"/>
  <c r="Q39" i="23183"/>
  <c r="H39" i="23183"/>
  <c r="I39" i="23183"/>
  <c r="K27" i="23183"/>
  <c r="L27" i="23183"/>
  <c r="M27" i="23183"/>
  <c r="N27" i="23183"/>
  <c r="C27" i="23183"/>
  <c r="O27" i="23183"/>
  <c r="D27" i="23183"/>
  <c r="P27" i="23183"/>
  <c r="E27" i="23183"/>
  <c r="Q27" i="23183"/>
  <c r="F27" i="23183"/>
  <c r="G27" i="23183"/>
  <c r="H27" i="23183"/>
  <c r="I27" i="23183"/>
  <c r="Q87" i="23183"/>
  <c r="E87" i="23183"/>
  <c r="N76" i="23183"/>
  <c r="P75" i="23183"/>
  <c r="I64" i="23183"/>
  <c r="I63" i="23183"/>
  <c r="M51" i="23183"/>
  <c r="G40" i="23183"/>
  <c r="D29" i="23183"/>
  <c r="J51" i="23183"/>
  <c r="M75" i="23183"/>
  <c r="G63" i="23183"/>
  <c r="O41" i="23183"/>
  <c r="H72" i="23183"/>
  <c r="L72" i="23183"/>
  <c r="H60" i="23183"/>
  <c r="K60" i="23183"/>
  <c r="L60" i="23183"/>
  <c r="H48" i="23183"/>
  <c r="K48" i="23183"/>
  <c r="L48" i="23183"/>
  <c r="M48" i="23183"/>
  <c r="N48" i="23183"/>
  <c r="H36" i="23183"/>
  <c r="K36" i="23183"/>
  <c r="L36" i="23183"/>
  <c r="M36" i="23183"/>
  <c r="N36" i="23183"/>
  <c r="E36" i="23183"/>
  <c r="Q36" i="23183"/>
  <c r="F36" i="23183"/>
  <c r="H24" i="23183"/>
  <c r="I24" i="23183"/>
  <c r="J24" i="23183"/>
  <c r="K24" i="23183"/>
  <c r="L24" i="23183"/>
  <c r="M24" i="23183"/>
  <c r="N24" i="23183"/>
  <c r="C24" i="23183"/>
  <c r="D24" i="23183"/>
  <c r="P24" i="23183"/>
  <c r="F18" i="23201" s="1"/>
  <c r="E24" i="23183"/>
  <c r="F24" i="23183"/>
  <c r="H84" i="23183"/>
  <c r="J76" i="23183"/>
  <c r="L75" i="23183"/>
  <c r="O72" i="23183"/>
  <c r="E64" i="23183"/>
  <c r="F63" i="23183"/>
  <c r="E60" i="23183"/>
  <c r="P52" i="23183"/>
  <c r="I51" i="23183"/>
  <c r="O48" i="23183"/>
  <c r="M41" i="23183"/>
  <c r="M39" i="23183"/>
  <c r="C36" i="23183"/>
  <c r="G28" i="23183"/>
  <c r="F14" i="23175"/>
  <c r="F59" i="23184" l="1"/>
  <c r="E52" i="23201"/>
  <c r="L27" i="23184"/>
  <c r="V59" i="23184"/>
  <c r="AH59" i="23184"/>
  <c r="P62" i="23184"/>
  <c r="AE33" i="23184"/>
  <c r="AE62" i="23184"/>
  <c r="AF59" i="23184"/>
  <c r="O59" i="23184"/>
  <c r="AF74" i="23184"/>
  <c r="B43" i="23184"/>
  <c r="B61" i="23184"/>
  <c r="L26" i="23184"/>
  <c r="E53" i="23201"/>
  <c r="AS63" i="23184"/>
  <c r="AP63" i="23184"/>
  <c r="AA44" i="23184"/>
  <c r="AK43" i="23184"/>
  <c r="AU43" i="23184"/>
  <c r="AD14" i="23184"/>
  <c r="AG27" i="23184"/>
  <c r="E64" i="23201"/>
  <c r="AL56" i="23184"/>
  <c r="AP45" i="23184"/>
  <c r="J71" i="23184"/>
  <c r="AV34" i="23184"/>
  <c r="F19" i="23184"/>
  <c r="F25" i="23201"/>
  <c r="D25" i="23201" s="1"/>
  <c r="E36" i="23201"/>
  <c r="AG19" i="23184"/>
  <c r="AU56" i="23184"/>
  <c r="AM34" i="23184"/>
  <c r="AA55" i="23184"/>
  <c r="N19" i="23184"/>
  <c r="AH19" i="23184"/>
  <c r="E66" i="23201"/>
  <c r="N27" i="23184"/>
  <c r="O19" i="23184"/>
  <c r="I19" i="23184"/>
  <c r="P19" i="23184"/>
  <c r="AB19" i="23184"/>
  <c r="Z19" i="23184"/>
  <c r="K27" i="23184"/>
  <c r="Y19" i="23184"/>
  <c r="AH27" i="23184"/>
  <c r="AF19" i="23184"/>
  <c r="E19" i="23184"/>
  <c r="AE19" i="23184"/>
  <c r="AM19" i="23184"/>
  <c r="G19" i="23184"/>
  <c r="L19" i="23184"/>
  <c r="AD19" i="23184"/>
  <c r="M19" i="23184"/>
  <c r="AC19" i="23184"/>
  <c r="E81" i="23184"/>
  <c r="B18" i="23184"/>
  <c r="X19" i="23184"/>
  <c r="AI19" i="23184"/>
  <c r="AK56" i="23184"/>
  <c r="AL71" i="23184"/>
  <c r="AS56" i="23184"/>
  <c r="AL34" i="23184"/>
  <c r="M56" i="23184"/>
  <c r="AK34" i="23184"/>
  <c r="AO45" i="23184"/>
  <c r="AU34" i="23184"/>
  <c r="AU45" i="23184"/>
  <c r="N71" i="23184"/>
  <c r="AK71" i="23184"/>
  <c r="AO50" i="23184"/>
  <c r="AM56" i="23184"/>
  <c r="AS71" i="23184"/>
  <c r="BN25" i="23183"/>
  <c r="BP25" i="23183" s="1"/>
  <c r="AS25" i="23183"/>
  <c r="AY25" i="23183" s="1"/>
  <c r="AU25" i="23183"/>
  <c r="BA25" i="23183" s="1"/>
  <c r="O25" i="23183"/>
  <c r="Q25" i="23183" s="1"/>
  <c r="CT25" i="23183"/>
  <c r="CZ25" i="23183" s="1"/>
  <c r="AT25" i="23183"/>
  <c r="AZ25" i="23183" s="1"/>
  <c r="CR25" i="23183"/>
  <c r="CX25" i="23183" s="1"/>
  <c r="CS25" i="23183"/>
  <c r="CY25" i="23183" s="1"/>
  <c r="CT23" i="23183"/>
  <c r="CZ23" i="23183" s="1"/>
  <c r="CR23" i="23183"/>
  <c r="CX23" i="23183" s="1"/>
  <c r="AN63" i="23184"/>
  <c r="AN56" i="23184"/>
  <c r="AS45" i="23184"/>
  <c r="AM71" i="23184"/>
  <c r="CT24" i="23183"/>
  <c r="CZ24" i="23183" s="1"/>
  <c r="AK19" i="23184"/>
  <c r="AO56" i="23184"/>
  <c r="P71" i="23184"/>
  <c r="V71" i="23184"/>
  <c r="I37" i="23184"/>
  <c r="H26" i="23184"/>
  <c r="AM43" i="23184"/>
  <c r="AM45" i="23184"/>
  <c r="AN71" i="23184"/>
  <c r="AN34" i="23184"/>
  <c r="AO43" i="23184"/>
  <c r="AL45" i="23184"/>
  <c r="Q71" i="23184"/>
  <c r="AO34" i="23184"/>
  <c r="CS24" i="23183"/>
  <c r="CY24" i="23183" s="1"/>
  <c r="H51" i="23184"/>
  <c r="K56" i="23184"/>
  <c r="AK45" i="23184"/>
  <c r="AO71" i="23184"/>
  <c r="AP34" i="23184"/>
  <c r="AV56" i="23184"/>
  <c r="AN45" i="23184"/>
  <c r="AP71" i="23184"/>
  <c r="AS34" i="23184"/>
  <c r="CR24" i="23183"/>
  <c r="CX24" i="23183" s="1"/>
  <c r="CS23" i="23183"/>
  <c r="CY23" i="23183" s="1"/>
  <c r="O24" i="23183"/>
  <c r="Q24" i="23183" s="1"/>
  <c r="BN24" i="23183"/>
  <c r="BP24" i="23183" s="1"/>
  <c r="AT24" i="23183"/>
  <c r="AZ24" i="23183" s="1"/>
  <c r="AU24" i="23183"/>
  <c r="BA24" i="23183" s="1"/>
  <c r="AS24" i="23183"/>
  <c r="AY24" i="23183" s="1"/>
  <c r="J51" i="23200"/>
  <c r="D51" i="23200"/>
  <c r="E51" i="23200"/>
  <c r="F51" i="23200"/>
  <c r="G51" i="23200"/>
  <c r="H51" i="23200"/>
  <c r="I51" i="23200"/>
  <c r="H53" i="23200"/>
  <c r="I53" i="23200"/>
  <c r="J53" i="23200"/>
  <c r="D53" i="23200"/>
  <c r="E53" i="23200"/>
  <c r="F53" i="23200"/>
  <c r="G53" i="23200"/>
  <c r="D42" i="23200"/>
  <c r="E42" i="23200"/>
  <c r="F42" i="23200"/>
  <c r="G42" i="23200"/>
  <c r="H42" i="23200"/>
  <c r="I42" i="23200"/>
  <c r="J42" i="23200"/>
  <c r="G55" i="23200"/>
  <c r="H55" i="23200"/>
  <c r="J55" i="23200"/>
  <c r="I55" i="23200"/>
  <c r="D55" i="23200"/>
  <c r="E55" i="23200"/>
  <c r="F55" i="23200"/>
  <c r="D44" i="23200"/>
  <c r="E44" i="23200"/>
  <c r="F44" i="23200"/>
  <c r="G44" i="23200"/>
  <c r="H44" i="23200"/>
  <c r="I44" i="23200"/>
  <c r="J44" i="23200"/>
  <c r="D33" i="23200"/>
  <c r="E33" i="23200"/>
  <c r="F33" i="23200"/>
  <c r="G33" i="23200"/>
  <c r="H33" i="23200"/>
  <c r="I33" i="23200"/>
  <c r="J33" i="23200"/>
  <c r="I22" i="23200"/>
  <c r="J22" i="23200"/>
  <c r="D22" i="23200"/>
  <c r="E22" i="23200"/>
  <c r="F22" i="23200"/>
  <c r="G22" i="23200"/>
  <c r="H22" i="23200"/>
  <c r="J70" i="23200"/>
  <c r="D70" i="23200"/>
  <c r="E70" i="23200"/>
  <c r="F70" i="23200"/>
  <c r="G70" i="23200"/>
  <c r="H70" i="23200"/>
  <c r="I70" i="23200"/>
  <c r="D59" i="23200"/>
  <c r="E59" i="23200"/>
  <c r="F59" i="23200"/>
  <c r="G59" i="23200"/>
  <c r="H59" i="23200"/>
  <c r="I59" i="23200"/>
  <c r="J59" i="23200"/>
  <c r="G36" i="23200"/>
  <c r="H36" i="23200"/>
  <c r="J36" i="23200"/>
  <c r="I36" i="23200"/>
  <c r="D36" i="23200"/>
  <c r="E36" i="23200"/>
  <c r="F36" i="23200"/>
  <c r="D25" i="23200"/>
  <c r="E25" i="23200"/>
  <c r="F25" i="23200"/>
  <c r="G25" i="23200"/>
  <c r="H25" i="23200"/>
  <c r="I25" i="23200"/>
  <c r="J25" i="23200"/>
  <c r="F62" i="23200"/>
  <c r="G62" i="23200"/>
  <c r="I62" i="23200"/>
  <c r="J62" i="23200"/>
  <c r="D62" i="23200"/>
  <c r="E62" i="23200"/>
  <c r="H62" i="23200"/>
  <c r="F64" i="23200"/>
  <c r="D64" i="23200"/>
  <c r="E64" i="23200"/>
  <c r="G64" i="23200"/>
  <c r="H64" i="23200"/>
  <c r="I64" i="23200"/>
  <c r="J64" i="23200"/>
  <c r="E14" i="23200"/>
  <c r="F14" i="23200"/>
  <c r="H14" i="23200"/>
  <c r="G14" i="23200"/>
  <c r="I14" i="23200"/>
  <c r="J14" i="23200"/>
  <c r="D14" i="23200"/>
  <c r="J63" i="23200"/>
  <c r="F63" i="23200"/>
  <c r="D63" i="23200"/>
  <c r="E63" i="23200"/>
  <c r="G63" i="23200"/>
  <c r="H63" i="23200"/>
  <c r="I63" i="23200"/>
  <c r="D16" i="23200"/>
  <c r="E16" i="23200"/>
  <c r="F16" i="23200"/>
  <c r="G16" i="23200"/>
  <c r="H16" i="23200"/>
  <c r="I16" i="23200"/>
  <c r="J16" i="23200"/>
  <c r="I65" i="23200"/>
  <c r="J65" i="23200"/>
  <c r="D65" i="23200"/>
  <c r="E65" i="23200"/>
  <c r="F65" i="23200"/>
  <c r="G65" i="23200"/>
  <c r="H65" i="23200"/>
  <c r="D54" i="23200"/>
  <c r="E54" i="23200"/>
  <c r="F54" i="23200"/>
  <c r="G54" i="23200"/>
  <c r="H54" i="23200"/>
  <c r="I54" i="23200"/>
  <c r="J54" i="23200"/>
  <c r="F19" i="23200"/>
  <c r="G19" i="23200"/>
  <c r="H19" i="23200"/>
  <c r="I19" i="23200"/>
  <c r="J19" i="23200"/>
  <c r="D19" i="23200"/>
  <c r="E19" i="23200"/>
  <c r="G67" i="23200"/>
  <c r="H67" i="23200"/>
  <c r="J67" i="23200"/>
  <c r="F67" i="23200"/>
  <c r="I67" i="23200"/>
  <c r="D67" i="23200"/>
  <c r="E67" i="23200"/>
  <c r="D56" i="23200"/>
  <c r="E56" i="23200"/>
  <c r="F56" i="23200"/>
  <c r="G56" i="23200"/>
  <c r="H56" i="23200"/>
  <c r="I56" i="23200"/>
  <c r="J56" i="23200"/>
  <c r="D45" i="23200"/>
  <c r="E45" i="23200"/>
  <c r="G45" i="23200"/>
  <c r="F45" i="23200"/>
  <c r="H45" i="23200"/>
  <c r="I45" i="23200"/>
  <c r="J45" i="23200"/>
  <c r="I34" i="23200"/>
  <c r="J34" i="23200"/>
  <c r="D34" i="23200"/>
  <c r="E34" i="23200"/>
  <c r="F34" i="23200"/>
  <c r="G34" i="23200"/>
  <c r="H34" i="23200"/>
  <c r="D23" i="23200"/>
  <c r="E23" i="23200"/>
  <c r="F23" i="23200"/>
  <c r="G23" i="23200"/>
  <c r="H23" i="23200"/>
  <c r="I23" i="23200"/>
  <c r="J23" i="23200"/>
  <c r="D71" i="23200"/>
  <c r="E71" i="23200"/>
  <c r="F71" i="23200"/>
  <c r="J71" i="23200"/>
  <c r="H71" i="23200"/>
  <c r="I71" i="23200"/>
  <c r="G71" i="23200"/>
  <c r="G48" i="23200"/>
  <c r="H48" i="23200"/>
  <c r="J48" i="23200"/>
  <c r="I48" i="23200"/>
  <c r="D48" i="23200"/>
  <c r="E48" i="23200"/>
  <c r="F48" i="23200"/>
  <c r="D37" i="23200"/>
  <c r="E37" i="23200"/>
  <c r="F37" i="23200"/>
  <c r="G37" i="23200"/>
  <c r="H37" i="23200"/>
  <c r="I37" i="23200"/>
  <c r="J37" i="23200"/>
  <c r="E26" i="23200"/>
  <c r="F26" i="23200"/>
  <c r="H26" i="23200"/>
  <c r="G26" i="23200"/>
  <c r="I26" i="23200"/>
  <c r="J26" i="23200"/>
  <c r="D26" i="23200"/>
  <c r="J15" i="23200"/>
  <c r="D15" i="23200"/>
  <c r="E15" i="23200"/>
  <c r="F15" i="23200"/>
  <c r="G15" i="23200"/>
  <c r="H15" i="23200"/>
  <c r="I15" i="23200"/>
  <c r="H17" i="23200"/>
  <c r="I17" i="23200"/>
  <c r="J17" i="23200"/>
  <c r="D17" i="23200"/>
  <c r="E17" i="23200"/>
  <c r="F17" i="23200"/>
  <c r="G17" i="23200"/>
  <c r="D28" i="23200"/>
  <c r="F28" i="23200"/>
  <c r="E28" i="23200"/>
  <c r="G28" i="23200"/>
  <c r="H28" i="23200"/>
  <c r="I28" i="23200"/>
  <c r="J28" i="23200"/>
  <c r="D18" i="23200"/>
  <c r="E18" i="23200"/>
  <c r="F18" i="23200"/>
  <c r="G18" i="23200"/>
  <c r="H18" i="23200"/>
  <c r="I18" i="23200"/>
  <c r="J18" i="23200"/>
  <c r="E66" i="23200"/>
  <c r="F66" i="23200"/>
  <c r="I66" i="23200"/>
  <c r="G66" i="23200"/>
  <c r="H66" i="23200"/>
  <c r="J66" i="23200"/>
  <c r="D66" i="23200"/>
  <c r="E38" i="23201"/>
  <c r="F31" i="23200"/>
  <c r="G31" i="23200"/>
  <c r="I31" i="23200"/>
  <c r="H31" i="23200"/>
  <c r="J31" i="23200"/>
  <c r="D31" i="23200"/>
  <c r="E31" i="23200"/>
  <c r="D20" i="23200"/>
  <c r="E20" i="23200"/>
  <c r="F20" i="23200"/>
  <c r="G20" i="23200"/>
  <c r="H20" i="23200"/>
  <c r="I20" i="23200"/>
  <c r="J20" i="23200"/>
  <c r="D68" i="23200"/>
  <c r="E68" i="23200"/>
  <c r="F68" i="23200"/>
  <c r="H68" i="23200"/>
  <c r="I68" i="23200"/>
  <c r="J68" i="23200"/>
  <c r="G68" i="23200"/>
  <c r="D57" i="23200"/>
  <c r="E57" i="23200"/>
  <c r="F57" i="23200"/>
  <c r="H57" i="23200"/>
  <c r="I57" i="23200"/>
  <c r="J57" i="23200"/>
  <c r="G57" i="23200"/>
  <c r="I46" i="23200"/>
  <c r="J46" i="23200"/>
  <c r="D46" i="23200"/>
  <c r="E46" i="23200"/>
  <c r="F46" i="23200"/>
  <c r="G46" i="23200"/>
  <c r="H46" i="23200"/>
  <c r="E35" i="23200"/>
  <c r="D35" i="23200"/>
  <c r="F35" i="23200"/>
  <c r="G35" i="23200"/>
  <c r="H35" i="23200"/>
  <c r="I35" i="23200"/>
  <c r="J35" i="23200"/>
  <c r="D13" i="23200"/>
  <c r="E13" i="23200"/>
  <c r="F13" i="23200"/>
  <c r="G13" i="23200"/>
  <c r="H13" i="23200"/>
  <c r="I13" i="23200"/>
  <c r="J13" i="23200"/>
  <c r="H60" i="23200"/>
  <c r="J60" i="23200"/>
  <c r="I60" i="23200"/>
  <c r="D60" i="23200"/>
  <c r="E60" i="23200"/>
  <c r="F60" i="23200"/>
  <c r="G60" i="23200"/>
  <c r="D49" i="23200"/>
  <c r="E49" i="23200"/>
  <c r="F49" i="23200"/>
  <c r="G49" i="23200"/>
  <c r="H49" i="23200"/>
  <c r="I49" i="23200"/>
  <c r="J49" i="23200"/>
  <c r="E38" i="23200"/>
  <c r="F38" i="23200"/>
  <c r="H38" i="23200"/>
  <c r="G38" i="23200"/>
  <c r="I38" i="23200"/>
  <c r="J38" i="23200"/>
  <c r="D38" i="23200"/>
  <c r="J27" i="23200"/>
  <c r="D27" i="23200"/>
  <c r="E27" i="23200"/>
  <c r="F27" i="23200"/>
  <c r="G27" i="23200"/>
  <c r="H27" i="23200"/>
  <c r="I27" i="23200"/>
  <c r="H29" i="23200"/>
  <c r="I29" i="23200"/>
  <c r="J29" i="23200"/>
  <c r="D29" i="23200"/>
  <c r="E29" i="23200"/>
  <c r="F29" i="23200"/>
  <c r="G29" i="23200"/>
  <c r="D40" i="23200"/>
  <c r="E40" i="23200"/>
  <c r="F40" i="23200"/>
  <c r="G40" i="23200"/>
  <c r="H40" i="23200"/>
  <c r="I40" i="23200"/>
  <c r="J40" i="23200"/>
  <c r="J39" i="23200"/>
  <c r="D39" i="23200"/>
  <c r="E39" i="23200"/>
  <c r="F39" i="23200"/>
  <c r="G39" i="23200"/>
  <c r="H39" i="23200"/>
  <c r="I39" i="23200"/>
  <c r="D30" i="23200"/>
  <c r="E30" i="23200"/>
  <c r="F30" i="23200"/>
  <c r="G30" i="23200"/>
  <c r="H30" i="23200"/>
  <c r="I30" i="23200"/>
  <c r="J30" i="23200"/>
  <c r="AV19" i="23184"/>
  <c r="F43" i="23200"/>
  <c r="G43" i="23200"/>
  <c r="H43" i="23200"/>
  <c r="I43" i="23200"/>
  <c r="J43" i="23200"/>
  <c r="D43" i="23200"/>
  <c r="E43" i="23200"/>
  <c r="D32" i="23200"/>
  <c r="E32" i="23200"/>
  <c r="F32" i="23200"/>
  <c r="G32" i="23200"/>
  <c r="H32" i="23200"/>
  <c r="I32" i="23200"/>
  <c r="J32" i="23200"/>
  <c r="D21" i="23200"/>
  <c r="E21" i="23200"/>
  <c r="G21" i="23200"/>
  <c r="F21" i="23200"/>
  <c r="H21" i="23200"/>
  <c r="I21" i="23200"/>
  <c r="J21" i="23200"/>
  <c r="E69" i="23200"/>
  <c r="G69" i="23200"/>
  <c r="F69" i="23200"/>
  <c r="H69" i="23200"/>
  <c r="I69" i="23200"/>
  <c r="J69" i="23200"/>
  <c r="D69" i="23200"/>
  <c r="I58" i="23200"/>
  <c r="J58" i="23200"/>
  <c r="D58" i="23200"/>
  <c r="E58" i="23200"/>
  <c r="F58" i="23200"/>
  <c r="G58" i="23200"/>
  <c r="H58" i="23200"/>
  <c r="E47" i="23200"/>
  <c r="D47" i="23200"/>
  <c r="F47" i="23200"/>
  <c r="G47" i="23200"/>
  <c r="H47" i="23200"/>
  <c r="I47" i="23200"/>
  <c r="J47" i="23200"/>
  <c r="G24" i="23200"/>
  <c r="H24" i="23200"/>
  <c r="J24" i="23200"/>
  <c r="I24" i="23200"/>
  <c r="D24" i="23200"/>
  <c r="E24" i="23200"/>
  <c r="F24" i="23200"/>
  <c r="H72" i="23200"/>
  <c r="I72" i="23200"/>
  <c r="J72" i="23200"/>
  <c r="D72" i="23200"/>
  <c r="G72" i="23200"/>
  <c r="E72" i="23200"/>
  <c r="F72" i="23200"/>
  <c r="D61" i="23200"/>
  <c r="E61" i="23200"/>
  <c r="F61" i="23200"/>
  <c r="G61" i="23200"/>
  <c r="H61" i="23200"/>
  <c r="I61" i="23200"/>
  <c r="J61" i="23200"/>
  <c r="E50" i="23200"/>
  <c r="F50" i="23200"/>
  <c r="G50" i="23200"/>
  <c r="H50" i="23200"/>
  <c r="I50" i="23200"/>
  <c r="J50" i="23200"/>
  <c r="D50" i="23200"/>
  <c r="D52" i="23200"/>
  <c r="E52" i="23200"/>
  <c r="F52" i="23200"/>
  <c r="G52" i="23200"/>
  <c r="H52" i="23200"/>
  <c r="I52" i="23200"/>
  <c r="J52" i="23200"/>
  <c r="H41" i="23200"/>
  <c r="I41" i="23200"/>
  <c r="J41" i="23200"/>
  <c r="D41" i="23200"/>
  <c r="E41" i="23200"/>
  <c r="F41" i="23200"/>
  <c r="G41" i="23200"/>
  <c r="S63" i="23184"/>
  <c r="O82" i="23184"/>
  <c r="G82" i="23184"/>
  <c r="D13" i="23201"/>
  <c r="N51" i="23184"/>
  <c r="AK63" i="23184"/>
  <c r="AV43" i="23184"/>
  <c r="AE31" i="23184"/>
  <c r="D14" i="23201"/>
  <c r="AU63" i="23184"/>
  <c r="AL43" i="23184"/>
  <c r="AV63" i="23184"/>
  <c r="AP43" i="23184"/>
  <c r="V51" i="23184"/>
  <c r="AM63" i="23184"/>
  <c r="AH51" i="23184"/>
  <c r="AB51" i="23184"/>
  <c r="AL31" i="23184"/>
  <c r="AS43" i="23184"/>
  <c r="D17" i="23201"/>
  <c r="D15" i="23201"/>
  <c r="D18" i="23201"/>
  <c r="D16" i="23201"/>
  <c r="AS23" i="23183"/>
  <c r="AY23" i="23183" s="1"/>
  <c r="AU23" i="23183"/>
  <c r="BA23" i="23183" s="1"/>
  <c r="O23" i="23183"/>
  <c r="Q23" i="23183" s="1"/>
  <c r="AT23" i="23183"/>
  <c r="AZ23" i="23183" s="1"/>
  <c r="BN23" i="23183"/>
  <c r="BP23" i="23183" s="1"/>
  <c r="U43" i="23184"/>
  <c r="T43" i="23184"/>
  <c r="AB37" i="23184"/>
  <c r="H37" i="23184"/>
  <c r="Z37" i="23184"/>
  <c r="F25" i="23184"/>
  <c r="M25" i="23184"/>
  <c r="Q25" i="23184"/>
  <c r="U34" i="23184"/>
  <c r="AD25" i="23184"/>
  <c r="AC32" i="23184"/>
  <c r="I4" i="23210"/>
  <c r="I4" i="23209"/>
  <c r="B68" i="23184"/>
  <c r="Y15" i="23184"/>
  <c r="J21" i="23184"/>
  <c r="J58" i="23184"/>
  <c r="AB15" i="23184"/>
  <c r="Y21" i="23184"/>
  <c r="R34" i="23184"/>
  <c r="AD58" i="23184"/>
  <c r="AB69" i="23184"/>
  <c r="F69" i="23184"/>
  <c r="H69" i="23184"/>
  <c r="AG32" i="23184"/>
  <c r="F35" i="23201"/>
  <c r="C35" i="23201" s="1"/>
  <c r="I72" i="23184"/>
  <c r="AH21" i="23184"/>
  <c r="G15" i="23184"/>
  <c r="I69" i="23184"/>
  <c r="O32" i="23184"/>
  <c r="K58" i="23184"/>
  <c r="Q69" i="23184"/>
  <c r="AG21" i="23184"/>
  <c r="E21" i="23184"/>
  <c r="G21" i="23184"/>
  <c r="O69" i="23184"/>
  <c r="AB21" i="23184"/>
  <c r="B14" i="23184"/>
  <c r="J69" i="23184"/>
  <c r="F21" i="23184"/>
  <c r="N32" i="23184"/>
  <c r="G32" i="23184"/>
  <c r="F15" i="23184"/>
  <c r="E69" i="23184"/>
  <c r="F58" i="23184"/>
  <c r="H32" i="23184"/>
  <c r="E15" i="23184"/>
  <c r="B57" i="23184"/>
  <c r="Z69" i="23184"/>
  <c r="O58" i="23184"/>
  <c r="Q32" i="23184"/>
  <c r="G69" i="23184"/>
  <c r="B31" i="23184"/>
  <c r="Q72" i="23184"/>
  <c r="V69" i="23184"/>
  <c r="P58" i="23184"/>
  <c r="X58" i="23184"/>
  <c r="J32" i="23184"/>
  <c r="E32" i="23184"/>
  <c r="H58" i="23184"/>
  <c r="I32" i="23184"/>
  <c r="I58" i="23184"/>
  <c r="G72" i="23184"/>
  <c r="B20" i="23184"/>
  <c r="Z72" i="23184"/>
  <c r="AD69" i="23184"/>
  <c r="AJ58" i="23184"/>
  <c r="Z32" i="23184"/>
  <c r="G58" i="23184"/>
  <c r="AF72" i="23184"/>
  <c r="AC69" i="23184"/>
  <c r="L21" i="23184"/>
  <c r="AA58" i="23184"/>
  <c r="X32" i="23184"/>
  <c r="E72" i="23184"/>
  <c r="P32" i="23184"/>
  <c r="AG69" i="23184"/>
  <c r="K21" i="23184"/>
  <c r="AF58" i="23184"/>
  <c r="AI32" i="23184"/>
  <c r="I21" i="23184"/>
  <c r="L69" i="23184"/>
  <c r="P69" i="23184"/>
  <c r="AI21" i="23184"/>
  <c r="F32" i="23184"/>
  <c r="G74" i="23184"/>
  <c r="E74" i="23184"/>
  <c r="O74" i="23184"/>
  <c r="N69" i="23184"/>
  <c r="AE21" i="23184"/>
  <c r="AI58" i="23184"/>
  <c r="AJ32" i="23184"/>
  <c r="F74" i="23184"/>
  <c r="B72" i="23184"/>
  <c r="K69" i="23184"/>
  <c r="Q74" i="23184"/>
  <c r="AA69" i="23184"/>
  <c r="X21" i="23184"/>
  <c r="AG58" i="23184"/>
  <c r="AA32" i="23184"/>
  <c r="AB74" i="23184"/>
  <c r="AE74" i="23184"/>
  <c r="AD74" i="23184"/>
  <c r="R71" i="23184"/>
  <c r="AC74" i="23184"/>
  <c r="AS74" i="23184"/>
  <c r="AI74" i="23184"/>
  <c r="AG74" i="23184"/>
  <c r="AI69" i="23184"/>
  <c r="M21" i="23184"/>
  <c r="L58" i="23184"/>
  <c r="AB32" i="23184"/>
  <c r="I74" i="23184"/>
  <c r="V74" i="23184"/>
  <c r="H74" i="23184"/>
  <c r="P74" i="23184"/>
  <c r="AA74" i="23184"/>
  <c r="AC73" i="23184"/>
  <c r="Y74" i="23184"/>
  <c r="S71" i="23184"/>
  <c r="S43" i="23184"/>
  <c r="M74" i="23184"/>
  <c r="AJ74" i="23184"/>
  <c r="X74" i="23184"/>
  <c r="U50" i="23184"/>
  <c r="B73" i="23184"/>
  <c r="K74" i="23184"/>
  <c r="AL63" i="23184"/>
  <c r="AN43" i="23184"/>
  <c r="AP56" i="23184"/>
  <c r="AV45" i="23184"/>
  <c r="AV71" i="23184"/>
  <c r="M34" i="23184"/>
  <c r="T34" i="23184"/>
  <c r="AP74" i="23184"/>
  <c r="H25" i="23184"/>
  <c r="E25" i="23184"/>
  <c r="B24" i="23184"/>
  <c r="AG72" i="23184"/>
  <c r="X25" i="23184"/>
  <c r="K50" i="23200"/>
  <c r="M50" i="23200"/>
  <c r="N50" i="23200"/>
  <c r="O50" i="23200"/>
  <c r="L50" i="23200"/>
  <c r="K52" i="23200"/>
  <c r="L52" i="23200"/>
  <c r="M52" i="23200"/>
  <c r="N52" i="23200"/>
  <c r="O52" i="23200"/>
  <c r="M41" i="23200"/>
  <c r="N41" i="23200"/>
  <c r="O41" i="23200"/>
  <c r="K41" i="23200"/>
  <c r="L41" i="23200"/>
  <c r="G25" i="23184"/>
  <c r="J72" i="23184"/>
  <c r="AE72" i="23184"/>
  <c r="Y25" i="23184"/>
  <c r="L72" i="23184"/>
  <c r="O55" i="23200"/>
  <c r="N55" i="23200"/>
  <c r="L55" i="23200"/>
  <c r="K55" i="23200"/>
  <c r="M55" i="23200"/>
  <c r="K44" i="23200"/>
  <c r="L44" i="23200"/>
  <c r="M44" i="23200"/>
  <c r="N44" i="23200"/>
  <c r="O44" i="23200"/>
  <c r="K33" i="23200"/>
  <c r="L33" i="23200"/>
  <c r="N33" i="23200"/>
  <c r="M33" i="23200"/>
  <c r="O33" i="23200"/>
  <c r="L22" i="23200"/>
  <c r="M22" i="23200"/>
  <c r="N22" i="23200"/>
  <c r="O22" i="23200"/>
  <c r="K22" i="23200"/>
  <c r="L70" i="23200"/>
  <c r="M70" i="23200"/>
  <c r="N70" i="23200"/>
  <c r="O70" i="23200"/>
  <c r="K70" i="23200"/>
  <c r="K59" i="23200"/>
  <c r="L59" i="23200"/>
  <c r="M59" i="23200"/>
  <c r="N59" i="23200"/>
  <c r="O59" i="23200"/>
  <c r="N36" i="23200"/>
  <c r="O36" i="23200"/>
  <c r="K36" i="23200"/>
  <c r="M36" i="23200"/>
  <c r="L36" i="23200"/>
  <c r="K25" i="23200"/>
  <c r="L25" i="23200"/>
  <c r="M25" i="23200"/>
  <c r="N25" i="23200"/>
  <c r="O25" i="23200"/>
  <c r="K51" i="23200"/>
  <c r="L51" i="23200"/>
  <c r="M51" i="23200"/>
  <c r="N51" i="23200"/>
  <c r="O51" i="23200"/>
  <c r="M53" i="23200"/>
  <c r="N53" i="23200"/>
  <c r="O53" i="23200"/>
  <c r="K53" i="23200"/>
  <c r="L53" i="23200"/>
  <c r="K42" i="23200"/>
  <c r="L42" i="23200"/>
  <c r="M42" i="23200"/>
  <c r="N42" i="23200"/>
  <c r="O42" i="23200"/>
  <c r="I25" i="23184"/>
  <c r="Y72" i="23184"/>
  <c r="AD72" i="23184"/>
  <c r="AI25" i="23184"/>
  <c r="K14" i="23200"/>
  <c r="L14" i="23200"/>
  <c r="M14" i="23200"/>
  <c r="N14" i="23200"/>
  <c r="O14" i="23200"/>
  <c r="K62" i="23200"/>
  <c r="N62" i="23200"/>
  <c r="O62" i="23200"/>
  <c r="L62" i="23200"/>
  <c r="M62" i="23200"/>
  <c r="K64" i="23200"/>
  <c r="L64" i="23200"/>
  <c r="M64" i="23200"/>
  <c r="N64" i="23200"/>
  <c r="O64" i="23200"/>
  <c r="AH72" i="23184"/>
  <c r="AC72" i="23184"/>
  <c r="O25" i="23184"/>
  <c r="AA25" i="23184"/>
  <c r="K63" i="23200"/>
  <c r="L63" i="23200"/>
  <c r="M63" i="23200"/>
  <c r="N63" i="23200"/>
  <c r="O63" i="23200"/>
  <c r="P72" i="23184"/>
  <c r="AI72" i="23184"/>
  <c r="V25" i="23184"/>
  <c r="AH25" i="23184"/>
  <c r="O19" i="23200"/>
  <c r="L19" i="23200"/>
  <c r="M19" i="23200"/>
  <c r="K19" i="23200"/>
  <c r="N19" i="23200"/>
  <c r="O67" i="23200"/>
  <c r="L67" i="23200"/>
  <c r="N67" i="23200"/>
  <c r="K67" i="23200"/>
  <c r="M67" i="23200"/>
  <c r="K56" i="23200"/>
  <c r="L56" i="23200"/>
  <c r="M56" i="23200"/>
  <c r="N56" i="23200"/>
  <c r="O56" i="23200"/>
  <c r="K45" i="23200"/>
  <c r="L45" i="23200"/>
  <c r="N45" i="23200"/>
  <c r="M45" i="23200"/>
  <c r="O45" i="23200"/>
  <c r="L34" i="23200"/>
  <c r="M34" i="23200"/>
  <c r="N34" i="23200"/>
  <c r="O34" i="23200"/>
  <c r="K34" i="23200"/>
  <c r="K23" i="23200"/>
  <c r="L23" i="23200"/>
  <c r="M23" i="23200"/>
  <c r="N23" i="23200"/>
  <c r="O23" i="23200"/>
  <c r="K71" i="23200"/>
  <c r="L71" i="23200"/>
  <c r="M71" i="23200"/>
  <c r="N71" i="23200"/>
  <c r="O71" i="23200"/>
  <c r="N48" i="23200"/>
  <c r="O48" i="23200"/>
  <c r="K48" i="23200"/>
  <c r="L48" i="23200"/>
  <c r="M48" i="23200"/>
  <c r="K37" i="23200"/>
  <c r="L37" i="23200"/>
  <c r="M37" i="23200"/>
  <c r="N37" i="23200"/>
  <c r="O37" i="23200"/>
  <c r="K16" i="23200"/>
  <c r="L16" i="23200"/>
  <c r="M16" i="23200"/>
  <c r="N16" i="23200"/>
  <c r="O16" i="23200"/>
  <c r="M65" i="23200"/>
  <c r="N65" i="23200"/>
  <c r="O65" i="23200"/>
  <c r="K65" i="23200"/>
  <c r="L65" i="23200"/>
  <c r="K54" i="23200"/>
  <c r="L54" i="23200"/>
  <c r="M54" i="23200"/>
  <c r="N54" i="23200"/>
  <c r="O54" i="23200"/>
  <c r="M72" i="23184"/>
  <c r="H72" i="23184"/>
  <c r="N25" i="23184"/>
  <c r="AF25" i="23184"/>
  <c r="N72" i="23184"/>
  <c r="T63" i="23184"/>
  <c r="K26" i="23200"/>
  <c r="M26" i="23200"/>
  <c r="O26" i="23200"/>
  <c r="L26" i="23200"/>
  <c r="N26" i="23200"/>
  <c r="O15" i="23200"/>
  <c r="K15" i="23200"/>
  <c r="M15" i="23200"/>
  <c r="L15" i="23200"/>
  <c r="N15" i="23200"/>
  <c r="K17" i="23200"/>
  <c r="L17" i="23200"/>
  <c r="M17" i="23200"/>
  <c r="O17" i="23200"/>
  <c r="N17" i="23200"/>
  <c r="V72" i="23184"/>
  <c r="AB25" i="23184"/>
  <c r="AC25" i="23184"/>
  <c r="O31" i="23200"/>
  <c r="L31" i="23200"/>
  <c r="M31" i="23200"/>
  <c r="K31" i="23200"/>
  <c r="N31" i="23200"/>
  <c r="K20" i="23200"/>
  <c r="L20" i="23200"/>
  <c r="M20" i="23200"/>
  <c r="O20" i="23200"/>
  <c r="N20" i="23200"/>
  <c r="K68" i="23200"/>
  <c r="L68" i="23200"/>
  <c r="M68" i="23200"/>
  <c r="N68" i="23200"/>
  <c r="O68" i="23200"/>
  <c r="N57" i="23200"/>
  <c r="K57" i="23200"/>
  <c r="M57" i="23200"/>
  <c r="L57" i="23200"/>
  <c r="O57" i="23200"/>
  <c r="L46" i="23200"/>
  <c r="M46" i="23200"/>
  <c r="N46" i="23200"/>
  <c r="O46" i="23200"/>
  <c r="K46" i="23200"/>
  <c r="K35" i="23200"/>
  <c r="L35" i="23200"/>
  <c r="M35" i="23200"/>
  <c r="N35" i="23200"/>
  <c r="O35" i="23200"/>
  <c r="N13" i="23200"/>
  <c r="O13" i="23200"/>
  <c r="K13" i="23200"/>
  <c r="M13" i="23200"/>
  <c r="L13" i="23200"/>
  <c r="N60" i="23200"/>
  <c r="O60" i="23200"/>
  <c r="K60" i="23200"/>
  <c r="L60" i="23200"/>
  <c r="M60" i="23200"/>
  <c r="K49" i="23200"/>
  <c r="L49" i="23200"/>
  <c r="M49" i="23200"/>
  <c r="N49" i="23200"/>
  <c r="O49" i="23200"/>
  <c r="K28" i="23200"/>
  <c r="L28" i="23200"/>
  <c r="M28" i="23200"/>
  <c r="O28" i="23200"/>
  <c r="N28" i="23200"/>
  <c r="K18" i="23200"/>
  <c r="L18" i="23200"/>
  <c r="M18" i="23200"/>
  <c r="N18" i="23200"/>
  <c r="O18" i="23200"/>
  <c r="K66" i="23200"/>
  <c r="L66" i="23200"/>
  <c r="M66" i="23200"/>
  <c r="N66" i="23200"/>
  <c r="O66" i="23200"/>
  <c r="AB72" i="23184"/>
  <c r="K25" i="23184"/>
  <c r="N38" i="23200"/>
  <c r="O38" i="23200"/>
  <c r="K38" i="23200"/>
  <c r="M38" i="23200"/>
  <c r="L38" i="23200"/>
  <c r="K27" i="23200"/>
  <c r="L27" i="23200"/>
  <c r="M27" i="23200"/>
  <c r="N27" i="23200"/>
  <c r="O27" i="23200"/>
  <c r="M29" i="23200"/>
  <c r="N29" i="23200"/>
  <c r="O29" i="23200"/>
  <c r="L29" i="23200"/>
  <c r="K29" i="23200"/>
  <c r="F72" i="23184"/>
  <c r="B71" i="23184"/>
  <c r="AJ72" i="23184"/>
  <c r="J25" i="23184"/>
  <c r="K40" i="23200"/>
  <c r="L40" i="23200"/>
  <c r="M40" i="23200"/>
  <c r="O40" i="23200"/>
  <c r="N40" i="23200"/>
  <c r="O43" i="23200"/>
  <c r="M43" i="23200"/>
  <c r="L43" i="23200"/>
  <c r="K43" i="23200"/>
  <c r="N43" i="23200"/>
  <c r="K32" i="23200"/>
  <c r="L32" i="23200"/>
  <c r="M32" i="23200"/>
  <c r="N32" i="23200"/>
  <c r="O32" i="23200"/>
  <c r="K21" i="23200"/>
  <c r="L21" i="23200"/>
  <c r="N21" i="23200"/>
  <c r="M21" i="23200"/>
  <c r="O21" i="23200"/>
  <c r="K69" i="23200"/>
  <c r="L69" i="23200"/>
  <c r="N69" i="23200"/>
  <c r="O69" i="23200"/>
  <c r="M69" i="23200"/>
  <c r="L58" i="23200"/>
  <c r="M58" i="23200"/>
  <c r="N58" i="23200"/>
  <c r="O58" i="23200"/>
  <c r="K58" i="23200"/>
  <c r="K47" i="23200"/>
  <c r="L47" i="23200"/>
  <c r="M47" i="23200"/>
  <c r="N47" i="23200"/>
  <c r="O47" i="23200"/>
  <c r="N24" i="23200"/>
  <c r="O24" i="23200"/>
  <c r="L24" i="23200"/>
  <c r="M24" i="23200"/>
  <c r="K24" i="23200"/>
  <c r="N72" i="23200"/>
  <c r="O72" i="23200"/>
  <c r="L72" i="23200"/>
  <c r="K72" i="23200"/>
  <c r="M72" i="23200"/>
  <c r="K61" i="23200"/>
  <c r="L61" i="23200"/>
  <c r="M61" i="23200"/>
  <c r="N61" i="23200"/>
  <c r="O61" i="23200"/>
  <c r="K39" i="23200"/>
  <c r="L39" i="23200"/>
  <c r="M39" i="23200"/>
  <c r="N39" i="23200"/>
  <c r="O39" i="23200"/>
  <c r="K30" i="23200"/>
  <c r="L30" i="23200"/>
  <c r="M30" i="23200"/>
  <c r="N30" i="23200"/>
  <c r="O30" i="23200"/>
  <c r="E55" i="23184"/>
  <c r="AI35" i="23184"/>
  <c r="V55" i="23184"/>
  <c r="B16" i="23184"/>
  <c r="Z55" i="23184"/>
  <c r="AK55" i="23184"/>
  <c r="F17" i="23184"/>
  <c r="AF55" i="23184"/>
  <c r="M17" i="23184"/>
  <c r="AU55" i="23184"/>
  <c r="AL17" i="23184"/>
  <c r="E17" i="23184"/>
  <c r="AD55" i="23184"/>
  <c r="AM55" i="23184"/>
  <c r="F55" i="23184"/>
  <c r="G55" i="23184"/>
  <c r="AC55" i="23184"/>
  <c r="P17" i="23184"/>
  <c r="E20" i="23184"/>
  <c r="B54" i="23184"/>
  <c r="AJ55" i="23184"/>
  <c r="X17" i="23184"/>
  <c r="X55" i="23184"/>
  <c r="AI55" i="23184"/>
  <c r="Y17" i="23184"/>
  <c r="O55" i="23184"/>
  <c r="AH55" i="23184"/>
  <c r="AI17" i="23184"/>
  <c r="J20" i="23184"/>
  <c r="N55" i="23184"/>
  <c r="V57" i="23184"/>
  <c r="AF17" i="23184"/>
  <c r="B45" i="23184"/>
  <c r="AC20" i="23184"/>
  <c r="M55" i="23184"/>
  <c r="AC17" i="23184"/>
  <c r="G17" i="23184"/>
  <c r="L55" i="23184"/>
  <c r="K55" i="23184"/>
  <c r="N38" i="23184"/>
  <c r="Z38" i="23184"/>
  <c r="AP55" i="23184"/>
  <c r="AE38" i="23184"/>
  <c r="G38" i="23184"/>
  <c r="AO38" i="23184"/>
  <c r="AN38" i="23184"/>
  <c r="T56" i="23184"/>
  <c r="B37" i="23184"/>
  <c r="E38" i="23184"/>
  <c r="AA38" i="23184"/>
  <c r="I38" i="23184"/>
  <c r="F38" i="23184"/>
  <c r="Y38" i="23184"/>
  <c r="X38" i="23184"/>
  <c r="AB38" i="23184"/>
  <c r="H38" i="23184"/>
  <c r="Y47" i="23184"/>
  <c r="P38" i="23184"/>
  <c r="AJ38" i="23184"/>
  <c r="AM38" i="23184"/>
  <c r="X47" i="23184"/>
  <c r="O38" i="23184"/>
  <c r="AF38" i="23184"/>
  <c r="AK38" i="23184"/>
  <c r="M38" i="23184"/>
  <c r="AD38" i="23184"/>
  <c r="AS38" i="23184"/>
  <c r="AV38" i="23184"/>
  <c r="Q38" i="23184"/>
  <c r="AC38" i="23184"/>
  <c r="Q36" i="23184"/>
  <c r="V38" i="23184"/>
  <c r="AI38" i="23184"/>
  <c r="L38" i="23184"/>
  <c r="AH38" i="23184"/>
  <c r="K38" i="23184"/>
  <c r="AG38" i="23184"/>
  <c r="AK17" i="23184"/>
  <c r="L17" i="23184"/>
  <c r="H55" i="23184"/>
  <c r="P35" i="23184"/>
  <c r="AB55" i="23184"/>
  <c r="I55" i="23184"/>
  <c r="AH17" i="23184"/>
  <c r="E65" i="23201"/>
  <c r="AV55" i="23184"/>
  <c r="U55" i="23184"/>
  <c r="Q57" i="23184"/>
  <c r="AG17" i="23184"/>
  <c r="AA70" i="23184"/>
  <c r="M69" i="23184"/>
  <c r="AH69" i="23184"/>
  <c r="M58" i="23184"/>
  <c r="Z21" i="23184"/>
  <c r="AF21" i="23184"/>
  <c r="AH58" i="23184"/>
  <c r="Y32" i="23184"/>
  <c r="AI44" i="23184"/>
  <c r="AP50" i="23184"/>
  <c r="AK50" i="23184"/>
  <c r="AN55" i="23184"/>
  <c r="T55" i="23184"/>
  <c r="U17" i="23184"/>
  <c r="S55" i="23184"/>
  <c r="AA46" i="23184"/>
  <c r="Y55" i="23184"/>
  <c r="K17" i="23184"/>
  <c r="AE17" i="23184"/>
  <c r="AO55" i="23184"/>
  <c r="S17" i="23184"/>
  <c r="X72" i="23184"/>
  <c r="AJ25" i="23184"/>
  <c r="AG25" i="23184"/>
  <c r="Q55" i="23184"/>
  <c r="AG55" i="23184"/>
  <c r="N50" i="23184"/>
  <c r="AE50" i="23184"/>
  <c r="J17" i="23184"/>
  <c r="AD17" i="23184"/>
  <c r="O72" i="23184"/>
  <c r="O31" i="23184"/>
  <c r="AE69" i="23184"/>
  <c r="AF69" i="23184"/>
  <c r="V58" i="23184"/>
  <c r="AE58" i="23184"/>
  <c r="M32" i="23184"/>
  <c r="AH32" i="23184"/>
  <c r="F47" i="23201"/>
  <c r="C47" i="23201" s="1"/>
  <c r="AU38" i="23184"/>
  <c r="AV50" i="23184"/>
  <c r="K19" i="23184"/>
  <c r="AL55" i="23184"/>
  <c r="AV69" i="23184"/>
  <c r="U19" i="23184"/>
  <c r="S56" i="23184"/>
  <c r="L25" i="23184"/>
  <c r="P55" i="23184"/>
  <c r="AE55" i="23184"/>
  <c r="Q50" i="23184"/>
  <c r="AC50" i="23184"/>
  <c r="Z33" i="23184"/>
  <c r="Q58" i="23184"/>
  <c r="O17" i="23184"/>
  <c r="AB17" i="23184"/>
  <c r="AC31" i="23184"/>
  <c r="AJ69" i="23184"/>
  <c r="AD22" i="23184"/>
  <c r="P21" i="23184"/>
  <c r="Z58" i="23184"/>
  <c r="AC58" i="23184"/>
  <c r="L32" i="23184"/>
  <c r="AF32" i="23184"/>
  <c r="AP38" i="23184"/>
  <c r="F46" i="23201"/>
  <c r="C46" i="23201" s="1"/>
  <c r="AO19" i="23184"/>
  <c r="J55" i="23184"/>
  <c r="AK21" i="23184"/>
  <c r="T50" i="23184"/>
  <c r="S19" i="23184"/>
  <c r="N17" i="23184"/>
  <c r="I17" i="23184"/>
  <c r="AA68" i="23184"/>
  <c r="Y69" i="23184"/>
  <c r="E22" i="23184"/>
  <c r="O21" i="23184"/>
  <c r="AD21" i="23184"/>
  <c r="Y58" i="23184"/>
  <c r="E58" i="23184"/>
  <c r="K32" i="23184"/>
  <c r="AE32" i="23184"/>
  <c r="AN62" i="23184"/>
  <c r="J19" i="23184"/>
  <c r="AO17" i="23184"/>
  <c r="S50" i="23184"/>
  <c r="R19" i="23184"/>
  <c r="Z17" i="23184"/>
  <c r="AC68" i="23184"/>
  <c r="X69" i="23184"/>
  <c r="N21" i="23184"/>
  <c r="AC21" i="23184"/>
  <c r="AB58" i="23184"/>
  <c r="V32" i="23184"/>
  <c r="AD32" i="23184"/>
  <c r="AS55" i="23184"/>
  <c r="AM17" i="23184"/>
  <c r="R50" i="23184"/>
  <c r="Y37" i="23184"/>
  <c r="Z82" i="23184"/>
  <c r="B36" i="23184"/>
  <c r="O37" i="23184"/>
  <c r="AI37" i="23184"/>
  <c r="AH82" i="23184"/>
  <c r="AB73" i="23184"/>
  <c r="AG82" i="23184"/>
  <c r="I82" i="23184"/>
  <c r="L37" i="23184"/>
  <c r="AH37" i="23184"/>
  <c r="X82" i="23184"/>
  <c r="AI66" i="23184"/>
  <c r="K37" i="23184"/>
  <c r="AG37" i="23184"/>
  <c r="AA82" i="23184"/>
  <c r="F82" i="23184"/>
  <c r="G37" i="23184"/>
  <c r="J37" i="23184"/>
  <c r="AF37" i="23184"/>
  <c r="AI82" i="23184"/>
  <c r="M37" i="23184"/>
  <c r="N37" i="23184"/>
  <c r="E37" i="23184"/>
  <c r="B81" i="23184"/>
  <c r="V37" i="23184"/>
  <c r="AE37" i="23184"/>
  <c r="AF82" i="23184"/>
  <c r="S45" i="23184"/>
  <c r="AA37" i="23184"/>
  <c r="H82" i="23184"/>
  <c r="E73" i="23184"/>
  <c r="F37" i="23184"/>
  <c r="AH60" i="23184"/>
  <c r="Q37" i="23184"/>
  <c r="AD37" i="23184"/>
  <c r="AE82" i="23184"/>
  <c r="X37" i="23184"/>
  <c r="AC37" i="23184"/>
  <c r="AC82" i="23184"/>
  <c r="U71" i="23184"/>
  <c r="R63" i="23184"/>
  <c r="Y82" i="23184"/>
  <c r="V82" i="23184"/>
  <c r="F17" i="23175"/>
  <c r="G54" i="23184"/>
  <c r="H54" i="23184"/>
  <c r="N54" i="23184"/>
  <c r="V54" i="23184"/>
  <c r="E80" i="23184"/>
  <c r="F64" i="23184"/>
  <c r="B53" i="23184"/>
  <c r="AK59" i="23184"/>
  <c r="G64" i="23184"/>
  <c r="O18" i="23184"/>
  <c r="O44" i="23184"/>
  <c r="AP59" i="23184"/>
  <c r="AI64" i="23184"/>
  <c r="O26" i="23184"/>
  <c r="AH26" i="23184"/>
  <c r="X26" i="23184"/>
  <c r="AG26" i="23184"/>
  <c r="F54" i="23184"/>
  <c r="E64" i="23184"/>
  <c r="H64" i="23184"/>
  <c r="M26" i="23184"/>
  <c r="I26" i="23184"/>
  <c r="L64" i="23184"/>
  <c r="Q26" i="23184"/>
  <c r="AB64" i="23184"/>
  <c r="AL27" i="23184"/>
  <c r="U45" i="23184"/>
  <c r="K26" i="23184"/>
  <c r="AM26" i="23184"/>
  <c r="F16" i="23184"/>
  <c r="AF26" i="23184"/>
  <c r="J26" i="23184"/>
  <c r="AL21" i="23184"/>
  <c r="AL58" i="23184"/>
  <c r="Z26" i="23184"/>
  <c r="B25" i="23184"/>
  <c r="AA26" i="23184"/>
  <c r="V26" i="23184"/>
  <c r="AE26" i="23184"/>
  <c r="G26" i="23184"/>
  <c r="AB26" i="23184"/>
  <c r="AD26" i="23184"/>
  <c r="Z54" i="23184"/>
  <c r="P26" i="23184"/>
  <c r="AI26" i="23184"/>
  <c r="Z60" i="23184"/>
  <c r="AG64" i="23184"/>
  <c r="AJ60" i="23184"/>
  <c r="X64" i="23184"/>
  <c r="AF64" i="23184"/>
  <c r="AE60" i="23184"/>
  <c r="L60" i="23184"/>
  <c r="N64" i="23184"/>
  <c r="AE64" i="23184"/>
  <c r="AD60" i="23184"/>
  <c r="AC42" i="23184"/>
  <c r="Q64" i="23184"/>
  <c r="I64" i="23184"/>
  <c r="H60" i="23184"/>
  <c r="B63" i="23184"/>
  <c r="Z64" i="23184"/>
  <c r="J60" i="23184"/>
  <c r="AA64" i="23184"/>
  <c r="I60" i="23184"/>
  <c r="O60" i="23184"/>
  <c r="N60" i="23184"/>
  <c r="V64" i="23184"/>
  <c r="M60" i="23184"/>
  <c r="AD64" i="23184"/>
  <c r="AI23" i="23184"/>
  <c r="X60" i="23184"/>
  <c r="AC64" i="23184"/>
  <c r="F60" i="23184"/>
  <c r="AB60" i="23184"/>
  <c r="AB82" i="23184"/>
  <c r="X53" i="23184"/>
  <c r="L82" i="23184"/>
  <c r="AD82" i="23184"/>
  <c r="AJ64" i="23184"/>
  <c r="B15" i="23184"/>
  <c r="G16" i="23184"/>
  <c r="E54" i="23184"/>
  <c r="J54" i="23184"/>
  <c r="E16" i="23184"/>
  <c r="E49" i="23184"/>
  <c r="AH14" i="23184"/>
  <c r="AI54" i="23184"/>
  <c r="L53" i="23184"/>
  <c r="O49" i="23184"/>
  <c r="AG14" i="23184"/>
  <c r="I54" i="23184"/>
  <c r="T45" i="23184"/>
  <c r="AA61" i="23184"/>
  <c r="J49" i="23184"/>
  <c r="AA49" i="23184"/>
  <c r="AE49" i="23184"/>
  <c r="X14" i="23184"/>
  <c r="AL14" i="23184"/>
  <c r="N14" i="23184"/>
  <c r="E39" i="23201"/>
  <c r="M14" i="23184"/>
  <c r="H49" i="23184"/>
  <c r="E14" i="23184"/>
  <c r="AB14" i="23184"/>
  <c r="I49" i="23184"/>
  <c r="Z14" i="23184"/>
  <c r="Y14" i="23184"/>
  <c r="Y54" i="23184"/>
  <c r="G36" i="23184"/>
  <c r="V36" i="23184"/>
  <c r="Y53" i="23184"/>
  <c r="AD36" i="23184"/>
  <c r="AA53" i="23184"/>
  <c r="G47" i="23184"/>
  <c r="G60" i="23184"/>
  <c r="B59" i="23184"/>
  <c r="AB47" i="23184"/>
  <c r="AA36" i="23184"/>
  <c r="AA60" i="23184"/>
  <c r="AH53" i="23184"/>
  <c r="L67" i="23184"/>
  <c r="AF14" i="23184"/>
  <c r="AH70" i="23184"/>
  <c r="L74" i="23184"/>
  <c r="T51" i="23184"/>
  <c r="B52" i="23184"/>
  <c r="G53" i="23184"/>
  <c r="AI36" i="23184"/>
  <c r="AG53" i="23184"/>
  <c r="AH67" i="23184"/>
  <c r="E72" i="23201"/>
  <c r="AF53" i="23184"/>
  <c r="AL33" i="23184"/>
  <c r="AE47" i="23184"/>
  <c r="P60" i="23184"/>
  <c r="AG60" i="23184"/>
  <c r="K53" i="23184"/>
  <c r="AE53" i="23184"/>
  <c r="P14" i="23184"/>
  <c r="AC14" i="23184"/>
  <c r="J70" i="23184"/>
  <c r="P70" i="23184"/>
  <c r="AK26" i="23184"/>
  <c r="AM14" i="23184"/>
  <c r="AK51" i="23184"/>
  <c r="F26" i="23184"/>
  <c r="F14" i="23184"/>
  <c r="E78" i="23184"/>
  <c r="M59" i="23184"/>
  <c r="Y60" i="23184"/>
  <c r="AF60" i="23184"/>
  <c r="Q53" i="23184"/>
  <c r="AD53" i="23184"/>
  <c r="AJ26" i="23184"/>
  <c r="Y26" i="23184"/>
  <c r="N74" i="23184"/>
  <c r="AH74" i="23184"/>
  <c r="O14" i="23184"/>
  <c r="AI14" i="23184"/>
  <c r="AA54" i="23184"/>
  <c r="X31" i="23184"/>
  <c r="AO26" i="23184"/>
  <c r="AN74" i="23184"/>
  <c r="AK14" i="23184"/>
  <c r="AI53" i="23184"/>
  <c r="AC53" i="23184"/>
  <c r="AO14" i="23184"/>
  <c r="E36" i="23184"/>
  <c r="O53" i="23184"/>
  <c r="AB53" i="23184"/>
  <c r="AU26" i="23184"/>
  <c r="J14" i="23184"/>
  <c r="E60" i="23184"/>
  <c r="H53" i="23184"/>
  <c r="Q60" i="23184"/>
  <c r="AC60" i="23184"/>
  <c r="N53" i="23184"/>
  <c r="I53" i="23184"/>
  <c r="L14" i="23184"/>
  <c r="I14" i="23184"/>
  <c r="P22" i="23184"/>
  <c r="AV26" i="23184"/>
  <c r="AS26" i="23184"/>
  <c r="AM70" i="23184"/>
  <c r="G62" i="23184"/>
  <c r="F30" i="23184"/>
  <c r="E53" i="23184"/>
  <c r="E26" i="23184"/>
  <c r="P23" i="23184"/>
  <c r="N36" i="23184"/>
  <c r="V60" i="23184"/>
  <c r="Z53" i="23184"/>
  <c r="N26" i="23184"/>
  <c r="AC26" i="23184"/>
  <c r="Z74" i="23184"/>
  <c r="AC54" i="23184"/>
  <c r="AG33" i="23184"/>
  <c r="Z22" i="23184"/>
  <c r="J74" i="23184"/>
  <c r="P44" i="23184"/>
  <c r="V22" i="23184"/>
  <c r="AN70" i="23184"/>
  <c r="L68" i="23184"/>
  <c r="F23" i="23184"/>
  <c r="G23" i="23184"/>
  <c r="O23" i="23184"/>
  <c r="AA23" i="23184"/>
  <c r="N23" i="23184"/>
  <c r="AH23" i="23184"/>
  <c r="E23" i="23184"/>
  <c r="M23" i="23184"/>
  <c r="AG23" i="23184"/>
  <c r="L23" i="23184"/>
  <c r="AF23" i="23184"/>
  <c r="K23" i="23184"/>
  <c r="AE23" i="23184"/>
  <c r="J23" i="23184"/>
  <c r="AJ23" i="23184"/>
  <c r="AJ39" i="23184"/>
  <c r="Z23" i="23184"/>
  <c r="AD23" i="23184"/>
  <c r="N48" i="23184"/>
  <c r="I23" i="23184"/>
  <c r="Y23" i="23184"/>
  <c r="H23" i="23184"/>
  <c r="B22" i="23184"/>
  <c r="AC23" i="23184"/>
  <c r="X23" i="23184"/>
  <c r="F53" i="23184"/>
  <c r="E65" i="23184"/>
  <c r="V53" i="23184"/>
  <c r="AD54" i="23184"/>
  <c r="M64" i="23184"/>
  <c r="AH64" i="23184"/>
  <c r="M53" i="23184"/>
  <c r="R51" i="23184"/>
  <c r="AK75" i="23184"/>
  <c r="F76" i="23184"/>
  <c r="P53" i="23184"/>
  <c r="AE78" i="23184"/>
  <c r="B77" i="23184"/>
  <c r="AK20" i="23184"/>
  <c r="AI65" i="23184"/>
  <c r="Y16" i="23184"/>
  <c r="R33" i="23184"/>
  <c r="B29" i="23184"/>
  <c r="H30" i="23184"/>
  <c r="S62" i="23184"/>
  <c r="AJ82" i="23184"/>
  <c r="E82" i="23184"/>
  <c r="E30" i="23184"/>
  <c r="Q30" i="23184"/>
  <c r="J82" i="23184"/>
  <c r="G29" i="23184"/>
  <c r="G30" i="23184"/>
  <c r="R56" i="23184"/>
  <c r="H28" i="23184"/>
  <c r="AC80" i="23184"/>
  <c r="I30" i="23184"/>
  <c r="Q82" i="23184"/>
  <c r="S69" i="23184"/>
  <c r="AS62" i="23184"/>
  <c r="G28" i="23184"/>
  <c r="M82" i="23184"/>
  <c r="N82" i="23184"/>
  <c r="J80" i="23184"/>
  <c r="AB30" i="23184"/>
  <c r="AG80" i="23184"/>
  <c r="AH30" i="23184"/>
  <c r="F51" i="23184"/>
  <c r="H22" i="23184"/>
  <c r="F29" i="23184"/>
  <c r="I70" i="23184"/>
  <c r="E62" i="23184"/>
  <c r="AA59" i="23184"/>
  <c r="P36" i="23184"/>
  <c r="AF36" i="23184"/>
  <c r="N22" i="23184"/>
  <c r="AA62" i="23184"/>
  <c r="L33" i="23184"/>
  <c r="AI33" i="23184"/>
  <c r="AJ51" i="23184"/>
  <c r="AA66" i="23184"/>
  <c r="I66" i="23184"/>
  <c r="AJ70" i="23184"/>
  <c r="J29" i="23184"/>
  <c r="Y31" i="23184"/>
  <c r="K22" i="23184"/>
  <c r="AF22" i="23184"/>
  <c r="Z44" i="23184"/>
  <c r="F44" i="23184"/>
  <c r="AL62" i="23184"/>
  <c r="AM51" i="23184"/>
  <c r="AM31" i="23184"/>
  <c r="Q59" i="23184"/>
  <c r="AU22" i="23184"/>
  <c r="R22" i="23184"/>
  <c r="S59" i="23184"/>
  <c r="U62" i="23184"/>
  <c r="F62" i="23184"/>
  <c r="G44" i="23184"/>
  <c r="E33" i="23184"/>
  <c r="E59" i="23184"/>
  <c r="E24" i="23184"/>
  <c r="E51" i="23184"/>
  <c r="J31" i="23184"/>
  <c r="AI59" i="23184"/>
  <c r="O36" i="23184"/>
  <c r="AE36" i="23184"/>
  <c r="AF62" i="23184"/>
  <c r="K33" i="23184"/>
  <c r="AH33" i="23184"/>
  <c r="AI51" i="23184"/>
  <c r="V66" i="23184"/>
  <c r="X70" i="23184"/>
  <c r="AB29" i="23184"/>
  <c r="Q31" i="23184"/>
  <c r="AF31" i="23184"/>
  <c r="J22" i="23184"/>
  <c r="AE22" i="23184"/>
  <c r="N70" i="23184"/>
  <c r="L44" i="23184"/>
  <c r="Y44" i="23184"/>
  <c r="AS51" i="23184"/>
  <c r="AP62" i="23184"/>
  <c r="AL51" i="23184"/>
  <c r="AO31" i="23184"/>
  <c r="AV44" i="23184"/>
  <c r="AN59" i="23184"/>
  <c r="AV22" i="23184"/>
  <c r="AL70" i="23184"/>
  <c r="R59" i="23184"/>
  <c r="T62" i="23184"/>
  <c r="Z66" i="23184"/>
  <c r="AA76" i="23184"/>
  <c r="F70" i="23184"/>
  <c r="G22" i="23184"/>
  <c r="H33" i="23184"/>
  <c r="B58" i="23184"/>
  <c r="B35" i="23184"/>
  <c r="L59" i="23184"/>
  <c r="AG59" i="23184"/>
  <c r="M36" i="23184"/>
  <c r="AC36" i="23184"/>
  <c r="X62" i="23184"/>
  <c r="AB62" i="23184"/>
  <c r="J33" i="23184"/>
  <c r="AB33" i="23184"/>
  <c r="M51" i="23184"/>
  <c r="AG51" i="23184"/>
  <c r="AB66" i="23184"/>
  <c r="AI70" i="23184"/>
  <c r="P31" i="23184"/>
  <c r="AD31" i="23184"/>
  <c r="O22" i="23184"/>
  <c r="AC22" i="23184"/>
  <c r="X44" i="23184"/>
  <c r="L62" i="23184"/>
  <c r="AP31" i="23184"/>
  <c r="AM44" i="23184"/>
  <c r="AO59" i="23184"/>
  <c r="AM33" i="23184"/>
  <c r="AK70" i="23184"/>
  <c r="U51" i="23184"/>
  <c r="R62" i="23184"/>
  <c r="H62" i="23184"/>
  <c r="B50" i="23184"/>
  <c r="G33" i="23184"/>
  <c r="B28" i="23184"/>
  <c r="I44" i="23184"/>
  <c r="G66" i="23184"/>
  <c r="H66" i="23184"/>
  <c r="F31" i="23184"/>
  <c r="H76" i="23184"/>
  <c r="K59" i="23184"/>
  <c r="AE59" i="23184"/>
  <c r="M22" i="23184"/>
  <c r="N66" i="23184"/>
  <c r="O62" i="23184"/>
  <c r="AD62" i="23184"/>
  <c r="AA33" i="23184"/>
  <c r="F33" i="23184"/>
  <c r="J51" i="23184"/>
  <c r="AF51" i="23184"/>
  <c r="P66" i="23184"/>
  <c r="AJ66" i="23184"/>
  <c r="AG70" i="23184"/>
  <c r="N31" i="23184"/>
  <c r="AJ31" i="23184"/>
  <c r="Y22" i="23184"/>
  <c r="N44" i="23184"/>
  <c r="AH44" i="23184"/>
  <c r="AM62" i="23184"/>
  <c r="L51" i="23184"/>
  <c r="AL44" i="23184"/>
  <c r="AS59" i="23184"/>
  <c r="AK33" i="23184"/>
  <c r="AL22" i="23184"/>
  <c r="AO70" i="23184"/>
  <c r="U70" i="23184"/>
  <c r="S51" i="23184"/>
  <c r="U33" i="23184"/>
  <c r="F36" i="23184"/>
  <c r="E66" i="23184"/>
  <c r="B21" i="23184"/>
  <c r="J59" i="23184"/>
  <c r="AJ59" i="23184"/>
  <c r="AB36" i="23184"/>
  <c r="H36" i="23184"/>
  <c r="N62" i="23184"/>
  <c r="AC62" i="23184"/>
  <c r="AJ33" i="23184"/>
  <c r="Q51" i="23184"/>
  <c r="AE51" i="23184"/>
  <c r="O52" i="23184"/>
  <c r="X66" i="23184"/>
  <c r="AH66" i="23184"/>
  <c r="AF70" i="23184"/>
  <c r="M31" i="23184"/>
  <c r="AI31" i="23184"/>
  <c r="X22" i="23184"/>
  <c r="M44" i="23184"/>
  <c r="AG44" i="23184"/>
  <c r="AK62" i="23184"/>
  <c r="AN44" i="23184"/>
  <c r="AU59" i="23184"/>
  <c r="AN33" i="23184"/>
  <c r="AM22" i="23184"/>
  <c r="AP70" i="23184"/>
  <c r="T70" i="23184"/>
  <c r="S33" i="23184"/>
  <c r="G51" i="23184"/>
  <c r="G59" i="23184"/>
  <c r="H44" i="23184"/>
  <c r="Z59" i="23184"/>
  <c r="AD59" i="23184"/>
  <c r="X36" i="23184"/>
  <c r="Q62" i="23184"/>
  <c r="AI62" i="23184"/>
  <c r="Q33" i="23184"/>
  <c r="Y33" i="23184"/>
  <c r="X51" i="23184"/>
  <c r="AD51" i="23184"/>
  <c r="N52" i="23184"/>
  <c r="Q66" i="23184"/>
  <c r="AG66" i="23184"/>
  <c r="L70" i="23184"/>
  <c r="AE70" i="23184"/>
  <c r="M70" i="23184"/>
  <c r="L31" i="23184"/>
  <c r="AA31" i="23184"/>
  <c r="AB22" i="23184"/>
  <c r="Q44" i="23184"/>
  <c r="AF44" i="23184"/>
  <c r="Q22" i="23184"/>
  <c r="AO62" i="23184"/>
  <c r="AN51" i="23184"/>
  <c r="AS31" i="23184"/>
  <c r="AK44" i="23184"/>
  <c r="P59" i="23184"/>
  <c r="AO33" i="23184"/>
  <c r="AK22" i="23184"/>
  <c r="AS70" i="23184"/>
  <c r="S70" i="23184"/>
  <c r="U31" i="23184"/>
  <c r="U44" i="23184"/>
  <c r="G70" i="23184"/>
  <c r="I33" i="23184"/>
  <c r="I59" i="23184"/>
  <c r="I36" i="23184"/>
  <c r="H29" i="23184"/>
  <c r="B69" i="23184"/>
  <c r="Y59" i="23184"/>
  <c r="H59" i="23184"/>
  <c r="AJ36" i="23184"/>
  <c r="V62" i="23184"/>
  <c r="AH62" i="23184"/>
  <c r="K70" i="23184"/>
  <c r="P33" i="23184"/>
  <c r="X33" i="23184"/>
  <c r="O66" i="23184"/>
  <c r="P51" i="23184"/>
  <c r="AC51" i="23184"/>
  <c r="I52" i="23184"/>
  <c r="L66" i="23184"/>
  <c r="AF66" i="23184"/>
  <c r="AB70" i="23184"/>
  <c r="AD70" i="23184"/>
  <c r="AG31" i="23184"/>
  <c r="AH31" i="23184"/>
  <c r="AJ22" i="23184"/>
  <c r="Q70" i="23184"/>
  <c r="K44" i="23184"/>
  <c r="AE44" i="23184"/>
  <c r="E24" i="23201"/>
  <c r="J62" i="23184"/>
  <c r="AO51" i="23184"/>
  <c r="K51" i="23184"/>
  <c r="AK31" i="23184"/>
  <c r="AO44" i="23184"/>
  <c r="AM59" i="23184"/>
  <c r="AP33" i="23184"/>
  <c r="AN22" i="23184"/>
  <c r="AU70" i="23184"/>
  <c r="R70" i="23184"/>
  <c r="T31" i="23184"/>
  <c r="T44" i="23184"/>
  <c r="B65" i="23184"/>
  <c r="G76" i="23184"/>
  <c r="H70" i="23184"/>
  <c r="I22" i="23184"/>
  <c r="F66" i="23184"/>
  <c r="E76" i="23184"/>
  <c r="E29" i="23184"/>
  <c r="E31" i="23184"/>
  <c r="AB59" i="23184"/>
  <c r="V24" i="23184"/>
  <c r="AH36" i="23184"/>
  <c r="K31" i="23184"/>
  <c r="M66" i="23184"/>
  <c r="AJ62" i="23184"/>
  <c r="AG62" i="23184"/>
  <c r="O33" i="23184"/>
  <c r="V33" i="23184"/>
  <c r="Z51" i="23184"/>
  <c r="I51" i="23184"/>
  <c r="Y66" i="23184"/>
  <c r="AE66" i="23184"/>
  <c r="O70" i="23184"/>
  <c r="AC70" i="23184"/>
  <c r="AB31" i="23184"/>
  <c r="I31" i="23184"/>
  <c r="AI22" i="23184"/>
  <c r="J44" i="23184"/>
  <c r="AD44" i="23184"/>
  <c r="M62" i="23184"/>
  <c r="AU62" i="23184"/>
  <c r="AP51" i="23184"/>
  <c r="AU31" i="23184"/>
  <c r="AP44" i="23184"/>
  <c r="AV59" i="23184"/>
  <c r="AS33" i="23184"/>
  <c r="AO22" i="23184"/>
  <c r="AV70" i="23184"/>
  <c r="U22" i="23184"/>
  <c r="S31" i="23184"/>
  <c r="S44" i="23184"/>
  <c r="B75" i="23184"/>
  <c r="B30" i="23184"/>
  <c r="G31" i="23184"/>
  <c r="X59" i="23184"/>
  <c r="J36" i="23184"/>
  <c r="Z36" i="23184"/>
  <c r="O51" i="23184"/>
  <c r="K62" i="23184"/>
  <c r="I62" i="23184"/>
  <c r="N33" i="23184"/>
  <c r="AD33" i="23184"/>
  <c r="Y51" i="23184"/>
  <c r="K66" i="23184"/>
  <c r="AD66" i="23184"/>
  <c r="Z70" i="23184"/>
  <c r="E70" i="23184"/>
  <c r="V31" i="23184"/>
  <c r="L22" i="23184"/>
  <c r="AH22" i="23184"/>
  <c r="AJ44" i="23184"/>
  <c r="AC44" i="23184"/>
  <c r="AV62" i="23184"/>
  <c r="AU51" i="23184"/>
  <c r="AV31" i="23184"/>
  <c r="AS44" i="23184"/>
  <c r="N59" i="23184"/>
  <c r="AU33" i="23184"/>
  <c r="AP22" i="23184"/>
  <c r="V70" i="23184"/>
  <c r="T22" i="23184"/>
  <c r="U59" i="23184"/>
  <c r="R31" i="23184"/>
  <c r="R44" i="23184"/>
  <c r="E44" i="23184"/>
  <c r="F22" i="23184"/>
  <c r="H31" i="23184"/>
  <c r="B32" i="23184"/>
  <c r="AC59" i="23184"/>
  <c r="Y36" i="23184"/>
  <c r="M33" i="23184"/>
  <c r="AC33" i="23184"/>
  <c r="AA51" i="23184"/>
  <c r="J66" i="23184"/>
  <c r="Z31" i="23184"/>
  <c r="AA22" i="23184"/>
  <c r="AG22" i="23184"/>
  <c r="V44" i="23184"/>
  <c r="AB44" i="23184"/>
  <c r="AL59" i="23184"/>
  <c r="AV33" i="23184"/>
  <c r="AS22" i="23184"/>
  <c r="AV15" i="23184"/>
  <c r="P54" i="23184"/>
  <c r="AJ54" i="23184"/>
  <c r="Q54" i="23184"/>
  <c r="AH54" i="23184"/>
  <c r="L54" i="23184"/>
  <c r="AG54" i="23184"/>
  <c r="K54" i="23184"/>
  <c r="AF54" i="23184"/>
  <c r="X54" i="23184"/>
  <c r="AE54" i="23184"/>
  <c r="AB54" i="23184"/>
  <c r="G41" i="23184"/>
  <c r="Z61" i="23184"/>
  <c r="M76" i="23184"/>
  <c r="K29" i="23184"/>
  <c r="AL26" i="23184"/>
  <c r="K57" i="23184"/>
  <c r="AM58" i="23184"/>
  <c r="U58" i="23184"/>
  <c r="H61" i="23184"/>
  <c r="AB61" i="23184"/>
  <c r="L28" i="23184"/>
  <c r="AO21" i="23184"/>
  <c r="AK58" i="23184"/>
  <c r="R58" i="23184"/>
  <c r="E61" i="23184"/>
  <c r="Y61" i="23184"/>
  <c r="AI28" i="23184"/>
  <c r="AI76" i="23184"/>
  <c r="Z29" i="23184"/>
  <c r="AV32" i="23184"/>
  <c r="AN58" i="23184"/>
  <c r="G61" i="23184"/>
  <c r="AI61" i="23184"/>
  <c r="M42" i="23184"/>
  <c r="AH28" i="23184"/>
  <c r="P29" i="23184"/>
  <c r="AM32" i="23184"/>
  <c r="AM69" i="23184"/>
  <c r="AO58" i="23184"/>
  <c r="O61" i="23184"/>
  <c r="AH61" i="23184"/>
  <c r="J42" i="23184"/>
  <c r="AG29" i="23184"/>
  <c r="AL32" i="23184"/>
  <c r="AL69" i="23184"/>
  <c r="AP58" i="23184"/>
  <c r="F61" i="23184"/>
  <c r="K61" i="23184"/>
  <c r="AG61" i="23184"/>
  <c r="AG42" i="23184"/>
  <c r="AF29" i="23184"/>
  <c r="X15" i="23184"/>
  <c r="AN32" i="23184"/>
  <c r="AV21" i="23184"/>
  <c r="AK69" i="23184"/>
  <c r="AU58" i="23184"/>
  <c r="J61" i="23184"/>
  <c r="AF61" i="23184"/>
  <c r="AO15" i="23184"/>
  <c r="AO32" i="23184"/>
  <c r="AO69" i="23184"/>
  <c r="AV58" i="23184"/>
  <c r="I61" i="23184"/>
  <c r="B60" i="23184"/>
  <c r="V61" i="23184"/>
  <c r="AE61" i="23184"/>
  <c r="AP32" i="23184"/>
  <c r="AP69" i="23184"/>
  <c r="N58" i="23184"/>
  <c r="AJ61" i="23184"/>
  <c r="AD61" i="23184"/>
  <c r="AS32" i="23184"/>
  <c r="AS69" i="23184"/>
  <c r="U57" i="23184"/>
  <c r="Q61" i="23184"/>
  <c r="AC61" i="23184"/>
  <c r="E29" i="23201"/>
  <c r="AU32" i="23184"/>
  <c r="AM21" i="23184"/>
  <c r="AU69" i="23184"/>
  <c r="R69" i="23184"/>
  <c r="E68" i="23184"/>
  <c r="H46" i="23184"/>
  <c r="L20" i="23184"/>
  <c r="L35" i="23184"/>
  <c r="AF35" i="23184"/>
  <c r="L57" i="23184"/>
  <c r="AH57" i="23184"/>
  <c r="Z77" i="23184"/>
  <c r="AH46" i="23184"/>
  <c r="L39" i="23184"/>
  <c r="AB39" i="23184"/>
  <c r="P57" i="23184"/>
  <c r="Y68" i="23184"/>
  <c r="Q81" i="23184"/>
  <c r="AS39" i="23184"/>
  <c r="AO46" i="23184"/>
  <c r="K20" i="23184"/>
  <c r="AK68" i="23184"/>
  <c r="AK35" i="23184"/>
  <c r="U21" i="23184"/>
  <c r="F39" i="23184"/>
  <c r="G57" i="23184"/>
  <c r="X20" i="23184"/>
  <c r="V35" i="23184"/>
  <c r="AE35" i="23184"/>
  <c r="AC47" i="23184"/>
  <c r="V42" i="23184"/>
  <c r="I42" i="23184"/>
  <c r="N39" i="23184"/>
  <c r="Q49" i="23184"/>
  <c r="AD49" i="23184"/>
  <c r="AA57" i="23184"/>
  <c r="AG57" i="23184"/>
  <c r="O47" i="23184"/>
  <c r="AJ77" i="23184"/>
  <c r="L46" i="23184"/>
  <c r="AG46" i="23184"/>
  <c r="AF15" i="23184"/>
  <c r="J39" i="23184"/>
  <c r="AF39" i="23184"/>
  <c r="AA80" i="23184"/>
  <c r="AB80" i="23184"/>
  <c r="X68" i="23184"/>
  <c r="P49" i="23184"/>
  <c r="O81" i="23184"/>
  <c r="AL57" i="23184"/>
  <c r="AP46" i="23184"/>
  <c r="AO68" i="23184"/>
  <c r="AN35" i="23184"/>
  <c r="G68" i="23184"/>
  <c r="B67" i="23184"/>
  <c r="F42" i="23184"/>
  <c r="G42" i="23184"/>
  <c r="AI20" i="23184"/>
  <c r="M20" i="23184"/>
  <c r="K35" i="23184"/>
  <c r="AJ35" i="23184"/>
  <c r="AB42" i="23184"/>
  <c r="M46" i="23184"/>
  <c r="AB49" i="23184"/>
  <c r="AC49" i="23184"/>
  <c r="J57" i="23184"/>
  <c r="AB57" i="23184"/>
  <c r="K46" i="23184"/>
  <c r="AF46" i="23184"/>
  <c r="M15" i="23184"/>
  <c r="AE15" i="23184"/>
  <c r="Q39" i="23184"/>
  <c r="AE39" i="23184"/>
  <c r="AJ80" i="23184"/>
  <c r="F80" i="23184"/>
  <c r="AI68" i="23184"/>
  <c r="AD81" i="23184"/>
  <c r="AN39" i="23184"/>
  <c r="AK57" i="23184"/>
  <c r="AS46" i="23184"/>
  <c r="K68" i="23184"/>
  <c r="O35" i="23184"/>
  <c r="U46" i="23184"/>
  <c r="U35" i="23184"/>
  <c r="U32" i="23184"/>
  <c r="B79" i="23184"/>
  <c r="H39" i="23184"/>
  <c r="B48" i="23184"/>
  <c r="AH20" i="23184"/>
  <c r="N20" i="23184"/>
  <c r="J35" i="23184"/>
  <c r="AD35" i="23184"/>
  <c r="AI47" i="23184"/>
  <c r="Z42" i="23184"/>
  <c r="O39" i="23184"/>
  <c r="AJ49" i="23184"/>
  <c r="Z57" i="23184"/>
  <c r="AF57" i="23184"/>
  <c r="P46" i="23184"/>
  <c r="AE46" i="23184"/>
  <c r="L15" i="23184"/>
  <c r="AD15" i="23184"/>
  <c r="V39" i="23184"/>
  <c r="AD39" i="23184"/>
  <c r="Z80" i="23184"/>
  <c r="AH68" i="23184"/>
  <c r="AC81" i="23184"/>
  <c r="E48" i="23201"/>
  <c r="AK15" i="23184"/>
  <c r="AP39" i="23184"/>
  <c r="AN57" i="23184"/>
  <c r="AV46" i="23184"/>
  <c r="AP35" i="23184"/>
  <c r="T46" i="23184"/>
  <c r="S35" i="23184"/>
  <c r="G80" i="23184"/>
  <c r="G81" i="23184"/>
  <c r="B34" i="23184"/>
  <c r="AG20" i="23184"/>
  <c r="O68" i="23184"/>
  <c r="Y35" i="23184"/>
  <c r="H35" i="23184"/>
  <c r="AA47" i="23184"/>
  <c r="AA42" i="23184"/>
  <c r="N46" i="23184"/>
  <c r="X49" i="23184"/>
  <c r="Y57" i="23184"/>
  <c r="F57" i="23184"/>
  <c r="O46" i="23184"/>
  <c r="AD46" i="23184"/>
  <c r="K15" i="23184"/>
  <c r="AC15" i="23184"/>
  <c r="P39" i="23184"/>
  <c r="AC39" i="23184"/>
  <c r="AI80" i="23184"/>
  <c r="AI79" i="23184"/>
  <c r="AG68" i="23184"/>
  <c r="AO39" i="23184"/>
  <c r="AK39" i="23184"/>
  <c r="AU39" i="23184"/>
  <c r="AO57" i="23184"/>
  <c r="V46" i="23184"/>
  <c r="AS35" i="23184"/>
  <c r="S46" i="23184"/>
  <c r="B38" i="23184"/>
  <c r="I46" i="23184"/>
  <c r="I35" i="23184"/>
  <c r="B46" i="23184"/>
  <c r="E77" i="23184"/>
  <c r="AF20" i="23184"/>
  <c r="AB35" i="23184"/>
  <c r="P47" i="23184"/>
  <c r="AH47" i="23184"/>
  <c r="P42" i="23184"/>
  <c r="AI42" i="23184"/>
  <c r="P68" i="23184"/>
  <c r="Z49" i="23184"/>
  <c r="AJ57" i="23184"/>
  <c r="AJ46" i="23184"/>
  <c r="AC46" i="23184"/>
  <c r="J15" i="23184"/>
  <c r="I15" i="23184"/>
  <c r="AA39" i="23184"/>
  <c r="I39" i="23184"/>
  <c r="Y80" i="23184"/>
  <c r="N68" i="23184"/>
  <c r="AF68" i="23184"/>
  <c r="F71" i="23201"/>
  <c r="C71" i="23201" s="1"/>
  <c r="AV39" i="23184"/>
  <c r="AS57" i="23184"/>
  <c r="AV20" i="23184"/>
  <c r="AU35" i="23184"/>
  <c r="R46" i="23184"/>
  <c r="G20" i="23184"/>
  <c r="E57" i="23184"/>
  <c r="G46" i="23184"/>
  <c r="I20" i="23184"/>
  <c r="F35" i="23184"/>
  <c r="G35" i="23184"/>
  <c r="I47" i="23184"/>
  <c r="AE20" i="23184"/>
  <c r="X35" i="23184"/>
  <c r="N47" i="23184"/>
  <c r="AG47" i="23184"/>
  <c r="Y42" i="23184"/>
  <c r="AJ42" i="23184"/>
  <c r="O80" i="23184"/>
  <c r="Y49" i="23184"/>
  <c r="X57" i="23184"/>
  <c r="Z46" i="23184"/>
  <c r="E46" i="23184"/>
  <c r="P15" i="23184"/>
  <c r="Z39" i="23184"/>
  <c r="X80" i="23184"/>
  <c r="Q68" i="23184"/>
  <c r="AE68" i="23184"/>
  <c r="E37" i="23201"/>
  <c r="E26" i="23201"/>
  <c r="AM39" i="23184"/>
  <c r="AU57" i="23184"/>
  <c r="AM20" i="23184"/>
  <c r="AM35" i="23184"/>
  <c r="B41" i="23184"/>
  <c r="F47" i="23184"/>
  <c r="H42" i="23184"/>
  <c r="B56" i="23184"/>
  <c r="AD20" i="23184"/>
  <c r="M80" i="23184"/>
  <c r="AC35" i="23184"/>
  <c r="M47" i="23184"/>
  <c r="AF47" i="23184"/>
  <c r="Q24" i="23184"/>
  <c r="O42" i="23184"/>
  <c r="AH42" i="23184"/>
  <c r="AI49" i="23184"/>
  <c r="AE57" i="23184"/>
  <c r="Y46" i="23184"/>
  <c r="Z15" i="23184"/>
  <c r="Y39" i="23184"/>
  <c r="AH80" i="23184"/>
  <c r="J68" i="23184"/>
  <c r="AD68" i="23184"/>
  <c r="V47" i="23184"/>
  <c r="AL39" i="23184"/>
  <c r="AV57" i="23184"/>
  <c r="P20" i="23184"/>
  <c r="M68" i="23184"/>
  <c r="AV35" i="23184"/>
  <c r="S58" i="23184"/>
  <c r="F46" i="23184"/>
  <c r="H57" i="23184"/>
  <c r="H80" i="23184"/>
  <c r="E39" i="23184"/>
  <c r="E42" i="23184"/>
  <c r="AB20" i="23184"/>
  <c r="N35" i="23184"/>
  <c r="AA35" i="23184"/>
  <c r="L47" i="23184"/>
  <c r="AJ47" i="23184"/>
  <c r="AB24" i="23184"/>
  <c r="Q42" i="23184"/>
  <c r="AF42" i="23184"/>
  <c r="P77" i="23184"/>
  <c r="V49" i="23184"/>
  <c r="AH49" i="23184"/>
  <c r="O57" i="23184"/>
  <c r="AD57" i="23184"/>
  <c r="X46" i="23184"/>
  <c r="AI15" i="23184"/>
  <c r="AI39" i="23184"/>
  <c r="N80" i="23184"/>
  <c r="AF80" i="23184"/>
  <c r="L24" i="23184"/>
  <c r="V68" i="23184"/>
  <c r="AB68" i="23184"/>
  <c r="X42" i="23184"/>
  <c r="F23" i="23201"/>
  <c r="D23" i="23201" s="1"/>
  <c r="N15" i="23184"/>
  <c r="AL46" i="23184"/>
  <c r="AO20" i="23184"/>
  <c r="AM68" i="23184"/>
  <c r="G39" i="23184"/>
  <c r="E35" i="23184"/>
  <c r="I68" i="23184"/>
  <c r="B19" i="23184"/>
  <c r="I57" i="23184"/>
  <c r="H68" i="23184"/>
  <c r="Z20" i="23184"/>
  <c r="F20" i="23184"/>
  <c r="K39" i="23184"/>
  <c r="Z35" i="23184"/>
  <c r="AH35" i="23184"/>
  <c r="K47" i="23184"/>
  <c r="AD47" i="23184"/>
  <c r="AA24" i="23184"/>
  <c r="L42" i="23184"/>
  <c r="AE42" i="23184"/>
  <c r="P80" i="23184"/>
  <c r="L49" i="23184"/>
  <c r="AG49" i="23184"/>
  <c r="N57" i="23184"/>
  <c r="AC57" i="23184"/>
  <c r="Q47" i="23184"/>
  <c r="AB46" i="23184"/>
  <c r="AH15" i="23184"/>
  <c r="M39" i="23184"/>
  <c r="AH39" i="23184"/>
  <c r="Q80" i="23184"/>
  <c r="AE80" i="23184"/>
  <c r="AJ68" i="23184"/>
  <c r="F68" i="23184"/>
  <c r="O15" i="23184"/>
  <c r="AM15" i="23184"/>
  <c r="AM46" i="23184"/>
  <c r="AL68" i="23184"/>
  <c r="U69" i="23184"/>
  <c r="E47" i="23184"/>
  <c r="I80" i="23184"/>
  <c r="F49" i="23184"/>
  <c r="G49" i="23184"/>
  <c r="Y20" i="23184"/>
  <c r="J46" i="23184"/>
  <c r="M35" i="23184"/>
  <c r="AG35" i="23184"/>
  <c r="J47" i="23184"/>
  <c r="K42" i="23184"/>
  <c r="Q46" i="23184"/>
  <c r="K49" i="23184"/>
  <c r="M57" i="23184"/>
  <c r="AI57" i="23184"/>
  <c r="AI46" i="23184"/>
  <c r="AG15" i="23184"/>
  <c r="X39" i="23184"/>
  <c r="V80" i="23184"/>
  <c r="Z68" i="23184"/>
  <c r="AN46" i="23184"/>
  <c r="AN68" i="23184"/>
  <c r="T32" i="23184"/>
  <c r="T68" i="23184"/>
  <c r="C43" i="23200"/>
  <c r="C32" i="23200"/>
  <c r="C21" i="23200"/>
  <c r="C69" i="23200"/>
  <c r="C58" i="23200"/>
  <c r="C47" i="23200"/>
  <c r="C24" i="23200"/>
  <c r="C72" i="23200"/>
  <c r="C61" i="23200"/>
  <c r="E50" i="23199"/>
  <c r="F50" i="23199"/>
  <c r="G50" i="23199"/>
  <c r="H50" i="23199"/>
  <c r="D50" i="23199"/>
  <c r="C50" i="23199"/>
  <c r="C39" i="23200"/>
  <c r="E40" i="23199"/>
  <c r="F40" i="23199"/>
  <c r="G40" i="23199"/>
  <c r="H40" i="23199"/>
  <c r="D40" i="23199"/>
  <c r="C40" i="23199"/>
  <c r="C30" i="23200"/>
  <c r="S32" i="23184"/>
  <c r="S68" i="23184"/>
  <c r="D43" i="23199"/>
  <c r="C43" i="23199"/>
  <c r="E43" i="23199"/>
  <c r="F43" i="23199"/>
  <c r="G43" i="23199"/>
  <c r="H43" i="23199"/>
  <c r="D32" i="23199"/>
  <c r="C32" i="23199"/>
  <c r="E32" i="23199"/>
  <c r="F32" i="23199"/>
  <c r="G32" i="23199"/>
  <c r="H32" i="23199"/>
  <c r="H21" i="23199"/>
  <c r="D21" i="23199"/>
  <c r="C21" i="23199"/>
  <c r="E21" i="23199"/>
  <c r="F21" i="23199"/>
  <c r="G21" i="23199"/>
  <c r="H69" i="23199"/>
  <c r="D69" i="23199"/>
  <c r="C69" i="23199"/>
  <c r="E69" i="23199"/>
  <c r="F69" i="23199"/>
  <c r="G69" i="23199"/>
  <c r="G58" i="23199"/>
  <c r="H58" i="23199"/>
  <c r="D58" i="23199"/>
  <c r="C58" i="23199"/>
  <c r="E58" i="23199"/>
  <c r="F58" i="23199"/>
  <c r="G47" i="23199"/>
  <c r="H47" i="23199"/>
  <c r="D47" i="23199"/>
  <c r="C47" i="23199"/>
  <c r="E47" i="23199"/>
  <c r="F47" i="23199"/>
  <c r="G24" i="23199"/>
  <c r="H24" i="23199"/>
  <c r="D24" i="23199"/>
  <c r="C24" i="23199"/>
  <c r="E24" i="23199"/>
  <c r="F24" i="23199"/>
  <c r="G72" i="23199"/>
  <c r="H72" i="23199"/>
  <c r="D72" i="23199"/>
  <c r="C72" i="23199"/>
  <c r="E72" i="23199"/>
  <c r="F72" i="23199"/>
  <c r="F61" i="23199"/>
  <c r="G61" i="23199"/>
  <c r="H61" i="23199"/>
  <c r="D61" i="23199"/>
  <c r="C61" i="23199"/>
  <c r="E61" i="23199"/>
  <c r="C50" i="23200"/>
  <c r="C52" i="23200"/>
  <c r="C41" i="23200"/>
  <c r="D30" i="23199"/>
  <c r="C30" i="23199"/>
  <c r="E30" i="23199"/>
  <c r="F30" i="23199"/>
  <c r="G30" i="23199"/>
  <c r="H30" i="23199"/>
  <c r="R32" i="23184"/>
  <c r="R68" i="23184"/>
  <c r="E51" i="23199"/>
  <c r="F51" i="23199"/>
  <c r="G51" i="23199"/>
  <c r="H51" i="23199"/>
  <c r="D51" i="23199"/>
  <c r="C51" i="23199"/>
  <c r="E52" i="23199"/>
  <c r="F52" i="23199"/>
  <c r="G52" i="23199"/>
  <c r="H52" i="23199"/>
  <c r="D52" i="23199"/>
  <c r="C52" i="23199"/>
  <c r="D41" i="23199"/>
  <c r="C41" i="23199"/>
  <c r="E41" i="23199"/>
  <c r="F41" i="23199"/>
  <c r="G41" i="23199"/>
  <c r="H41" i="23199"/>
  <c r="I29" i="23184"/>
  <c r="AP57" i="23184"/>
  <c r="AU46" i="23184"/>
  <c r="AV68" i="23184"/>
  <c r="AO35" i="23184"/>
  <c r="C55" i="23200"/>
  <c r="C44" i="23200"/>
  <c r="C33" i="23200"/>
  <c r="C22" i="23200"/>
  <c r="C70" i="23200"/>
  <c r="C59" i="23200"/>
  <c r="C36" i="23200"/>
  <c r="C25" i="23200"/>
  <c r="E14" i="23199"/>
  <c r="C14" i="23199"/>
  <c r="E62" i="23199"/>
  <c r="F62" i="23199"/>
  <c r="G62" i="23199"/>
  <c r="H62" i="23199"/>
  <c r="D62" i="23199"/>
  <c r="C62" i="23199"/>
  <c r="C51" i="23200"/>
  <c r="C53" i="23200"/>
  <c r="C42" i="23200"/>
  <c r="R21" i="23184"/>
  <c r="R57" i="23184"/>
  <c r="D55" i="23199"/>
  <c r="C55" i="23199"/>
  <c r="E55" i="23199"/>
  <c r="F55" i="23199"/>
  <c r="G55" i="23199"/>
  <c r="H55" i="23199"/>
  <c r="D44" i="23199"/>
  <c r="C44" i="23199"/>
  <c r="E44" i="23199"/>
  <c r="F44" i="23199"/>
  <c r="G44" i="23199"/>
  <c r="H44" i="23199"/>
  <c r="H33" i="23199"/>
  <c r="D33" i="23199"/>
  <c r="C33" i="23199"/>
  <c r="E33" i="23199"/>
  <c r="F33" i="23199"/>
  <c r="G33" i="23199"/>
  <c r="G22" i="23199"/>
  <c r="H22" i="23199"/>
  <c r="D22" i="23199"/>
  <c r="C22" i="23199"/>
  <c r="E22" i="23199"/>
  <c r="F22" i="23199"/>
  <c r="G70" i="23199"/>
  <c r="H70" i="23199"/>
  <c r="D70" i="23199"/>
  <c r="C70" i="23199"/>
  <c r="E70" i="23199"/>
  <c r="F70" i="23199"/>
  <c r="G59" i="23199"/>
  <c r="H59" i="23199"/>
  <c r="D59" i="23199"/>
  <c r="C59" i="23199"/>
  <c r="E59" i="23199"/>
  <c r="F59" i="23199"/>
  <c r="G36" i="23199"/>
  <c r="H36" i="23199"/>
  <c r="D36" i="23199"/>
  <c r="C36" i="23199"/>
  <c r="E36" i="23199"/>
  <c r="F36" i="23199"/>
  <c r="F25" i="23199"/>
  <c r="G25" i="23199"/>
  <c r="H25" i="23199"/>
  <c r="D25" i="23199"/>
  <c r="C25" i="23199"/>
  <c r="E25" i="23199"/>
  <c r="C14" i="23200"/>
  <c r="C62" i="23200"/>
  <c r="E63" i="23199"/>
  <c r="F63" i="23199"/>
  <c r="G63" i="23199"/>
  <c r="H63" i="23199"/>
  <c r="D63" i="23199"/>
  <c r="C63" i="23199"/>
  <c r="C64" i="23200"/>
  <c r="D53" i="23199"/>
  <c r="C53" i="23199"/>
  <c r="E53" i="23199"/>
  <c r="F53" i="23199"/>
  <c r="G53" i="23199"/>
  <c r="H53" i="23199"/>
  <c r="D42" i="23199"/>
  <c r="C42" i="23199"/>
  <c r="E42" i="23199"/>
  <c r="F42" i="23199"/>
  <c r="G42" i="23199"/>
  <c r="H42" i="23199"/>
  <c r="C63" i="23200"/>
  <c r="E64" i="23199"/>
  <c r="F64" i="23199"/>
  <c r="G64" i="23199"/>
  <c r="H64" i="23199"/>
  <c r="D64" i="23199"/>
  <c r="C64" i="23199"/>
  <c r="T57" i="23184"/>
  <c r="C19" i="23200"/>
  <c r="C67" i="23200"/>
  <c r="C56" i="23200"/>
  <c r="C45" i="23200"/>
  <c r="C34" i="23200"/>
  <c r="C23" i="23200"/>
  <c r="C71" i="23200"/>
  <c r="C48" i="23200"/>
  <c r="C37" i="23200"/>
  <c r="E26" i="23199"/>
  <c r="F26" i="23199"/>
  <c r="G26" i="23199"/>
  <c r="H26" i="23199"/>
  <c r="D26" i="23199"/>
  <c r="C26" i="23199"/>
  <c r="E15" i="23199"/>
  <c r="C15" i="23199"/>
  <c r="C16" i="23200"/>
  <c r="C65" i="23200"/>
  <c r="C54" i="23200"/>
  <c r="T35" i="23184"/>
  <c r="U20" i="23184"/>
  <c r="S57" i="23184"/>
  <c r="C19" i="23199"/>
  <c r="E19" i="23199"/>
  <c r="D67" i="23199"/>
  <c r="C67" i="23199"/>
  <c r="E67" i="23199"/>
  <c r="F67" i="23199"/>
  <c r="G67" i="23199"/>
  <c r="H67" i="23199"/>
  <c r="D56" i="23199"/>
  <c r="C56" i="23199"/>
  <c r="E56" i="23199"/>
  <c r="F56" i="23199"/>
  <c r="G56" i="23199"/>
  <c r="H56" i="23199"/>
  <c r="H45" i="23199"/>
  <c r="D45" i="23199"/>
  <c r="C45" i="23199"/>
  <c r="E45" i="23199"/>
  <c r="F45" i="23199"/>
  <c r="G45" i="23199"/>
  <c r="G34" i="23199"/>
  <c r="H34" i="23199"/>
  <c r="D34" i="23199"/>
  <c r="C34" i="23199"/>
  <c r="E34" i="23199"/>
  <c r="F34" i="23199"/>
  <c r="G23" i="23199"/>
  <c r="H23" i="23199"/>
  <c r="D23" i="23199"/>
  <c r="C23" i="23199"/>
  <c r="E23" i="23199"/>
  <c r="F23" i="23199"/>
  <c r="G71" i="23199"/>
  <c r="H71" i="23199"/>
  <c r="D71" i="23199"/>
  <c r="C71" i="23199"/>
  <c r="E71" i="23199"/>
  <c r="F71" i="23199"/>
  <c r="G48" i="23199"/>
  <c r="H48" i="23199"/>
  <c r="D48" i="23199"/>
  <c r="C48" i="23199"/>
  <c r="E48" i="23199"/>
  <c r="F48" i="23199"/>
  <c r="F37" i="23199"/>
  <c r="G37" i="23199"/>
  <c r="H37" i="23199"/>
  <c r="D37" i="23199"/>
  <c r="C37" i="23199"/>
  <c r="E37" i="23199"/>
  <c r="C26" i="23200"/>
  <c r="C15" i="23200"/>
  <c r="E16" i="23199"/>
  <c r="C16" i="23199"/>
  <c r="C17" i="23200"/>
  <c r="D65" i="23199"/>
  <c r="C65" i="23199"/>
  <c r="E65" i="23199"/>
  <c r="F65" i="23199"/>
  <c r="G65" i="23199"/>
  <c r="H65" i="23199"/>
  <c r="D54" i="23199"/>
  <c r="C54" i="23199"/>
  <c r="E54" i="23199"/>
  <c r="F54" i="23199"/>
  <c r="G54" i="23199"/>
  <c r="H54" i="23199"/>
  <c r="C17" i="23199"/>
  <c r="E17" i="23199"/>
  <c r="X29" i="23184"/>
  <c r="AL20" i="23184"/>
  <c r="AP68" i="23184"/>
  <c r="AL35" i="23184"/>
  <c r="R35" i="23184"/>
  <c r="S20" i="23184"/>
  <c r="C31" i="23200"/>
  <c r="C20" i="23200"/>
  <c r="C68" i="23200"/>
  <c r="C57" i="23200"/>
  <c r="C46" i="23200"/>
  <c r="C35" i="23200"/>
  <c r="C13" i="23200"/>
  <c r="C60" i="23200"/>
  <c r="C49" i="23200"/>
  <c r="E38" i="23199"/>
  <c r="F38" i="23199"/>
  <c r="G38" i="23199"/>
  <c r="H38" i="23199"/>
  <c r="D38" i="23199"/>
  <c r="C38" i="23199"/>
  <c r="E27" i="23199"/>
  <c r="F27" i="23199"/>
  <c r="G27" i="23199"/>
  <c r="H27" i="23199"/>
  <c r="D27" i="23199"/>
  <c r="C27" i="23199"/>
  <c r="C28" i="23200"/>
  <c r="C18" i="23200"/>
  <c r="C66" i="23200"/>
  <c r="Y29" i="23184"/>
  <c r="AO74" i="23184"/>
  <c r="AS68" i="23184"/>
  <c r="AN69" i="23184"/>
  <c r="AS58" i="23184"/>
  <c r="R20" i="23184"/>
  <c r="D31" i="23199"/>
  <c r="C31" i="23199"/>
  <c r="E31" i="23199"/>
  <c r="F31" i="23199"/>
  <c r="G31" i="23199"/>
  <c r="H31" i="23199"/>
  <c r="C20" i="23199"/>
  <c r="E20" i="23199"/>
  <c r="D68" i="23199"/>
  <c r="C68" i="23199"/>
  <c r="E68" i="23199"/>
  <c r="F68" i="23199"/>
  <c r="G68" i="23199"/>
  <c r="H68" i="23199"/>
  <c r="H57" i="23199"/>
  <c r="D57" i="23199"/>
  <c r="C57" i="23199"/>
  <c r="E57" i="23199"/>
  <c r="F57" i="23199"/>
  <c r="G57" i="23199"/>
  <c r="G46" i="23199"/>
  <c r="H46" i="23199"/>
  <c r="D46" i="23199"/>
  <c r="C46" i="23199"/>
  <c r="E46" i="23199"/>
  <c r="F46" i="23199"/>
  <c r="G35" i="23199"/>
  <c r="H35" i="23199"/>
  <c r="D35" i="23199"/>
  <c r="C35" i="23199"/>
  <c r="E35" i="23199"/>
  <c r="F35" i="23199"/>
  <c r="C13" i="23199"/>
  <c r="E13" i="23199"/>
  <c r="G60" i="23199"/>
  <c r="H60" i="23199"/>
  <c r="D60" i="23199"/>
  <c r="C60" i="23199"/>
  <c r="E60" i="23199"/>
  <c r="F60" i="23199"/>
  <c r="F49" i="23199"/>
  <c r="G49" i="23199"/>
  <c r="H49" i="23199"/>
  <c r="D49" i="23199"/>
  <c r="C49" i="23199"/>
  <c r="E49" i="23199"/>
  <c r="C38" i="23200"/>
  <c r="C27" i="23200"/>
  <c r="E28" i="23199"/>
  <c r="F28" i="23199"/>
  <c r="G28" i="23199"/>
  <c r="H28" i="23199"/>
  <c r="D28" i="23199"/>
  <c r="C28" i="23199"/>
  <c r="C29" i="23200"/>
  <c r="C18" i="23199"/>
  <c r="E18" i="23199"/>
  <c r="D66" i="23199"/>
  <c r="C66" i="23199"/>
  <c r="E66" i="23199"/>
  <c r="F66" i="23199"/>
  <c r="G66" i="23199"/>
  <c r="H66" i="23199"/>
  <c r="AU68" i="23184"/>
  <c r="E39" i="23199"/>
  <c r="F39" i="23199"/>
  <c r="G39" i="23199"/>
  <c r="H39" i="23199"/>
  <c r="D39" i="23199"/>
  <c r="C39" i="23199"/>
  <c r="C40" i="23200"/>
  <c r="D29" i="23199"/>
  <c r="C29" i="23199"/>
  <c r="E29" i="23199"/>
  <c r="F29" i="23199"/>
  <c r="G29" i="23199"/>
  <c r="H29" i="23199"/>
  <c r="Y76" i="23184"/>
  <c r="I76" i="23184"/>
  <c r="J30" i="23184"/>
  <c r="AC30" i="23184"/>
  <c r="AK74" i="23184"/>
  <c r="V76" i="23184"/>
  <c r="AA30" i="23184"/>
  <c r="AU74" i="23184"/>
  <c r="AJ41" i="23184"/>
  <c r="AJ76" i="23184"/>
  <c r="P30" i="23184"/>
  <c r="V30" i="23184"/>
  <c r="AV74" i="23184"/>
  <c r="AD76" i="23184"/>
  <c r="O30" i="23184"/>
  <c r="Z30" i="23184"/>
  <c r="AC76" i="23184"/>
  <c r="N30" i="23184"/>
  <c r="AI30" i="23184"/>
  <c r="N76" i="23184"/>
  <c r="AB76" i="23184"/>
  <c r="M30" i="23184"/>
  <c r="AJ30" i="23184"/>
  <c r="Q76" i="23184"/>
  <c r="AH76" i="23184"/>
  <c r="X30" i="23184"/>
  <c r="AG30" i="23184"/>
  <c r="L76" i="23184"/>
  <c r="AG76" i="23184"/>
  <c r="L30" i="23184"/>
  <c r="AF30" i="23184"/>
  <c r="X76" i="23184"/>
  <c r="AF76" i="23184"/>
  <c r="Y30" i="23184"/>
  <c r="AE30" i="23184"/>
  <c r="AL74" i="23184"/>
  <c r="Z76" i="23184"/>
  <c r="K30" i="23184"/>
  <c r="D29" i="23201"/>
  <c r="G52" i="23184"/>
  <c r="H27" i="23184"/>
  <c r="Q67" i="23184"/>
  <c r="AD67" i="23184"/>
  <c r="O77" i="23184"/>
  <c r="P52" i="23184"/>
  <c r="V73" i="23184"/>
  <c r="AG73" i="23184"/>
  <c r="AH77" i="23184"/>
  <c r="Z27" i="23184"/>
  <c r="AB52" i="23184"/>
  <c r="N65" i="23184"/>
  <c r="AC65" i="23184"/>
  <c r="P81" i="23184"/>
  <c r="AA79" i="23184"/>
  <c r="Y81" i="23184"/>
  <c r="AP27" i="23184"/>
  <c r="AM75" i="23184"/>
  <c r="F52" i="23184"/>
  <c r="G77" i="23184"/>
  <c r="E27" i="23184"/>
  <c r="P67" i="23184"/>
  <c r="AC67" i="23184"/>
  <c r="K73" i="23184"/>
  <c r="AF73" i="23184"/>
  <c r="P40" i="23184"/>
  <c r="AG77" i="23184"/>
  <c r="L81" i="23184"/>
  <c r="Y27" i="23184"/>
  <c r="AH52" i="23184"/>
  <c r="X65" i="23184"/>
  <c r="AB65" i="23184"/>
  <c r="AB79" i="23184"/>
  <c r="X67" i="23184"/>
  <c r="AE81" i="23184"/>
  <c r="D48" i="23201"/>
  <c r="AK27" i="23184"/>
  <c r="AU27" i="23184"/>
  <c r="AV14" i="23184"/>
  <c r="B64" i="23184"/>
  <c r="E40" i="23184"/>
  <c r="O65" i="23184"/>
  <c r="O67" i="23184"/>
  <c r="AJ67" i="23184"/>
  <c r="J73" i="23184"/>
  <c r="AE73" i="23184"/>
  <c r="AF77" i="23184"/>
  <c r="AA27" i="23184"/>
  <c r="AG52" i="23184"/>
  <c r="Y65" i="23184"/>
  <c r="I65" i="23184"/>
  <c r="Y79" i="23184"/>
  <c r="X81" i="23184"/>
  <c r="AV27" i="23184"/>
  <c r="B76" i="23184"/>
  <c r="E52" i="23184"/>
  <c r="G67" i="23184"/>
  <c r="K67" i="23184"/>
  <c r="AB67" i="23184"/>
  <c r="AI67" i="23184"/>
  <c r="Q73" i="23184"/>
  <c r="AD73" i="23184"/>
  <c r="K77" i="23184"/>
  <c r="AE77" i="23184"/>
  <c r="M27" i="23184"/>
  <c r="AI27" i="23184"/>
  <c r="AE52" i="23184"/>
  <c r="AA65" i="23184"/>
  <c r="AE79" i="23184"/>
  <c r="V81" i="23184"/>
  <c r="AM27" i="23184"/>
  <c r="AA67" i="23184"/>
  <c r="C53" i="23201"/>
  <c r="X73" i="23184"/>
  <c r="Q77" i="23184"/>
  <c r="V65" i="23184"/>
  <c r="AH79" i="23184"/>
  <c r="F65" i="23184"/>
  <c r="H81" i="23184"/>
  <c r="I73" i="23184"/>
  <c r="M77" i="23184"/>
  <c r="AG67" i="23184"/>
  <c r="AA73" i="23184"/>
  <c r="N77" i="23184"/>
  <c r="AC77" i="23184"/>
  <c r="V27" i="23184"/>
  <c r="AB27" i="23184"/>
  <c r="M52" i="23184"/>
  <c r="AH65" i="23184"/>
  <c r="I79" i="23184"/>
  <c r="AA81" i="23184"/>
  <c r="AI81" i="23184"/>
  <c r="O27" i="23184"/>
  <c r="E67" i="23184"/>
  <c r="AD77" i="23184"/>
  <c r="F27" i="23184"/>
  <c r="H73" i="23184"/>
  <c r="H79" i="23184"/>
  <c r="H40" i="23184"/>
  <c r="E79" i="23184"/>
  <c r="V67" i="23184"/>
  <c r="AJ73" i="23184"/>
  <c r="X77" i="23184"/>
  <c r="AB77" i="23184"/>
  <c r="J27" i="23184"/>
  <c r="AF27" i="23184"/>
  <c r="K52" i="23184"/>
  <c r="AG65" i="23184"/>
  <c r="N67" i="23184"/>
  <c r="N81" i="23184"/>
  <c r="AH81" i="23184"/>
  <c r="G27" i="23184"/>
  <c r="F77" i="23184"/>
  <c r="H67" i="23184"/>
  <c r="H52" i="23184"/>
  <c r="B80" i="23184"/>
  <c r="Z67" i="23184"/>
  <c r="Z73" i="23184"/>
  <c r="Y77" i="23184"/>
  <c r="I77" i="23184"/>
  <c r="X27" i="23184"/>
  <c r="AE27" i="23184"/>
  <c r="J52" i="23184"/>
  <c r="AF65" i="23184"/>
  <c r="Y78" i="23184"/>
  <c r="M81" i="23184"/>
  <c r="AG81" i="23184"/>
  <c r="AS27" i="23184"/>
  <c r="B66" i="23184"/>
  <c r="F67" i="23184"/>
  <c r="G79" i="23184"/>
  <c r="Y67" i="23184"/>
  <c r="Y73" i="23184"/>
  <c r="K81" i="23184"/>
  <c r="AA77" i="23184"/>
  <c r="M67" i="23184"/>
  <c r="Q27" i="23184"/>
  <c r="AD27" i="23184"/>
  <c r="P75" i="23184"/>
  <c r="Z52" i="23184"/>
  <c r="K65" i="23184"/>
  <c r="AE65" i="23184"/>
  <c r="J67" i="23184"/>
  <c r="K78" i="23184"/>
  <c r="J81" i="23184"/>
  <c r="AB81" i="23184"/>
  <c r="AO27" i="23184"/>
  <c r="I67" i="23184"/>
  <c r="AV17" i="23184"/>
  <c r="B26" i="23184"/>
  <c r="B39" i="23184"/>
  <c r="G40" i="23184"/>
  <c r="B78" i="23184"/>
  <c r="F73" i="23184"/>
  <c r="H77" i="23184"/>
  <c r="AF67" i="23184"/>
  <c r="P65" i="23184"/>
  <c r="AI73" i="23184"/>
  <c r="V77" i="23184"/>
  <c r="P27" i="23184"/>
  <c r="AC27" i="23184"/>
  <c r="AE75" i="23184"/>
  <c r="Y52" i="23184"/>
  <c r="Q65" i="23184"/>
  <c r="AJ65" i="23184"/>
  <c r="Z78" i="23184"/>
  <c r="P79" i="23184"/>
  <c r="AJ81" i="23184"/>
  <c r="AF81" i="23184"/>
  <c r="B51" i="23184"/>
  <c r="F40" i="23184"/>
  <c r="I81" i="23184"/>
  <c r="G65" i="23184"/>
  <c r="F79" i="23184"/>
  <c r="H65" i="23184"/>
  <c r="G73" i="23184"/>
  <c r="O73" i="23184"/>
  <c r="AJ27" i="23184"/>
  <c r="I27" i="23184"/>
  <c r="Z65" i="23184"/>
  <c r="Z81" i="23184"/>
  <c r="P16" i="23184"/>
  <c r="L16" i="23184"/>
  <c r="C72" i="23201"/>
  <c r="X16" i="23184"/>
  <c r="D59" i="23201"/>
  <c r="C66" i="23201"/>
  <c r="R53" i="23184"/>
  <c r="S53" i="23184"/>
  <c r="T53" i="23184"/>
  <c r="U53" i="23184"/>
  <c r="S60" i="23184"/>
  <c r="T60" i="23184"/>
  <c r="U60" i="23184"/>
  <c r="R60" i="23184"/>
  <c r="R37" i="23184"/>
  <c r="S37" i="23184"/>
  <c r="T37" i="23184"/>
  <c r="U37" i="23184"/>
  <c r="R65" i="23184"/>
  <c r="S65" i="23184"/>
  <c r="T65" i="23184"/>
  <c r="U65" i="23184"/>
  <c r="R67" i="23184"/>
  <c r="S67" i="23184"/>
  <c r="T67" i="23184"/>
  <c r="U67" i="23184"/>
  <c r="S72" i="23184"/>
  <c r="T72" i="23184"/>
  <c r="U72" i="23184"/>
  <c r="R72" i="23184"/>
  <c r="R49" i="23184"/>
  <c r="S49" i="23184"/>
  <c r="T49" i="23184"/>
  <c r="U49" i="23184"/>
  <c r="R74" i="23184"/>
  <c r="S74" i="23184"/>
  <c r="T74" i="23184"/>
  <c r="U74" i="23184"/>
  <c r="R77" i="23184"/>
  <c r="S77" i="23184"/>
  <c r="T77" i="23184"/>
  <c r="U77" i="23184"/>
  <c r="AD79" i="23184"/>
  <c r="R79" i="23184"/>
  <c r="S79" i="23184"/>
  <c r="T79" i="23184"/>
  <c r="U79" i="23184"/>
  <c r="S81" i="23184"/>
  <c r="T81" i="23184"/>
  <c r="U81" i="23184"/>
  <c r="R81" i="23184"/>
  <c r="R61" i="23184"/>
  <c r="S61" i="23184"/>
  <c r="T61" i="23184"/>
  <c r="U61" i="23184"/>
  <c r="D52" i="23201"/>
  <c r="R73" i="23184"/>
  <c r="S73" i="23184"/>
  <c r="T73" i="23184"/>
  <c r="U73" i="23184"/>
  <c r="AG18" i="23184"/>
  <c r="R18" i="23184"/>
  <c r="S18" i="23184"/>
  <c r="U18" i="23184"/>
  <c r="R82" i="23184"/>
  <c r="S82" i="23184"/>
  <c r="T82" i="23184"/>
  <c r="U82" i="23184"/>
  <c r="AP75" i="23184"/>
  <c r="S75" i="23184"/>
  <c r="T75" i="23184"/>
  <c r="U75" i="23184"/>
  <c r="R75" i="23184"/>
  <c r="S27" i="23184"/>
  <c r="T27" i="23184"/>
  <c r="U27" i="23184"/>
  <c r="R27" i="23184"/>
  <c r="S30" i="23184"/>
  <c r="T30" i="23184"/>
  <c r="U30" i="23184"/>
  <c r="R30" i="23184"/>
  <c r="S39" i="23184"/>
  <c r="T39" i="23184"/>
  <c r="U39" i="23184"/>
  <c r="R39" i="23184"/>
  <c r="AL38" i="23184"/>
  <c r="R38" i="23184"/>
  <c r="S38" i="23184"/>
  <c r="T38" i="23184"/>
  <c r="U38" i="23184"/>
  <c r="AI16" i="23184"/>
  <c r="R16" i="23184"/>
  <c r="S16" i="23184"/>
  <c r="U16" i="23184"/>
  <c r="S42" i="23184"/>
  <c r="T42" i="23184"/>
  <c r="U42" i="23184"/>
  <c r="R42" i="23184"/>
  <c r="R80" i="23184"/>
  <c r="S80" i="23184"/>
  <c r="T80" i="23184"/>
  <c r="U80" i="23184"/>
  <c r="R28" i="23184"/>
  <c r="S28" i="23184"/>
  <c r="T28" i="23184"/>
  <c r="U28" i="23184"/>
  <c r="S54" i="23184"/>
  <c r="T54" i="23184"/>
  <c r="U54" i="23184"/>
  <c r="R54" i="23184"/>
  <c r="C38" i="23201"/>
  <c r="AN26" i="23184"/>
  <c r="R26" i="23184"/>
  <c r="S26" i="23184"/>
  <c r="T26" i="23184"/>
  <c r="U26" i="23184"/>
  <c r="V40" i="23184"/>
  <c r="R40" i="23184"/>
  <c r="S40" i="23184"/>
  <c r="T40" i="23184"/>
  <c r="U40" i="23184"/>
  <c r="S66" i="23184"/>
  <c r="T66" i="23184"/>
  <c r="U66" i="23184"/>
  <c r="R66" i="23184"/>
  <c r="R23" i="23184"/>
  <c r="S23" i="23184"/>
  <c r="T23" i="23184"/>
  <c r="U23" i="23184"/>
  <c r="R52" i="23184"/>
  <c r="S52" i="23184"/>
  <c r="T52" i="23184"/>
  <c r="U52" i="23184"/>
  <c r="S78" i="23184"/>
  <c r="T78" i="23184"/>
  <c r="U78" i="23184"/>
  <c r="R78" i="23184"/>
  <c r="R47" i="23184"/>
  <c r="S47" i="23184"/>
  <c r="T47" i="23184"/>
  <c r="U47" i="23184"/>
  <c r="S24" i="23184"/>
  <c r="T24" i="23184"/>
  <c r="U24" i="23184"/>
  <c r="R24" i="23184"/>
  <c r="R15" i="23184"/>
  <c r="S15" i="23184"/>
  <c r="U15" i="23184"/>
  <c r="R64" i="23184"/>
  <c r="S64" i="23184"/>
  <c r="T64" i="23184"/>
  <c r="U64" i="23184"/>
  <c r="R29" i="23184"/>
  <c r="S29" i="23184"/>
  <c r="T29" i="23184"/>
  <c r="U29" i="23184"/>
  <c r="H83" i="23184"/>
  <c r="R83" i="23184"/>
  <c r="S83" i="23184"/>
  <c r="T83" i="23184"/>
  <c r="U83" i="23184"/>
  <c r="S36" i="23184"/>
  <c r="T36" i="23184"/>
  <c r="U36" i="23184"/>
  <c r="R36" i="23184"/>
  <c r="U14" i="23184"/>
  <c r="S14" i="23184"/>
  <c r="R14" i="23184"/>
  <c r="R76" i="23184"/>
  <c r="S76" i="23184"/>
  <c r="T76" i="23184"/>
  <c r="U76" i="23184"/>
  <c r="AG41" i="23184"/>
  <c r="R41" i="23184"/>
  <c r="S41" i="23184"/>
  <c r="T41" i="23184"/>
  <c r="U41" i="23184"/>
  <c r="AG48" i="23184"/>
  <c r="S48" i="23184"/>
  <c r="T48" i="23184"/>
  <c r="U48" i="23184"/>
  <c r="R48" i="23184"/>
  <c r="R25" i="23184"/>
  <c r="S25" i="23184"/>
  <c r="T25" i="23184"/>
  <c r="U25" i="23184"/>
  <c r="F48" i="23184"/>
  <c r="H41" i="23184"/>
  <c r="H75" i="23184"/>
  <c r="P48" i="23184"/>
  <c r="AF48" i="23184"/>
  <c r="L75" i="23184"/>
  <c r="AF41" i="23184"/>
  <c r="AB75" i="23184"/>
  <c r="M16" i="23184"/>
  <c r="AH16" i="23184"/>
  <c r="AD40" i="23184"/>
  <c r="N79" i="23184"/>
  <c r="C25" i="23201"/>
  <c r="CT22" i="23183"/>
  <c r="CZ22" i="23183" s="1"/>
  <c r="AU75" i="23184"/>
  <c r="E75" i="23184"/>
  <c r="O48" i="23184"/>
  <c r="AE48" i="23184"/>
  <c r="Q41" i="23184"/>
  <c r="AE41" i="23184"/>
  <c r="AF75" i="23184"/>
  <c r="AG16" i="23184"/>
  <c r="AI40" i="23184"/>
  <c r="J79" i="23184"/>
  <c r="K79" i="23184"/>
  <c r="Q79" i="23184"/>
  <c r="AF79" i="23184"/>
  <c r="X40" i="23184"/>
  <c r="CT19" i="23183"/>
  <c r="CZ19" i="23183" s="1"/>
  <c r="AV75" i="23184"/>
  <c r="E41" i="23184"/>
  <c r="M48" i="23184"/>
  <c r="AC48" i="23184"/>
  <c r="K75" i="23184"/>
  <c r="P41" i="23184"/>
  <c r="AD41" i="23184"/>
  <c r="X75" i="23184"/>
  <c r="AD75" i="23184"/>
  <c r="L48" i="23184"/>
  <c r="K16" i="23184"/>
  <c r="AE16" i="23184"/>
  <c r="O79" i="23184"/>
  <c r="AC79" i="23184"/>
  <c r="D36" i="23201"/>
  <c r="D65" i="23201"/>
  <c r="AL75" i="23184"/>
  <c r="B74" i="23184"/>
  <c r="E48" i="23184"/>
  <c r="Q48" i="23184"/>
  <c r="AA48" i="23184"/>
  <c r="O41" i="23184"/>
  <c r="AC41" i="23184"/>
  <c r="AC75" i="23184"/>
  <c r="J16" i="23184"/>
  <c r="I16" i="23184"/>
  <c r="X79" i="23184"/>
  <c r="AJ79" i="23184"/>
  <c r="AO75" i="23184"/>
  <c r="C37" i="23201"/>
  <c r="O75" i="23184"/>
  <c r="B40" i="23184"/>
  <c r="G48" i="23184"/>
  <c r="I48" i="23184"/>
  <c r="AI48" i="23184"/>
  <c r="N41" i="23184"/>
  <c r="AB41" i="23184"/>
  <c r="Z75" i="23184"/>
  <c r="I75" i="23184"/>
  <c r="V48" i="23184"/>
  <c r="H48" i="23184"/>
  <c r="X41" i="23184"/>
  <c r="I41" i="23184"/>
  <c r="N75" i="23184"/>
  <c r="Y75" i="23184"/>
  <c r="Z16" i="23184"/>
  <c r="O40" i="23184"/>
  <c r="CR21" i="23183"/>
  <c r="CX21" i="23183" s="1"/>
  <c r="CT21" i="23183"/>
  <c r="CZ21" i="23183" s="1"/>
  <c r="G75" i="23184"/>
  <c r="AJ48" i="23184"/>
  <c r="K41" i="23184"/>
  <c r="Y41" i="23184"/>
  <c r="AA75" i="23184"/>
  <c r="CT20" i="23183"/>
  <c r="CZ20" i="23183" s="1"/>
  <c r="J48" i="23184"/>
  <c r="AH48" i="23184"/>
  <c r="J41" i="23184"/>
  <c r="V41" i="23184"/>
  <c r="M75" i="23184"/>
  <c r="AJ75" i="23184"/>
  <c r="Z18" i="23184"/>
  <c r="O16" i="23184"/>
  <c r="AD16" i="23184"/>
  <c r="AG79" i="23184"/>
  <c r="AS75" i="23184"/>
  <c r="CS18" i="23183"/>
  <c r="CY18" i="23183" s="1"/>
  <c r="F41" i="23184"/>
  <c r="X48" i="23184"/>
  <c r="AI41" i="23184"/>
  <c r="V75" i="23184"/>
  <c r="AI75" i="23184"/>
  <c r="AI18" i="23184"/>
  <c r="AC16" i="23184"/>
  <c r="L40" i="23184"/>
  <c r="V79" i="23184"/>
  <c r="Z48" i="23184"/>
  <c r="Z41" i="23184"/>
  <c r="AH41" i="23184"/>
  <c r="AH75" i="23184"/>
  <c r="N16" i="23184"/>
  <c r="AB16" i="23184"/>
  <c r="Y40" i="23184"/>
  <c r="Z79" i="23184"/>
  <c r="M79" i="23184"/>
  <c r="D26" i="23201"/>
  <c r="AN75" i="23184"/>
  <c r="B47" i="23184"/>
  <c r="J75" i="23184"/>
  <c r="AB48" i="23184"/>
  <c r="Q75" i="23184"/>
  <c r="AG75" i="23184"/>
  <c r="AJ83" i="23184"/>
  <c r="J18" i="23184"/>
  <c r="AD18" i="23184"/>
  <c r="AO78" i="23184"/>
  <c r="AN78" i="23184"/>
  <c r="AV78" i="23184"/>
  <c r="AK78" i="23184"/>
  <c r="AU78" i="23184"/>
  <c r="AS78" i="23184"/>
  <c r="AM78" i="23184"/>
  <c r="AL78" i="23184"/>
  <c r="AP78" i="23184"/>
  <c r="F45" i="23201"/>
  <c r="D45" i="23201" s="1"/>
  <c r="E45" i="23201"/>
  <c r="F22" i="23201"/>
  <c r="C22" i="23201" s="1"/>
  <c r="E22" i="23201"/>
  <c r="K24" i="23184"/>
  <c r="AV24" i="23184"/>
  <c r="AK24" i="23184"/>
  <c r="AU24" i="23184"/>
  <c r="AL24" i="23184"/>
  <c r="AS24" i="23184"/>
  <c r="AM24" i="23184"/>
  <c r="AP24" i="23184"/>
  <c r="AN24" i="23184"/>
  <c r="AO24" i="23184"/>
  <c r="F41" i="23201"/>
  <c r="C41" i="23201" s="1"/>
  <c r="E41" i="23201"/>
  <c r="AK28" i="23184"/>
  <c r="AL28" i="23184"/>
  <c r="AM28" i="23184"/>
  <c r="AV28" i="23184"/>
  <c r="AU28" i="23184"/>
  <c r="AS28" i="23184"/>
  <c r="AO28" i="23184"/>
  <c r="AP28" i="23184"/>
  <c r="AN28" i="23184"/>
  <c r="G18" i="23184"/>
  <c r="Y83" i="23184"/>
  <c r="AD83" i="23184"/>
  <c r="P24" i="23184"/>
  <c r="AG24" i="23184"/>
  <c r="N78" i="23184"/>
  <c r="N28" i="23184"/>
  <c r="Y28" i="23184"/>
  <c r="X18" i="23184"/>
  <c r="AC18" i="23184"/>
  <c r="J78" i="23184"/>
  <c r="AD78" i="23184"/>
  <c r="AA40" i="23184"/>
  <c r="AK40" i="23184"/>
  <c r="AL40" i="23184"/>
  <c r="AM40" i="23184"/>
  <c r="AV40" i="23184"/>
  <c r="AU40" i="23184"/>
  <c r="AS40" i="23184"/>
  <c r="AO40" i="23184"/>
  <c r="AP40" i="23184"/>
  <c r="AN40" i="23184"/>
  <c r="F54" i="23201"/>
  <c r="C54" i="23201" s="1"/>
  <c r="E54" i="23201"/>
  <c r="AN29" i="23184"/>
  <c r="AK29" i="23184"/>
  <c r="AV29" i="23184"/>
  <c r="AU29" i="23184"/>
  <c r="L29" i="23184"/>
  <c r="AP29" i="23184"/>
  <c r="AL29" i="23184"/>
  <c r="AM29" i="23184"/>
  <c r="AO29" i="23184"/>
  <c r="M29" i="23184"/>
  <c r="AS29" i="23184"/>
  <c r="F55" i="23201"/>
  <c r="C55" i="23201" s="1"/>
  <c r="E55" i="23201"/>
  <c r="F40" i="23201"/>
  <c r="C40" i="23201" s="1"/>
  <c r="E40" i="23201"/>
  <c r="L36" i="23184"/>
  <c r="AV36" i="23184"/>
  <c r="AK36" i="23184"/>
  <c r="AU36" i="23184"/>
  <c r="AL36" i="23184"/>
  <c r="AS36" i="23184"/>
  <c r="AM36" i="23184"/>
  <c r="AP36" i="23184"/>
  <c r="AO36" i="23184"/>
  <c r="AN36" i="23184"/>
  <c r="K36" i="23184"/>
  <c r="D39" i="23201"/>
  <c r="K83" i="23184"/>
  <c r="F78" i="23184"/>
  <c r="G24" i="23184"/>
  <c r="AC83" i="23184"/>
  <c r="Y24" i="23184"/>
  <c r="AF24" i="23184"/>
  <c r="X28" i="23184"/>
  <c r="V28" i="23184"/>
  <c r="Y18" i="23184"/>
  <c r="I18" i="23184"/>
  <c r="X78" i="23184"/>
  <c r="AC78" i="23184"/>
  <c r="AK52" i="23184"/>
  <c r="AL52" i="23184"/>
  <c r="AM52" i="23184"/>
  <c r="AV52" i="23184"/>
  <c r="AU52" i="23184"/>
  <c r="AS52" i="23184"/>
  <c r="AO52" i="23184"/>
  <c r="AP52" i="23184"/>
  <c r="AN52" i="23184"/>
  <c r="L41" i="23184"/>
  <c r="AN41" i="23184"/>
  <c r="AK41" i="23184"/>
  <c r="AV41" i="23184"/>
  <c r="AU41" i="23184"/>
  <c r="AP41" i="23184"/>
  <c r="AL41" i="23184"/>
  <c r="AM41" i="23184"/>
  <c r="AS41" i="23184"/>
  <c r="AO41" i="23184"/>
  <c r="F57" i="23201"/>
  <c r="C57" i="23201" s="1"/>
  <c r="E57" i="23201"/>
  <c r="F34" i="23201"/>
  <c r="D34" i="23201" s="1"/>
  <c r="E34" i="23201"/>
  <c r="K82" i="23184"/>
  <c r="AV82" i="23184"/>
  <c r="AU82" i="23184"/>
  <c r="AS82" i="23184"/>
  <c r="AP82" i="23184"/>
  <c r="AO82" i="23184"/>
  <c r="AN82" i="23184"/>
  <c r="AK82" i="23184"/>
  <c r="AM82" i="23184"/>
  <c r="AL82" i="23184"/>
  <c r="CS22" i="23183"/>
  <c r="CY22" i="23183" s="1"/>
  <c r="K48" i="23184"/>
  <c r="AV48" i="23184"/>
  <c r="AK48" i="23184"/>
  <c r="Y48" i="23184"/>
  <c r="AU48" i="23184"/>
  <c r="AL48" i="23184"/>
  <c r="AS48" i="23184"/>
  <c r="AM48" i="23184"/>
  <c r="AP48" i="23184"/>
  <c r="AO48" i="23184"/>
  <c r="AN48" i="23184"/>
  <c r="AV25" i="23184"/>
  <c r="AU25" i="23184"/>
  <c r="P25" i="23184"/>
  <c r="AS25" i="23184"/>
  <c r="AK25" i="23184"/>
  <c r="AN25" i="23184"/>
  <c r="AO25" i="23184"/>
  <c r="AL25" i="23184"/>
  <c r="AP25" i="23184"/>
  <c r="AM25" i="23184"/>
  <c r="Z83" i="23184"/>
  <c r="AL83" i="23184"/>
  <c r="AV83" i="23184"/>
  <c r="AM83" i="23184"/>
  <c r="AU83" i="23184"/>
  <c r="AS83" i="23184"/>
  <c r="AP83" i="23184"/>
  <c r="AO83" i="23184"/>
  <c r="Q83" i="23184"/>
  <c r="J83" i="23184"/>
  <c r="O83" i="23184"/>
  <c r="AN83" i="23184"/>
  <c r="AK83" i="23184"/>
  <c r="O28" i="23184"/>
  <c r="AD28" i="23184"/>
  <c r="E83" i="23184"/>
  <c r="G83" i="23184"/>
  <c r="E28" i="23184"/>
  <c r="O24" i="23184"/>
  <c r="AE24" i="23184"/>
  <c r="M78" i="23184"/>
  <c r="M28" i="23184"/>
  <c r="AA28" i="23184"/>
  <c r="Q52" i="23184"/>
  <c r="AA52" i="23184"/>
  <c r="O78" i="23184"/>
  <c r="N40" i="23184"/>
  <c r="AJ40" i="23184"/>
  <c r="V29" i="23184"/>
  <c r="AA78" i="23184"/>
  <c r="I78" i="23184"/>
  <c r="J64" i="23184"/>
  <c r="AK64" i="23184"/>
  <c r="AL64" i="23184"/>
  <c r="AM64" i="23184"/>
  <c r="AV64" i="23184"/>
  <c r="AU64" i="23184"/>
  <c r="AS64" i="23184"/>
  <c r="K64" i="23184"/>
  <c r="AO64" i="23184"/>
  <c r="P64" i="23184"/>
  <c r="AP64" i="23184"/>
  <c r="AN64" i="23184"/>
  <c r="O64" i="23184"/>
  <c r="J53" i="23184"/>
  <c r="AN53" i="23184"/>
  <c r="AK53" i="23184"/>
  <c r="AV53" i="23184"/>
  <c r="AU53" i="23184"/>
  <c r="AP53" i="23184"/>
  <c r="AL53" i="23184"/>
  <c r="AM53" i="23184"/>
  <c r="AS53" i="23184"/>
  <c r="AO53" i="23184"/>
  <c r="F67" i="23201"/>
  <c r="C67" i="23201" s="1"/>
  <c r="E67" i="23201"/>
  <c r="F20" i="23201"/>
  <c r="C20" i="23201" s="1"/>
  <c r="E20" i="23201"/>
  <c r="K60" i="23184"/>
  <c r="AV60" i="23184"/>
  <c r="AK60" i="23184"/>
  <c r="AU60" i="23184"/>
  <c r="AL60" i="23184"/>
  <c r="AS60" i="23184"/>
  <c r="AM60" i="23184"/>
  <c r="AP60" i="23184"/>
  <c r="AN60" i="23184"/>
  <c r="AO60" i="23184"/>
  <c r="P37" i="23184"/>
  <c r="AV37" i="23184"/>
  <c r="AU37" i="23184"/>
  <c r="AS37" i="23184"/>
  <c r="AK37" i="23184"/>
  <c r="AN37" i="23184"/>
  <c r="AP37" i="23184"/>
  <c r="AO37" i="23184"/>
  <c r="AL37" i="23184"/>
  <c r="AM37" i="23184"/>
  <c r="F51" i="23201"/>
  <c r="D51" i="23201" s="1"/>
  <c r="E51" i="23201"/>
  <c r="B27" i="23184"/>
  <c r="F18" i="23184"/>
  <c r="E18" i="23184"/>
  <c r="X83" i="23184"/>
  <c r="N24" i="23184"/>
  <c r="AD24" i="23184"/>
  <c r="Q28" i="23184"/>
  <c r="AC28" i="23184"/>
  <c r="V52" i="23184"/>
  <c r="AB18" i="23184"/>
  <c r="M40" i="23184"/>
  <c r="AC40" i="23184"/>
  <c r="Q29" i="23184"/>
  <c r="AA29" i="23184"/>
  <c r="P78" i="23184"/>
  <c r="AB78" i="23184"/>
  <c r="AK76" i="23184"/>
  <c r="AL76" i="23184"/>
  <c r="AM76" i="23184"/>
  <c r="AV76" i="23184"/>
  <c r="AU76" i="23184"/>
  <c r="AS76" i="23184"/>
  <c r="AO76" i="23184"/>
  <c r="AP76" i="23184"/>
  <c r="J76" i="23184"/>
  <c r="AN76" i="23184"/>
  <c r="K76" i="23184"/>
  <c r="O76" i="23184"/>
  <c r="P76" i="23184"/>
  <c r="J65" i="23184"/>
  <c r="AN65" i="23184"/>
  <c r="AK65" i="23184"/>
  <c r="AV65" i="23184"/>
  <c r="AU65" i="23184"/>
  <c r="AP65" i="23184"/>
  <c r="AL65" i="23184"/>
  <c r="AM65" i="23184"/>
  <c r="AO65" i="23184"/>
  <c r="L65" i="23184"/>
  <c r="M65" i="23184"/>
  <c r="AS65" i="23184"/>
  <c r="AP67" i="23184"/>
  <c r="AL67" i="23184"/>
  <c r="AO67" i="23184"/>
  <c r="AM67" i="23184"/>
  <c r="AN67" i="23184"/>
  <c r="AV67" i="23184"/>
  <c r="AU67" i="23184"/>
  <c r="AK67" i="23184"/>
  <c r="AS67" i="23184"/>
  <c r="F69" i="23201"/>
  <c r="C69" i="23201" s="1"/>
  <c r="E69" i="23201"/>
  <c r="D24" i="23201"/>
  <c r="D60" i="23201"/>
  <c r="AL23" i="23184"/>
  <c r="AV23" i="23184"/>
  <c r="AM23" i="23184"/>
  <c r="AU23" i="23184"/>
  <c r="AS23" i="23184"/>
  <c r="AP23" i="23184"/>
  <c r="AO23" i="23184"/>
  <c r="V23" i="23184"/>
  <c r="Q23" i="23184"/>
  <c r="AK23" i="23184"/>
  <c r="AN23" i="23184"/>
  <c r="K72" i="23184"/>
  <c r="AV72" i="23184"/>
  <c r="AK72" i="23184"/>
  <c r="AU72" i="23184"/>
  <c r="AL72" i="23184"/>
  <c r="AS72" i="23184"/>
  <c r="AM72" i="23184"/>
  <c r="AP72" i="23184"/>
  <c r="AO72" i="23184"/>
  <c r="AN72" i="23184"/>
  <c r="AV49" i="23184"/>
  <c r="AU49" i="23184"/>
  <c r="AS49" i="23184"/>
  <c r="AK49" i="23184"/>
  <c r="M49" i="23184"/>
  <c r="AN49" i="23184"/>
  <c r="AP49" i="23184"/>
  <c r="AO49" i="23184"/>
  <c r="AL49" i="23184"/>
  <c r="AM49" i="23184"/>
  <c r="N49" i="23184"/>
  <c r="F24" i="23184"/>
  <c r="B82" i="23184"/>
  <c r="B23" i="23184"/>
  <c r="AB83" i="23184"/>
  <c r="M24" i="23184"/>
  <c r="AC24" i="23184"/>
  <c r="AB28" i="23184"/>
  <c r="L52" i="23184"/>
  <c r="AJ52" i="23184"/>
  <c r="P18" i="23184"/>
  <c r="Q40" i="23184"/>
  <c r="AB40" i="23184"/>
  <c r="AH29" i="23184"/>
  <c r="V78" i="23184"/>
  <c r="AN77" i="23184"/>
  <c r="AK77" i="23184"/>
  <c r="AV77" i="23184"/>
  <c r="AU77" i="23184"/>
  <c r="AP77" i="23184"/>
  <c r="AL77" i="23184"/>
  <c r="AM77" i="23184"/>
  <c r="AS77" i="23184"/>
  <c r="AO77" i="23184"/>
  <c r="L77" i="23184"/>
  <c r="J77" i="23184"/>
  <c r="F32" i="23201"/>
  <c r="C32" i="23201" s="1"/>
  <c r="E32" i="23201"/>
  <c r="AP79" i="23184"/>
  <c r="AL79" i="23184"/>
  <c r="AO79" i="23184"/>
  <c r="AM79" i="23184"/>
  <c r="AN79" i="23184"/>
  <c r="AV79" i="23184"/>
  <c r="AU79" i="23184"/>
  <c r="AS79" i="23184"/>
  <c r="AK79" i="23184"/>
  <c r="CR18" i="23183"/>
  <c r="CX18" i="23183" s="1"/>
  <c r="AL47" i="23184"/>
  <c r="AV47" i="23184"/>
  <c r="AM47" i="23184"/>
  <c r="Z47" i="23184"/>
  <c r="AU47" i="23184"/>
  <c r="AS47" i="23184"/>
  <c r="AP47" i="23184"/>
  <c r="AO47" i="23184"/>
  <c r="AN47" i="23184"/>
  <c r="AK47" i="23184"/>
  <c r="F49" i="23201"/>
  <c r="D49" i="23201" s="1"/>
  <c r="E49" i="23201"/>
  <c r="F28" i="23201"/>
  <c r="D28" i="23201" s="1"/>
  <c r="E28" i="23201"/>
  <c r="L61" i="23184"/>
  <c r="M61" i="23184"/>
  <c r="AV61" i="23184"/>
  <c r="N61" i="23184"/>
  <c r="AU61" i="23184"/>
  <c r="P61" i="23184"/>
  <c r="AS61" i="23184"/>
  <c r="AK61" i="23184"/>
  <c r="AN61" i="23184"/>
  <c r="AO61" i="23184"/>
  <c r="AP61" i="23184"/>
  <c r="AL61" i="23184"/>
  <c r="AM61" i="23184"/>
  <c r="F63" i="23201"/>
  <c r="C63" i="23201" s="1"/>
  <c r="E63" i="23201"/>
  <c r="F50" i="23201"/>
  <c r="D50" i="23201" s="1"/>
  <c r="E50" i="23201"/>
  <c r="AV73" i="23184"/>
  <c r="AU73" i="23184"/>
  <c r="AS73" i="23184"/>
  <c r="AK73" i="23184"/>
  <c r="AN73" i="23184"/>
  <c r="M73" i="23184"/>
  <c r="N73" i="23184"/>
  <c r="AP73" i="23184"/>
  <c r="P73" i="23184"/>
  <c r="AO73" i="23184"/>
  <c r="AL73" i="23184"/>
  <c r="AM73" i="23184"/>
  <c r="L73" i="23184"/>
  <c r="P83" i="23184"/>
  <c r="M83" i="23184"/>
  <c r="AH83" i="23184"/>
  <c r="J24" i="23184"/>
  <c r="AH24" i="23184"/>
  <c r="H24" i="23184"/>
  <c r="K28" i="23184"/>
  <c r="AG28" i="23184"/>
  <c r="X52" i="23184"/>
  <c r="AI52" i="23184"/>
  <c r="N18" i="23184"/>
  <c r="AH18" i="23184"/>
  <c r="AG40" i="23184"/>
  <c r="O29" i="23184"/>
  <c r="AE29" i="23184"/>
  <c r="AJ78" i="23184"/>
  <c r="AO30" i="23184"/>
  <c r="AN30" i="23184"/>
  <c r="AV30" i="23184"/>
  <c r="AK30" i="23184"/>
  <c r="AU30" i="23184"/>
  <c r="AS30" i="23184"/>
  <c r="AM30" i="23184"/>
  <c r="AP30" i="23184"/>
  <c r="AL30" i="23184"/>
  <c r="F21" i="23201"/>
  <c r="C21" i="23201" s="1"/>
  <c r="E21" i="23201"/>
  <c r="F58" i="23201"/>
  <c r="C58" i="23201" s="1"/>
  <c r="E58" i="23201"/>
  <c r="F62" i="23201"/>
  <c r="D62" i="23201" s="1"/>
  <c r="E62" i="23201"/>
  <c r="CR19" i="23183"/>
  <c r="CX19" i="23183" s="1"/>
  <c r="F83" i="23184"/>
  <c r="I83" i="23184"/>
  <c r="I24" i="23184"/>
  <c r="AG83" i="23184"/>
  <c r="X24" i="23184"/>
  <c r="J28" i="23184"/>
  <c r="AF28" i="23184"/>
  <c r="M18" i="23184"/>
  <c r="K40" i="23184"/>
  <c r="AF40" i="23184"/>
  <c r="N29" i="23184"/>
  <c r="AJ29" i="23184"/>
  <c r="AH78" i="23184"/>
  <c r="F30" i="23201"/>
  <c r="D30" i="23201" s="1"/>
  <c r="E30" i="23201"/>
  <c r="F31" i="23201"/>
  <c r="C31" i="23201" s="1"/>
  <c r="E31" i="23201"/>
  <c r="N42" i="23184"/>
  <c r="AO42" i="23184"/>
  <c r="AN42" i="23184"/>
  <c r="AV42" i="23184"/>
  <c r="AK42" i="23184"/>
  <c r="AU42" i="23184"/>
  <c r="AS42" i="23184"/>
  <c r="AM42" i="23184"/>
  <c r="AL42" i="23184"/>
  <c r="AP42" i="23184"/>
  <c r="F56" i="23201"/>
  <c r="C56" i="23201" s="1"/>
  <c r="E56" i="23201"/>
  <c r="AU80" i="23184"/>
  <c r="AS80" i="23184"/>
  <c r="AP80" i="23184"/>
  <c r="AO80" i="23184"/>
  <c r="AK80" i="23184"/>
  <c r="AN80" i="23184"/>
  <c r="AL80" i="23184"/>
  <c r="AM80" i="23184"/>
  <c r="AV80" i="23184"/>
  <c r="L80" i="23184"/>
  <c r="K80" i="23184"/>
  <c r="CS20" i="23183"/>
  <c r="CY20" i="23183" s="1"/>
  <c r="D64" i="23201"/>
  <c r="F27" i="23201"/>
  <c r="C27" i="23201" s="1"/>
  <c r="E27" i="23201"/>
  <c r="N83" i="23184"/>
  <c r="CS19" i="23183"/>
  <c r="CY19" i="23183" s="1"/>
  <c r="F19" i="23201"/>
  <c r="E19" i="23201"/>
  <c r="AO18" i="23184"/>
  <c r="AV18" i="23184"/>
  <c r="AK18" i="23184"/>
  <c r="AM18" i="23184"/>
  <c r="AL18" i="23184"/>
  <c r="H78" i="23184"/>
  <c r="L83" i="23184"/>
  <c r="AF83" i="23184"/>
  <c r="Z24" i="23184"/>
  <c r="Z28" i="23184"/>
  <c r="AE28" i="23184"/>
  <c r="L18" i="23184"/>
  <c r="AF18" i="23184"/>
  <c r="J40" i="23184"/>
  <c r="AE40" i="23184"/>
  <c r="AD29" i="23184"/>
  <c r="Q78" i="23184"/>
  <c r="AG78" i="23184"/>
  <c r="M54" i="23184"/>
  <c r="AO54" i="23184"/>
  <c r="AN54" i="23184"/>
  <c r="AV54" i="23184"/>
  <c r="AK54" i="23184"/>
  <c r="AU54" i="23184"/>
  <c r="AS54" i="23184"/>
  <c r="AM54" i="23184"/>
  <c r="AL54" i="23184"/>
  <c r="AP54" i="23184"/>
  <c r="F33" i="23201"/>
  <c r="C33" i="23201" s="1"/>
  <c r="E33" i="23201"/>
  <c r="F70" i="23201"/>
  <c r="C70" i="23201" s="1"/>
  <c r="E70" i="23201"/>
  <c r="AV81" i="23184"/>
  <c r="AU81" i="23184"/>
  <c r="AS81" i="23184"/>
  <c r="AP81" i="23184"/>
  <c r="AO81" i="23184"/>
  <c r="AN81" i="23184"/>
  <c r="AK81" i="23184"/>
  <c r="AL81" i="23184"/>
  <c r="AM81" i="23184"/>
  <c r="AI83" i="23184"/>
  <c r="F44" i="23201"/>
  <c r="D44" i="23201" s="1"/>
  <c r="E44" i="23201"/>
  <c r="CR20" i="23183"/>
  <c r="CX20" i="23183" s="1"/>
  <c r="F61" i="23201"/>
  <c r="C61" i="23201" s="1"/>
  <c r="E61" i="23201"/>
  <c r="G78" i="23184"/>
  <c r="V83" i="23184"/>
  <c r="AE83" i="23184"/>
  <c r="AJ24" i="23184"/>
  <c r="P28" i="23184"/>
  <c r="AJ28" i="23184"/>
  <c r="I28" i="23184"/>
  <c r="AD52" i="23184"/>
  <c r="AF52" i="23184"/>
  <c r="K18" i="23184"/>
  <c r="AE18" i="23184"/>
  <c r="Z40" i="23184"/>
  <c r="I40" i="23184"/>
  <c r="AC29" i="23184"/>
  <c r="L78" i="23184"/>
  <c r="AF78" i="23184"/>
  <c r="AA41" i="23184"/>
  <c r="AK16" i="23184"/>
  <c r="AL16" i="23184"/>
  <c r="AM16" i="23184"/>
  <c r="AV16" i="23184"/>
  <c r="AO16" i="23184"/>
  <c r="F42" i="23201"/>
  <c r="C42" i="23201" s="1"/>
  <c r="E42" i="23201"/>
  <c r="CS21" i="23183"/>
  <c r="CY21" i="23183" s="1"/>
  <c r="F43" i="23201"/>
  <c r="D43" i="23201" s="1"/>
  <c r="E43" i="23201"/>
  <c r="AO66" i="23184"/>
  <c r="AN66" i="23184"/>
  <c r="AV66" i="23184"/>
  <c r="AK66" i="23184"/>
  <c r="AU66" i="23184"/>
  <c r="AS66" i="23184"/>
  <c r="AM66" i="23184"/>
  <c r="AP66" i="23184"/>
  <c r="AL66" i="23184"/>
  <c r="CT18" i="23183"/>
  <c r="CZ18" i="23183" s="1"/>
  <c r="F68" i="23201"/>
  <c r="C68" i="23201" s="1"/>
  <c r="E68" i="23201"/>
  <c r="CR22" i="23183"/>
  <c r="CX22" i="23183" s="1"/>
  <c r="BN19" i="23183"/>
  <c r="BP19" i="23183" s="1"/>
  <c r="BN20" i="23183"/>
  <c r="BP20" i="23183" s="1"/>
  <c r="BN21" i="23183"/>
  <c r="BP21" i="23183" s="1"/>
  <c r="BN22" i="23183"/>
  <c r="BP22" i="23183" s="1"/>
  <c r="BN18" i="23183"/>
  <c r="BP18" i="23183" s="1"/>
  <c r="AS19" i="23183"/>
  <c r="AY19" i="23183" s="1"/>
  <c r="AU21" i="23183"/>
  <c r="BA21" i="23183" s="1"/>
  <c r="AT20" i="23183"/>
  <c r="AZ20" i="23183" s="1"/>
  <c r="AS18" i="23183"/>
  <c r="AY18" i="23183" s="1"/>
  <c r="AS22" i="23183"/>
  <c r="AY22" i="23183" s="1"/>
  <c r="AU20" i="23183"/>
  <c r="BA20" i="23183" s="1"/>
  <c r="AT18" i="23183"/>
  <c r="AZ18" i="23183" s="1"/>
  <c r="AU22" i="23183"/>
  <c r="BA22" i="23183" s="1"/>
  <c r="AS21" i="23183"/>
  <c r="AY21" i="23183" s="1"/>
  <c r="AT21" i="23183"/>
  <c r="AZ21" i="23183" s="1"/>
  <c r="AU18" i="23183"/>
  <c r="BA18" i="23183" s="1"/>
  <c r="AT22" i="23183"/>
  <c r="AZ22" i="23183" s="1"/>
  <c r="AU19" i="23183"/>
  <c r="BA19" i="23183" s="1"/>
  <c r="AS20" i="23183"/>
  <c r="AY20" i="23183" s="1"/>
  <c r="AT19" i="23183"/>
  <c r="AZ19" i="23183" s="1"/>
  <c r="O20" i="23183"/>
  <c r="Q20" i="23183" s="1"/>
  <c r="O19" i="23183"/>
  <c r="Q19" i="23183" s="1"/>
  <c r="O18" i="23183"/>
  <c r="Q18" i="23183" s="1"/>
  <c r="O21" i="23183"/>
  <c r="Q21" i="23183" s="1"/>
  <c r="O22" i="23183"/>
  <c r="Q22" i="23183" s="1"/>
  <c r="B17" i="23183"/>
  <c r="F16" i="23175"/>
  <c r="J5" i="39" s="1"/>
  <c r="F13" i="23175"/>
  <c r="F15" i="23175"/>
  <c r="J4" i="39" s="1"/>
  <c r="I15" i="23202"/>
  <c r="I16" i="23202" s="1"/>
  <c r="H15" i="23202"/>
  <c r="H16" i="23202" s="1"/>
  <c r="AJ19" i="23184" l="1"/>
  <c r="H19" i="23184"/>
  <c r="AU19" i="23184" s="1"/>
  <c r="J6" i="39"/>
  <c r="J10" i="39" s="1"/>
  <c r="J11" i="39" s="1"/>
  <c r="I3" i="23195"/>
  <c r="I9" i="23195"/>
  <c r="A9" i="23195" s="1"/>
  <c r="I15" i="23195"/>
  <c r="A15" i="23195" s="1"/>
  <c r="J9" i="23195"/>
  <c r="C11" i="23208" s="1"/>
  <c r="J15" i="23195"/>
  <c r="C17" i="23208" s="1"/>
  <c r="I4" i="23195"/>
  <c r="A4" i="23195" s="1"/>
  <c r="I10" i="23195"/>
  <c r="A10" i="23195" s="1"/>
  <c r="J4" i="23195"/>
  <c r="C6" i="23208" s="1"/>
  <c r="J10" i="23195"/>
  <c r="C12" i="23208" s="1"/>
  <c r="I5" i="23195"/>
  <c r="A5" i="23195" s="1"/>
  <c r="I11" i="23195"/>
  <c r="A11" i="23195" s="1"/>
  <c r="J5" i="23195"/>
  <c r="C7" i="23208" s="1"/>
  <c r="J11" i="23195"/>
  <c r="C13" i="23208" s="1"/>
  <c r="I6" i="23195"/>
  <c r="A6" i="23195" s="1"/>
  <c r="I12" i="23195"/>
  <c r="A12" i="23195" s="1"/>
  <c r="J6" i="23195"/>
  <c r="C8" i="23208" s="1"/>
  <c r="J12" i="23195"/>
  <c r="C14" i="23208" s="1"/>
  <c r="I7" i="23195"/>
  <c r="A7" i="23195" s="1"/>
  <c r="I13" i="23195"/>
  <c r="A13" i="23195" s="1"/>
  <c r="J13" i="23195"/>
  <c r="C15" i="23208" s="1"/>
  <c r="I14" i="23195"/>
  <c r="A14" i="23195" s="1"/>
  <c r="J14" i="23195"/>
  <c r="C16" i="23208" s="1"/>
  <c r="J3" i="23195"/>
  <c r="C5" i="23208" s="1"/>
  <c r="J7" i="23195"/>
  <c r="C9" i="23208" s="1"/>
  <c r="I8" i="23195"/>
  <c r="A8" i="23195" s="1"/>
  <c r="J8" i="23195"/>
  <c r="C10" i="23208" s="1"/>
  <c r="AA19" i="23184"/>
  <c r="G18" i="23199" s="1"/>
  <c r="D35" i="23201"/>
  <c r="F20" i="23199"/>
  <c r="F19" i="23199" s="1"/>
  <c r="F18" i="23199" s="1"/>
  <c r="F17" i="23199" s="1"/>
  <c r="F16" i="23199" s="1"/>
  <c r="F15" i="23199" s="1"/>
  <c r="F14" i="23199" s="1"/>
  <c r="F13" i="23199" s="1"/>
  <c r="Q21" i="23184"/>
  <c r="AJ21" i="23184"/>
  <c r="D20" i="23199"/>
  <c r="D19" i="23199" s="1"/>
  <c r="D18" i="23199" s="1"/>
  <c r="D17" i="23199" s="1"/>
  <c r="D16" i="23199" s="1"/>
  <c r="D15" i="23199" s="1"/>
  <c r="D14" i="23199" s="1"/>
  <c r="D13" i="23199" s="1"/>
  <c r="H21" i="23184"/>
  <c r="AU21" i="23184" s="1"/>
  <c r="AA21" i="23184"/>
  <c r="AA20" i="23184"/>
  <c r="G19" i="23199" s="1"/>
  <c r="Q20" i="23184"/>
  <c r="AJ20" i="23184"/>
  <c r="H20" i="23184"/>
  <c r="AU20" i="23184" s="1"/>
  <c r="Q19" i="23184"/>
  <c r="T19" i="23184" s="1"/>
  <c r="V19" i="23184" s="1"/>
  <c r="H15" i="23184"/>
  <c r="AU15" i="23184" s="1"/>
  <c r="AA17" i="23184"/>
  <c r="G16" i="23199" s="1"/>
  <c r="D47" i="23201"/>
  <c r="I2" i="23195"/>
  <c r="J2" i="23195"/>
  <c r="C4" i="23208" s="1"/>
  <c r="AJ17" i="23184"/>
  <c r="H17" i="23184"/>
  <c r="D46" i="23201"/>
  <c r="H14" i="23184"/>
  <c r="AU14" i="23184" s="1"/>
  <c r="Q17" i="23184"/>
  <c r="B24" i="23203"/>
  <c r="I38" i="23210" s="1"/>
  <c r="E23" i="23205"/>
  <c r="E17" i="23205"/>
  <c r="F17" i="23205" s="1"/>
  <c r="H17" i="23205" s="1"/>
  <c r="I17" i="23205" s="1"/>
  <c r="K3" i="23202"/>
  <c r="I4" i="23205"/>
  <c r="K3" i="23206"/>
  <c r="K4" i="23202"/>
  <c r="I5" i="23205"/>
  <c r="K4" i="23206"/>
  <c r="K5" i="23202"/>
  <c r="I6" i="23205"/>
  <c r="K5" i="23206"/>
  <c r="B12" i="23206" s="1"/>
  <c r="AA14" i="23184"/>
  <c r="G13" i="23199" s="1"/>
  <c r="H16" i="23184"/>
  <c r="AU16" i="23184" s="1"/>
  <c r="Q14" i="23184"/>
  <c r="AJ14" i="23184"/>
  <c r="C23" i="23201"/>
  <c r="AA15" i="23184"/>
  <c r="G14" i="23199" s="1"/>
  <c r="AJ15" i="23184"/>
  <c r="Q15" i="23184"/>
  <c r="D71" i="23201"/>
  <c r="B12" i="23200"/>
  <c r="B12" i="23199"/>
  <c r="AA16" i="23184"/>
  <c r="G15" i="23199" s="1"/>
  <c r="H18" i="23184"/>
  <c r="AU18" i="23184" s="1"/>
  <c r="D56" i="23201"/>
  <c r="C50" i="23201"/>
  <c r="D21" i="23201"/>
  <c r="C51" i="23201"/>
  <c r="AJ16" i="23184"/>
  <c r="D31" i="23201"/>
  <c r="D61" i="23201"/>
  <c r="D32" i="23201"/>
  <c r="C62" i="23201"/>
  <c r="D57" i="23201"/>
  <c r="AA18" i="23184"/>
  <c r="G17" i="23199" s="1"/>
  <c r="D70" i="23201"/>
  <c r="C30" i="23201"/>
  <c r="D20" i="23201"/>
  <c r="D22" i="23201"/>
  <c r="AJ18" i="23184"/>
  <c r="Q16" i="23184"/>
  <c r="C43" i="23201"/>
  <c r="C34" i="23201"/>
  <c r="C45" i="23201"/>
  <c r="D19" i="23201"/>
  <c r="D58" i="23201"/>
  <c r="C28" i="23201"/>
  <c r="D33" i="23201"/>
  <c r="D42" i="23201"/>
  <c r="C49" i="23201"/>
  <c r="D69" i="23201"/>
  <c r="C44" i="23201"/>
  <c r="D67" i="23201"/>
  <c r="Q18" i="23184"/>
  <c r="D68" i="23201"/>
  <c r="D27" i="23201"/>
  <c r="D63" i="23201"/>
  <c r="D40" i="23201"/>
  <c r="D54" i="23201"/>
  <c r="D41" i="23201"/>
  <c r="B12" i="23201"/>
  <c r="CV17" i="23183"/>
  <c r="CH17" i="23183"/>
  <c r="BV17" i="23183"/>
  <c r="CO17" i="23183"/>
  <c r="CC17" i="23183"/>
  <c r="BQ17" i="23183"/>
  <c r="CW17" i="23183"/>
  <c r="CG17" i="23183"/>
  <c r="BU17" i="23183"/>
  <c r="CU17" i="23183"/>
  <c r="CF17" i="23183"/>
  <c r="BT17" i="23183"/>
  <c r="CQ17" i="23183"/>
  <c r="CE17" i="23183"/>
  <c r="BS17" i="23183"/>
  <c r="E17" i="23183"/>
  <c r="CP17" i="23183"/>
  <c r="CD17" i="23183"/>
  <c r="BR17" i="23183"/>
  <c r="CN17" i="23183"/>
  <c r="CB17" i="23183"/>
  <c r="BX17" i="23183"/>
  <c r="CM17" i="23183"/>
  <c r="CA17" i="23183"/>
  <c r="CJ17" i="23183"/>
  <c r="CL17" i="23183"/>
  <c r="BZ17" i="23183"/>
  <c r="CI17" i="23183"/>
  <c r="BW17" i="23183"/>
  <c r="CK17" i="23183"/>
  <c r="BY17" i="23183"/>
  <c r="C13" i="23184"/>
  <c r="D55" i="23201"/>
  <c r="BO17" i="23183"/>
  <c r="BH17" i="23183"/>
  <c r="BI17" i="23183"/>
  <c r="BJ17" i="23183"/>
  <c r="BK17" i="23183"/>
  <c r="BL17" i="23183"/>
  <c r="BM17" i="23183"/>
  <c r="BE17" i="23183"/>
  <c r="BF17" i="23183"/>
  <c r="BG17" i="23183"/>
  <c r="BD17" i="23183"/>
  <c r="BC17" i="23183"/>
  <c r="AV17" i="23183"/>
  <c r="AG17" i="23183"/>
  <c r="U17" i="23183"/>
  <c r="AP17" i="23183"/>
  <c r="AD17" i="23183"/>
  <c r="AR17" i="23183"/>
  <c r="AF17" i="23183"/>
  <c r="T17" i="23183"/>
  <c r="AK17" i="23183"/>
  <c r="Y17" i="23183"/>
  <c r="AQ17" i="23183"/>
  <c r="AE17" i="23183"/>
  <c r="S17" i="23183"/>
  <c r="AL17" i="23183"/>
  <c r="Z17" i="23183"/>
  <c r="AJ17" i="23183"/>
  <c r="AO17" i="23183"/>
  <c r="AC17" i="23183"/>
  <c r="AN17" i="23183"/>
  <c r="AB17" i="23183"/>
  <c r="AW17" i="23183"/>
  <c r="AM17" i="23183"/>
  <c r="AA17" i="23183"/>
  <c r="AX17" i="23183"/>
  <c r="AI17" i="23183"/>
  <c r="W17" i="23183"/>
  <c r="X17" i="23183"/>
  <c r="AH17" i="23183"/>
  <c r="V17" i="23183"/>
  <c r="R17" i="23183"/>
  <c r="I17" i="23183"/>
  <c r="H17" i="23183"/>
  <c r="F15" i="23178" s="1"/>
  <c r="G17" i="23183"/>
  <c r="F17" i="23183"/>
  <c r="D17" i="23183"/>
  <c r="P17" i="23183"/>
  <c r="C17" i="23183"/>
  <c r="N17" i="23183"/>
  <c r="M17" i="23183"/>
  <c r="L17" i="23183"/>
  <c r="K17" i="23183"/>
  <c r="J17" i="23183"/>
  <c r="G43" i="39"/>
  <c r="G44" i="39"/>
  <c r="G45" i="39"/>
  <c r="G46" i="39"/>
  <c r="G3" i="23201"/>
  <c r="G4" i="23201"/>
  <c r="G5" i="23201"/>
  <c r="G6" i="23201"/>
  <c r="H6" i="23199"/>
  <c r="J6" i="23200" s="1"/>
  <c r="H5" i="23199"/>
  <c r="J5" i="23200" s="1"/>
  <c r="H4" i="23199"/>
  <c r="J4" i="23200" s="1"/>
  <c r="H3" i="23199"/>
  <c r="J3" i="23200" s="1"/>
  <c r="F6" i="23198"/>
  <c r="F5" i="23198"/>
  <c r="F4" i="23198"/>
  <c r="F3" i="23198"/>
  <c r="H6" i="23197"/>
  <c r="H5" i="23197"/>
  <c r="H4" i="23197"/>
  <c r="H3" i="23197"/>
  <c r="T21" i="23184" l="1"/>
  <c r="AN19" i="23184"/>
  <c r="AP19" i="23184" s="1"/>
  <c r="J58" i="39"/>
  <c r="E10" i="23195" s="1"/>
  <c r="D12" i="23208" s="1"/>
  <c r="J48" i="39"/>
  <c r="E8" i="23195" s="1"/>
  <c r="D10" i="23208" s="1"/>
  <c r="J55" i="39"/>
  <c r="E9" i="23195" s="1"/>
  <c r="D11" i="23208" s="1"/>
  <c r="J46" i="39"/>
  <c r="AN21" i="23184"/>
  <c r="AP21" i="23184" s="1"/>
  <c r="G20" i="23199"/>
  <c r="H20" i="23199" s="1"/>
  <c r="H19" i="23199" s="1"/>
  <c r="H18" i="23199" s="1"/>
  <c r="H17" i="23199" s="1"/>
  <c r="H16" i="23199" s="1"/>
  <c r="H15" i="23199" s="1"/>
  <c r="H14" i="23199" s="1"/>
  <c r="H13" i="23199" s="1"/>
  <c r="C19" i="23201"/>
  <c r="V21" i="23184"/>
  <c r="AS21" i="23184"/>
  <c r="D12" i="23200"/>
  <c r="E12" i="23200"/>
  <c r="F12" i="23200"/>
  <c r="G12" i="23200"/>
  <c r="H12" i="23200"/>
  <c r="I12" i="23200"/>
  <c r="J12" i="23200"/>
  <c r="AN20" i="23184"/>
  <c r="AP20" i="23184" s="1"/>
  <c r="T20" i="23184"/>
  <c r="V20" i="23184" s="1"/>
  <c r="C15" i="23201"/>
  <c r="C18" i="23201"/>
  <c r="T15" i="23184"/>
  <c r="V15" i="23184" s="1"/>
  <c r="C13" i="23201"/>
  <c r="C16" i="23201"/>
  <c r="C17" i="23201"/>
  <c r="C14" i="23201"/>
  <c r="AS19" i="23184"/>
  <c r="T17" i="23184"/>
  <c r="V17" i="23184" s="1"/>
  <c r="AN17" i="23184"/>
  <c r="AP17" i="23184" s="1"/>
  <c r="I27" i="23209"/>
  <c r="I30" i="23209"/>
  <c r="J38" i="23210"/>
  <c r="J39" i="23210" s="1"/>
  <c r="I39" i="23210"/>
  <c r="T14" i="23184"/>
  <c r="V14" i="23184" s="1"/>
  <c r="AU17" i="23184"/>
  <c r="L12" i="23200"/>
  <c r="M12" i="23200"/>
  <c r="N12" i="23200"/>
  <c r="O12" i="23200"/>
  <c r="K12" i="23200"/>
  <c r="A3" i="23195"/>
  <c r="A2" i="23195"/>
  <c r="AN15" i="23184"/>
  <c r="AP15" i="23184" s="1"/>
  <c r="T16" i="23184"/>
  <c r="V16" i="23184" s="1"/>
  <c r="H18" i="23204"/>
  <c r="I49" i="23177"/>
  <c r="E5" i="23195" s="1"/>
  <c r="D7" i="23208" s="1"/>
  <c r="AN14" i="23184"/>
  <c r="AP14" i="23184" s="1"/>
  <c r="AN16" i="23184"/>
  <c r="AP16" i="23184" s="1"/>
  <c r="E12" i="23199"/>
  <c r="C12" i="23199"/>
  <c r="D12" i="23199" s="1"/>
  <c r="C12" i="23200"/>
  <c r="AN18" i="23184"/>
  <c r="AP18" i="23184" s="1"/>
  <c r="T18" i="23184"/>
  <c r="AS18" i="23184" s="1"/>
  <c r="S13" i="23184"/>
  <c r="R13" i="23184"/>
  <c r="U13" i="23184"/>
  <c r="CS17" i="23183"/>
  <c r="CY17" i="23183" s="1"/>
  <c r="CR17" i="23183"/>
  <c r="CX17" i="23183" s="1"/>
  <c r="CT17" i="23183"/>
  <c r="CZ17" i="23183" s="1"/>
  <c r="AM13" i="23184"/>
  <c r="AV13" i="23184"/>
  <c r="AL13" i="23184"/>
  <c r="AO13" i="23184"/>
  <c r="AF13" i="23184"/>
  <c r="L13" i="23184"/>
  <c r="AC13" i="23184"/>
  <c r="AD13" i="23184"/>
  <c r="J13" i="23184"/>
  <c r="F13" i="23184"/>
  <c r="AE13" i="23184"/>
  <c r="K13" i="23184"/>
  <c r="AG13" i="23184"/>
  <c r="AH13" i="23184"/>
  <c r="X13" i="23184"/>
  <c r="P13" i="23184"/>
  <c r="AI13" i="23184"/>
  <c r="N13" i="23184"/>
  <c r="G13" i="23184"/>
  <c r="Z13" i="23184"/>
  <c r="O13" i="23184"/>
  <c r="AB13" i="23184"/>
  <c r="E13" i="23184"/>
  <c r="I11" i="23177" s="1"/>
  <c r="I13" i="23184"/>
  <c r="AK13" i="23184"/>
  <c r="M13" i="23184"/>
  <c r="Y13" i="23184"/>
  <c r="F12" i="23201"/>
  <c r="E12" i="23201"/>
  <c r="BN17" i="23183"/>
  <c r="BP17" i="23183" s="1"/>
  <c r="AS17" i="23183"/>
  <c r="AY17" i="23183" s="1"/>
  <c r="AT17" i="23183"/>
  <c r="AZ17" i="23183" s="1"/>
  <c r="AU17" i="23183"/>
  <c r="BA17" i="23183" s="1"/>
  <c r="O17" i="23183"/>
  <c r="F23" i="23205"/>
  <c r="H23" i="23205" s="1"/>
  <c r="I23" i="23205" s="1"/>
  <c r="I24" i="23209" l="1"/>
  <c r="I12" i="23177"/>
  <c r="I15" i="23177" s="1"/>
  <c r="I34" i="23177" s="1"/>
  <c r="AS20" i="23184"/>
  <c r="AS15" i="23184"/>
  <c r="AS14" i="23184"/>
  <c r="AS17" i="23184"/>
  <c r="E62" i="39" a="1"/>
  <c r="E62" i="39" s="1"/>
  <c r="G62" i="39" s="1"/>
  <c r="J62" i="39" s="1"/>
  <c r="AS16" i="23184"/>
  <c r="E61" i="39" a="1"/>
  <c r="E61" i="39" s="1"/>
  <c r="G61" i="39" s="1"/>
  <c r="J61" i="39" s="1"/>
  <c r="H13" i="23197"/>
  <c r="F12" i="23199"/>
  <c r="D12" i="23206"/>
  <c r="Q17" i="23183"/>
  <c r="F14" i="23178"/>
  <c r="I40" i="23209" s="1"/>
  <c r="I52" i="23177"/>
  <c r="J52" i="23177" s="1"/>
  <c r="K52" i="23177" s="1"/>
  <c r="V18" i="23184"/>
  <c r="H13" i="23184"/>
  <c r="D12" i="23201"/>
  <c r="C12" i="23201" s="1"/>
  <c r="AA13" i="23184"/>
  <c r="AJ13" i="23184"/>
  <c r="I17" i="23209" s="1"/>
  <c r="Q13" i="23184"/>
  <c r="I19" i="23209" l="1"/>
  <c r="G12" i="23199"/>
  <c r="H12" i="23199" s="1"/>
  <c r="I16" i="23209"/>
  <c r="I41" i="23209"/>
  <c r="AU13" i="23184"/>
  <c r="I18" i="23209"/>
  <c r="I43" i="23209"/>
  <c r="I29" i="23209"/>
  <c r="I42" i="23209"/>
  <c r="E13" i="23195"/>
  <c r="D15" i="23208" s="1"/>
  <c r="T13" i="23184"/>
  <c r="V13" i="23184" s="1"/>
  <c r="J38" i="39"/>
  <c r="G38" i="39" s="1"/>
  <c r="AN13" i="23184"/>
  <c r="AP13" i="23184" s="1"/>
  <c r="A25" i="23203"/>
  <c r="A26" i="23203" s="1"/>
  <c r="AS13" i="23184" l="1"/>
  <c r="G14" i="23204" s="1"/>
  <c r="H14" i="23204" s="1"/>
  <c r="I14" i="23204" s="1"/>
  <c r="E39" i="39"/>
  <c r="A27" i="23203"/>
  <c r="J39" i="39" l="1"/>
  <c r="G39" i="39" s="1"/>
  <c r="A28" i="23203"/>
  <c r="A29" i="23203" l="1"/>
  <c r="A30" i="23203" l="1"/>
  <c r="A31" i="23203" l="1"/>
  <c r="A32" i="23203" l="1"/>
  <c r="A33" i="23203" l="1"/>
  <c r="A34" i="23203" l="1"/>
  <c r="A35" i="23203" l="1"/>
  <c r="A36" i="23203" l="1"/>
  <c r="A37" i="23203" l="1"/>
  <c r="A38" i="23203" l="1"/>
  <c r="A39" i="23203" l="1"/>
  <c r="A40" i="23203" l="1"/>
  <c r="A41" i="23203" l="1"/>
  <c r="A42" i="23203" l="1"/>
  <c r="A43" i="23203" l="1"/>
  <c r="A44" i="23203" l="1"/>
  <c r="A45" i="23203" l="1"/>
  <c r="A46" i="23203" l="1"/>
  <c r="A47" i="23203" l="1"/>
  <c r="A48" i="23203" l="1"/>
  <c r="A49" i="23203" l="1"/>
  <c r="A50" i="23203" l="1"/>
  <c r="A51" i="23203" l="1"/>
  <c r="A52" i="23203" l="1"/>
  <c r="A53" i="23203" l="1"/>
  <c r="A54" i="23203" l="1"/>
  <c r="A55" i="23203" l="1"/>
  <c r="A56" i="23203" l="1"/>
  <c r="A57" i="23203" l="1"/>
  <c r="A58" i="23203" l="1"/>
  <c r="A59" i="23203" l="1"/>
  <c r="A60" i="23203" l="1"/>
  <c r="A61" i="23203" l="1"/>
  <c r="A62" i="23203" l="1"/>
  <c r="A63" i="23203" l="1"/>
  <c r="A64" i="23203" l="1"/>
  <c r="A65" i="23203" l="1"/>
  <c r="A66" i="23203" l="1"/>
  <c r="A67" i="23203" l="1"/>
  <c r="A68" i="23203" l="1"/>
  <c r="A69" i="23203" l="1"/>
  <c r="A70" i="23203" l="1"/>
  <c r="A71" i="23203" l="1"/>
  <c r="A72" i="23203" l="1"/>
  <c r="A73" i="23203" l="1"/>
  <c r="A74" i="23203" l="1"/>
  <c r="A75" i="23203" l="1"/>
  <c r="A76" i="23203" l="1"/>
  <c r="A77" i="23203" l="1"/>
  <c r="A78" i="23203" l="1"/>
  <c r="A79" i="23203" l="1"/>
  <c r="A80" i="23203" l="1"/>
  <c r="A81" i="23203" l="1"/>
  <c r="A82" i="23203" l="1"/>
  <c r="A83" i="23203" l="1"/>
  <c r="A84" i="23203" l="1"/>
  <c r="A85" i="23203" l="1"/>
  <c r="A86" i="23203" l="1"/>
  <c r="A87" i="23203" l="1"/>
  <c r="A88" i="23203" l="1"/>
  <c r="A89" i="23203" l="1"/>
  <c r="A90" i="23203" l="1"/>
  <c r="A91" i="23203" l="1"/>
  <c r="A92" i="23203" l="1"/>
  <c r="A93" i="23203" l="1"/>
  <c r="A94" i="23203" l="1"/>
  <c r="A95" i="23203" l="1"/>
  <c r="A96" i="23203" l="1"/>
  <c r="A97" i="23203" l="1"/>
  <c r="A98" i="23203" l="1"/>
  <c r="A99" i="23203" l="1"/>
  <c r="A100" i="23203" l="1"/>
  <c r="A101" i="23203" l="1"/>
  <c r="A102" i="23203" l="1"/>
  <c r="A103" i="23203" l="1"/>
  <c r="A104" i="23203" l="1"/>
  <c r="A105" i="23203" l="1"/>
  <c r="A106" i="23203" l="1"/>
  <c r="A107" i="23203" l="1"/>
  <c r="A108" i="23203" l="1"/>
  <c r="A109" i="23203" l="1"/>
  <c r="A110" i="23203" l="1"/>
  <c r="A111" i="23203" l="1"/>
  <c r="A112" i="23203" l="1"/>
  <c r="A113" i="23203" l="1"/>
  <c r="A114" i="23203" l="1"/>
  <c r="A115" i="23203" l="1"/>
  <c r="A116" i="23203" l="1"/>
  <c r="A117" i="23203" l="1"/>
  <c r="A118" i="23203" l="1"/>
  <c r="A119" i="23203" l="1"/>
  <c r="A120" i="23203" l="1"/>
  <c r="A121" i="23203" l="1"/>
  <c r="A122" i="23203" l="1"/>
  <c r="A123" i="23203" l="1"/>
  <c r="A124" i="23203" l="1"/>
  <c r="A125" i="23203" l="1"/>
  <c r="A126" i="23203" l="1"/>
  <c r="A127" i="23203" l="1"/>
  <c r="A128" i="23203" l="1"/>
  <c r="A129" i="23203" l="1"/>
  <c r="A130" i="23203" l="1"/>
  <c r="A131" i="23203" l="1"/>
  <c r="A132" i="23203" l="1"/>
  <c r="A133" i="23203" l="1"/>
  <c r="A134" i="23203" l="1"/>
  <c r="A135" i="23203" l="1"/>
  <c r="A136" i="23203" l="1"/>
  <c r="A137" i="23203" l="1"/>
  <c r="A138" i="23203" l="1"/>
  <c r="A139" i="23203" l="1"/>
  <c r="A140" i="23203" l="1"/>
  <c r="A141" i="23203" l="1"/>
  <c r="A142" i="23203" l="1"/>
  <c r="A143" i="23203" l="1"/>
  <c r="A144" i="23203" l="1"/>
  <c r="A145" i="23203" l="1"/>
  <c r="A146" i="23203" l="1"/>
  <c r="A147" i="23203" l="1"/>
  <c r="A148" i="23203" l="1"/>
  <c r="A149" i="23203" l="1"/>
  <c r="A150" i="23203" l="1"/>
  <c r="A151" i="23203" l="1"/>
  <c r="A152" i="23203" l="1"/>
  <c r="A153" i="23203" l="1"/>
  <c r="A154" i="23203" l="1"/>
  <c r="A155" i="23203" l="1"/>
  <c r="A156" i="23203" l="1"/>
  <c r="A157" i="23203" l="1"/>
  <c r="A158" i="23203" l="1"/>
  <c r="A159" i="23203" l="1"/>
  <c r="A160" i="23203" l="1"/>
  <c r="A161" i="23203" l="1"/>
  <c r="A162" i="23203" l="1"/>
  <c r="A163" i="23203" l="1"/>
  <c r="A164" i="23203" l="1"/>
  <c r="A165" i="23203" l="1"/>
  <c r="A166" i="23203" l="1"/>
  <c r="A167" i="23203" l="1"/>
  <c r="A168" i="23203" l="1"/>
  <c r="A169" i="23203" l="1"/>
  <c r="A170" i="23203" l="1"/>
  <c r="A171" i="23203" l="1"/>
  <c r="A172" i="23203" l="1"/>
  <c r="A173" i="23203" l="1"/>
  <c r="A174" i="23203" l="1"/>
  <c r="A175" i="23203" l="1"/>
  <c r="A176" i="23203" l="1"/>
  <c r="A177" i="23203" l="1"/>
  <c r="A178" i="23203" l="1"/>
  <c r="A179" i="23203" l="1"/>
  <c r="A180" i="23203" l="1"/>
  <c r="A181" i="23203" l="1"/>
  <c r="A182" i="23203" l="1"/>
  <c r="A183" i="23203" l="1"/>
  <c r="A184" i="23203" l="1"/>
  <c r="A185" i="23203" l="1"/>
  <c r="A186" i="23203" l="1"/>
  <c r="A187" i="23203" l="1"/>
  <c r="A188" i="23203" l="1"/>
  <c r="A189" i="23203" l="1"/>
  <c r="A190" i="23203" l="1"/>
  <c r="A191" i="23203" l="1"/>
  <c r="A192" i="23203" l="1"/>
  <c r="A193" i="23203" l="1"/>
  <c r="A194" i="23203" l="1"/>
  <c r="A195" i="23203" l="1"/>
  <c r="A196" i="23203" l="1"/>
  <c r="A197" i="23203" l="1"/>
  <c r="A198" i="23203" l="1"/>
  <c r="A199" i="23203" l="1"/>
  <c r="A200" i="23203" l="1"/>
  <c r="A201" i="23203" l="1"/>
  <c r="A202" i="23203" l="1"/>
  <c r="A203" i="23203" l="1"/>
  <c r="A204" i="23203" l="1"/>
  <c r="A205" i="23203" l="1"/>
  <c r="A206" i="23203" l="1"/>
  <c r="A207" i="23203" l="1"/>
  <c r="A208" i="23203" l="1"/>
  <c r="A209" i="23203" l="1"/>
  <c r="A210" i="23203" l="1"/>
  <c r="A211" i="23203" l="1"/>
  <c r="A212" i="23203" l="1"/>
  <c r="A213" i="23203" l="1"/>
  <c r="A214" i="23203" l="1"/>
  <c r="A215" i="23203" l="1"/>
  <c r="A216" i="23203" l="1"/>
  <c r="A217" i="23203" l="1"/>
  <c r="A218" i="23203" l="1"/>
  <c r="A219" i="23203" l="1"/>
  <c r="A220" i="23203" l="1"/>
  <c r="I20" i="23202" l="1"/>
  <c r="I21" i="23202" s="1"/>
  <c r="I22" i="23202" s="1"/>
  <c r="I23" i="23202" s="1"/>
  <c r="I26" i="23202" s="1"/>
  <c r="I27" i="23202" s="1"/>
  <c r="I28" i="23202" s="1"/>
  <c r="I29" i="23202" s="1"/>
  <c r="I30" i="23202" s="1"/>
  <c r="I32" i="23202" s="1"/>
  <c r="H20" i="23202"/>
  <c r="H21" i="23202" s="1"/>
  <c r="H22" i="23202" s="1"/>
  <c r="H23" i="23202" s="1"/>
  <c r="H26" i="23202" s="1"/>
  <c r="H27" i="23202" s="1"/>
  <c r="H28" i="23202" s="1"/>
  <c r="H29" i="23202" s="1"/>
  <c r="H30" i="23202" s="1"/>
  <c r="H32" i="23202" s="1"/>
  <c r="I33" i="23202" l="1"/>
  <c r="I34" i="23202" s="1"/>
  <c r="I35" i="23202" s="1"/>
  <c r="I36" i="23202" s="1"/>
  <c r="I39" i="23202" s="1"/>
  <c r="I40" i="23202" s="1"/>
  <c r="H33" i="23202"/>
  <c r="H34" i="23202" s="1"/>
  <c r="H35" i="23202" s="1"/>
  <c r="H36" i="23202" s="1"/>
  <c r="H39" i="23202" s="1"/>
  <c r="H40" i="23202" s="1"/>
  <c r="H17" i="23202"/>
  <c r="I17" i="23202"/>
  <c r="E305" i="23198" l="1"/>
  <c r="C305" i="23198"/>
  <c r="E255" i="23198"/>
  <c r="C255" i="23198"/>
  <c r="E213" i="23198"/>
  <c r="C213" i="23198"/>
  <c r="E197" i="23198"/>
  <c r="C197" i="23198"/>
  <c r="E156" i="23198"/>
  <c r="C156" i="23198"/>
  <c r="E138" i="23198"/>
  <c r="C138" i="23198"/>
  <c r="E127" i="23198"/>
  <c r="C127" i="23198"/>
  <c r="E89" i="23198"/>
  <c r="C89" i="23198"/>
  <c r="E78" i="23198"/>
  <c r="C78" i="23198"/>
  <c r="E67" i="23198"/>
  <c r="C67" i="23198"/>
  <c r="E54" i="23198"/>
  <c r="C28" i="23198" s="1"/>
  <c r="C54" i="23198"/>
  <c r="F290" i="23198" l="1"/>
  <c r="F302" i="23198"/>
  <c r="F291" i="23198"/>
  <c r="F303" i="23198"/>
  <c r="F292" i="23198"/>
  <c r="F304" i="23198"/>
  <c r="F293" i="23198"/>
  <c r="F295" i="23198"/>
  <c r="F296" i="23198"/>
  <c r="F285" i="23198"/>
  <c r="F297" i="23198"/>
  <c r="F286" i="23198"/>
  <c r="F298" i="23198"/>
  <c r="F299" i="23198"/>
  <c r="F287" i="23198"/>
  <c r="F294" i="23198"/>
  <c r="F288" i="23198"/>
  <c r="F300" i="23198"/>
  <c r="F289" i="23198"/>
  <c r="F301" i="23198"/>
  <c r="D254" i="23198"/>
  <c r="D252" i="23198"/>
  <c r="D251" i="23198"/>
  <c r="D250" i="23198"/>
  <c r="D253" i="23198"/>
  <c r="D145" i="23198"/>
  <c r="D155" i="23198"/>
  <c r="D143" i="23198"/>
  <c r="D148" i="23198"/>
  <c r="D146" i="23198"/>
  <c r="D144" i="23198"/>
  <c r="D154" i="23198"/>
  <c r="D153" i="23198"/>
  <c r="D147" i="23198"/>
  <c r="D152" i="23198"/>
  <c r="D151" i="23198"/>
  <c r="D150" i="23198"/>
  <c r="D149" i="23198"/>
  <c r="F251" i="23198"/>
  <c r="F250" i="23198"/>
  <c r="F254" i="23198"/>
  <c r="F252" i="23198"/>
  <c r="F253" i="23198"/>
  <c r="F73" i="23198"/>
  <c r="F77" i="23198"/>
  <c r="F76" i="23198"/>
  <c r="F74" i="23198"/>
  <c r="F72" i="23198"/>
  <c r="F75" i="23198"/>
  <c r="F151" i="23198"/>
  <c r="F149" i="23198"/>
  <c r="F144" i="23198"/>
  <c r="F154" i="23198"/>
  <c r="F146" i="23198"/>
  <c r="F147" i="23198"/>
  <c r="F145" i="23198"/>
  <c r="F155" i="23198"/>
  <c r="F143" i="23198"/>
  <c r="F153" i="23198"/>
  <c r="F152" i="23198"/>
  <c r="F150" i="23198"/>
  <c r="F148" i="23198"/>
  <c r="D77" i="23198"/>
  <c r="D76" i="23198"/>
  <c r="D75" i="23198"/>
  <c r="D73" i="23198"/>
  <c r="D74" i="23198"/>
  <c r="D72" i="23198"/>
  <c r="D88" i="23198"/>
  <c r="D84" i="23198"/>
  <c r="D86" i="23198"/>
  <c r="D83" i="23198"/>
  <c r="D85" i="23198"/>
  <c r="D87" i="23198"/>
  <c r="D191" i="23198"/>
  <c r="D189" i="23198"/>
  <c r="D194" i="23198"/>
  <c r="D192" i="23198"/>
  <c r="D190" i="23198"/>
  <c r="D188" i="23198"/>
  <c r="D186" i="23198"/>
  <c r="D193" i="23198"/>
  <c r="D187" i="23198"/>
  <c r="D196" i="23198"/>
  <c r="D195" i="23198"/>
  <c r="F85" i="23198"/>
  <c r="F83" i="23198"/>
  <c r="F87" i="23198"/>
  <c r="F86" i="23198"/>
  <c r="F84" i="23198"/>
  <c r="F88" i="23198"/>
  <c r="D106" i="23198"/>
  <c r="D118" i="23198"/>
  <c r="D116" i="23198"/>
  <c r="D126" i="23198"/>
  <c r="D114" i="23198"/>
  <c r="D124" i="23198"/>
  <c r="D112" i="23198"/>
  <c r="D122" i="23198"/>
  <c r="D110" i="23198"/>
  <c r="D121" i="23198"/>
  <c r="D109" i="23198"/>
  <c r="D120" i="23198"/>
  <c r="D119" i="23198"/>
  <c r="D115" i="23198"/>
  <c r="D108" i="23198"/>
  <c r="D107" i="23198"/>
  <c r="D117" i="23198"/>
  <c r="D125" i="23198"/>
  <c r="D123" i="23198"/>
  <c r="D113" i="23198"/>
  <c r="D111" i="23198"/>
  <c r="F193" i="23198"/>
  <c r="F186" i="23198"/>
  <c r="F195" i="23198"/>
  <c r="F190" i="23198"/>
  <c r="F188" i="23198"/>
  <c r="F192" i="23198"/>
  <c r="F191" i="23198"/>
  <c r="F189" i="23198"/>
  <c r="F187" i="23198"/>
  <c r="F196" i="23198"/>
  <c r="F194" i="23198"/>
  <c r="F115" i="23198"/>
  <c r="F107" i="23198"/>
  <c r="F124" i="23198"/>
  <c r="F122" i="23198"/>
  <c r="F117" i="23198"/>
  <c r="F126" i="23198"/>
  <c r="F112" i="23198"/>
  <c r="F110" i="23198"/>
  <c r="F114" i="23198"/>
  <c r="F125" i="23198"/>
  <c r="F123" i="23198"/>
  <c r="F113" i="23198"/>
  <c r="F111" i="23198"/>
  <c r="F121" i="23198"/>
  <c r="F120" i="23198"/>
  <c r="F118" i="23198"/>
  <c r="F109" i="23198"/>
  <c r="F108" i="23198"/>
  <c r="F106" i="23198"/>
  <c r="F116" i="23198"/>
  <c r="F119" i="23198"/>
  <c r="F211" i="23198"/>
  <c r="F209" i="23198"/>
  <c r="F204" i="23198"/>
  <c r="F202" i="23198"/>
  <c r="F207" i="23198"/>
  <c r="F206" i="23198"/>
  <c r="F205" i="23198"/>
  <c r="F203" i="23198"/>
  <c r="F212" i="23198"/>
  <c r="F210" i="23198"/>
  <c r="F208" i="23198"/>
  <c r="F136" i="23198"/>
  <c r="F137" i="23198"/>
  <c r="F132" i="23198"/>
  <c r="F133" i="23198"/>
  <c r="F134" i="23198"/>
  <c r="F135" i="23198"/>
  <c r="D132" i="23198"/>
  <c r="D133" i="23198"/>
  <c r="D134" i="23198"/>
  <c r="D135" i="23198"/>
  <c r="D136" i="23198"/>
  <c r="D137" i="23198"/>
  <c r="D202" i="23198"/>
  <c r="D203" i="23198"/>
  <c r="D204" i="23198"/>
  <c r="D205" i="23198"/>
  <c r="D206" i="23198"/>
  <c r="D207" i="23198"/>
  <c r="D208" i="23198"/>
  <c r="D209" i="23198"/>
  <c r="D210" i="23198"/>
  <c r="D211" i="23198"/>
  <c r="D212" i="23198"/>
  <c r="D62" i="23198"/>
  <c r="D61" i="23198"/>
  <c r="D60" i="23198"/>
  <c r="D59" i="23198"/>
  <c r="D66" i="23198"/>
  <c r="D65" i="23198"/>
  <c r="D64" i="23198"/>
  <c r="D63" i="23198"/>
  <c r="F64" i="23198"/>
  <c r="F65" i="23198"/>
  <c r="F66" i="23198"/>
  <c r="F59" i="23198"/>
  <c r="F60" i="23198"/>
  <c r="F61" i="23198"/>
  <c r="F63" i="23198"/>
  <c r="F62" i="23198"/>
  <c r="C26" i="23198"/>
  <c r="D47" i="23198"/>
  <c r="D52" i="23198"/>
  <c r="D53" i="23198"/>
  <c r="D51" i="23198"/>
  <c r="D50" i="23198"/>
  <c r="D49" i="23198"/>
  <c r="D48" i="23198"/>
  <c r="D46" i="23198"/>
  <c r="F52" i="23198"/>
  <c r="F46" i="23198"/>
  <c r="F49" i="23198"/>
  <c r="F48" i="23198"/>
  <c r="F47" i="23198"/>
  <c r="F53" i="23198"/>
  <c r="F51" i="23198"/>
  <c r="F50" i="23198"/>
  <c r="F78" i="23198" l="1"/>
  <c r="F305" i="23198"/>
  <c r="F156" i="23198"/>
  <c r="F67" i="23198"/>
  <c r="F197" i="23198"/>
  <c r="F127" i="23198"/>
  <c r="F213" i="23198"/>
  <c r="F255" i="23198"/>
  <c r="D295" i="23198"/>
  <c r="D285" i="23198"/>
  <c r="D296" i="23198"/>
  <c r="D297" i="23198"/>
  <c r="D286" i="23198"/>
  <c r="D287" i="23198"/>
  <c r="D299" i="23198"/>
  <c r="D300" i="23198"/>
  <c r="D288" i="23198"/>
  <c r="D289" i="23198"/>
  <c r="D301" i="23198"/>
  <c r="D290" i="23198"/>
  <c r="D302" i="23198"/>
  <c r="D303" i="23198"/>
  <c r="D294" i="23198"/>
  <c r="D298" i="23198"/>
  <c r="D291" i="23198"/>
  <c r="D292" i="23198"/>
  <c r="D304" i="23198"/>
  <c r="D293" i="23198"/>
  <c r="F89" i="23198"/>
  <c r="F138" i="23198"/>
  <c r="F54" i="23198"/>
  <c r="D156" i="23198"/>
  <c r="D89" i="23198"/>
  <c r="D127" i="23198"/>
  <c r="D197" i="23198"/>
  <c r="D255" i="23198"/>
  <c r="D78" i="23198"/>
  <c r="D138" i="23198"/>
  <c r="D213" i="23198"/>
  <c r="D67" i="23198"/>
  <c r="D54" i="23198"/>
  <c r="G70" i="39"/>
  <c r="D305" i="23198" l="1"/>
  <c r="G42" i="39"/>
  <c r="I46" i="23177" l="1"/>
  <c r="G73" i="39" l="1"/>
  <c r="J73" i="39" s="1"/>
  <c r="G72" i="39"/>
  <c r="J72" i="39" s="1"/>
  <c r="G41" i="39"/>
  <c r="G26" i="39"/>
  <c r="J26" i="39" s="1"/>
  <c r="G30" i="39"/>
  <c r="J30" i="39" s="1"/>
  <c r="G31" i="39"/>
  <c r="J31" i="39" s="1"/>
  <c r="G32" i="39"/>
  <c r="J32" i="39" s="1"/>
  <c r="G27" i="39" l="1"/>
  <c r="J27" i="39" s="1"/>
  <c r="G40" i="39" l="1"/>
  <c r="G37" i="39"/>
  <c r="J37" i="39" s="1"/>
  <c r="E7" i="23195" s="1"/>
  <c r="D9" i="23208" s="1"/>
  <c r="G25" i="39"/>
  <c r="J25" i="39" s="1"/>
  <c r="G24" i="39"/>
  <c r="J24" i="39" s="1"/>
  <c r="G23" i="39"/>
  <c r="J23" i="39" s="1"/>
  <c r="G22" i="39"/>
  <c r="J22" i="39" s="1"/>
  <c r="G20" i="39"/>
  <c r="J20" i="39" s="1"/>
  <c r="E6" i="23195" s="1"/>
  <c r="D8" i="23208" s="1"/>
  <c r="G36" i="39" l="1"/>
  <c r="J36" i="39" s="1"/>
  <c r="G18" i="39"/>
  <c r="J18" i="39" s="1"/>
  <c r="J74" i="39" l="1"/>
  <c r="I48" i="23177" s="1"/>
  <c r="K3" i="23193" l="1"/>
  <c r="C42" i="23193" l="1"/>
  <c r="C26" i="23193"/>
  <c r="C18" i="23193"/>
  <c r="C41" i="23193"/>
  <c r="C25" i="23193"/>
  <c r="C40" i="23193"/>
  <c r="C13" i="23193"/>
  <c r="C24" i="23193"/>
  <c r="C38" i="23193"/>
  <c r="C47" i="23193"/>
  <c r="C46" i="23193"/>
  <c r="C15" i="23193"/>
  <c r="C34" i="23193"/>
  <c r="C43" i="23193"/>
  <c r="K4" i="23193"/>
  <c r="C44" i="23193"/>
  <c r="C31" i="23193"/>
  <c r="C19" i="23193"/>
  <c r="C35" i="23193"/>
  <c r="C28" i="23193"/>
  <c r="C39" i="23193"/>
  <c r="C32" i="23193"/>
  <c r="C29" i="23193"/>
  <c r="C37" i="23193"/>
  <c r="C27" i="23193"/>
  <c r="C21" i="23193"/>
  <c r="C16" i="23193"/>
  <c r="C12" i="23193"/>
  <c r="C22" i="23193"/>
  <c r="K5" i="23193" l="1"/>
  <c r="I31" i="23193" l="1"/>
  <c r="H53" i="23193"/>
  <c r="H56" i="23193"/>
  <c r="H52" i="23193"/>
  <c r="I50" i="23193"/>
  <c r="H32" i="23193"/>
  <c r="H28" i="23193"/>
  <c r="H26" i="23193"/>
  <c r="H49" i="23193"/>
  <c r="H55" i="23193"/>
  <c r="I41" i="23193"/>
  <c r="H29" i="23193"/>
  <c r="H54" i="23193"/>
  <c r="H25" i="23193"/>
  <c r="I57" i="23193"/>
  <c r="L57" i="23193" s="1"/>
  <c r="H42" i="23193"/>
  <c r="H35" i="23193"/>
  <c r="I38" i="23193"/>
  <c r="H44" i="23193"/>
  <c r="I39" i="23193"/>
  <c r="I47" i="23193"/>
  <c r="H46" i="23193"/>
  <c r="I40" i="23193"/>
  <c r="I34" i="23193"/>
  <c r="H43" i="23193"/>
  <c r="I37" i="23193"/>
  <c r="I24" i="23193"/>
  <c r="L29" i="23193" s="1"/>
  <c r="H27" i="23193"/>
  <c r="C55" i="23193"/>
  <c r="C53" i="23193"/>
  <c r="C49" i="23193"/>
  <c r="C50" i="23193"/>
  <c r="C54" i="23193"/>
  <c r="C52" i="23193"/>
  <c r="C56" i="23193"/>
  <c r="C57" i="23193"/>
  <c r="K57" i="23193" l="1"/>
  <c r="M57" i="23193" s="1"/>
  <c r="K29" i="23193"/>
  <c r="M29" i="23193" s="1"/>
  <c r="L44" i="23193"/>
  <c r="K44" i="23193"/>
  <c r="M44" i="23193" l="1"/>
  <c r="A48" i="23183" l="1"/>
  <c r="A49" i="23183" l="1"/>
  <c r="A50" i="23183" l="1"/>
  <c r="A51" i="23183" l="1"/>
  <c r="A52" i="23183" l="1"/>
  <c r="A53" i="23183" l="1"/>
  <c r="A54" i="23183" l="1"/>
  <c r="A55" i="23183" l="1"/>
  <c r="A56" i="23183" l="1"/>
  <c r="A57" i="23183" l="1"/>
  <c r="A58" i="23183" l="1"/>
  <c r="A59" i="23183" l="1"/>
  <c r="A60" i="23183" l="1"/>
  <c r="A61" i="23183" l="1"/>
  <c r="A62" i="23183" l="1"/>
  <c r="A63" i="23183" l="1"/>
  <c r="A64" i="23183" l="1"/>
  <c r="A65" i="23183" l="1"/>
  <c r="A66" i="23183" l="1"/>
  <c r="A67" i="23183" l="1"/>
  <c r="A68" i="23183" l="1"/>
  <c r="A69" i="23183" l="1"/>
  <c r="A70" i="23183" l="1"/>
  <c r="A71" i="23183" l="1"/>
  <c r="A72" i="23183" l="1"/>
  <c r="A73" i="23183" l="1"/>
  <c r="A74" i="23183" l="1"/>
  <c r="A75" i="23183" l="1"/>
  <c r="A76" i="23183" l="1"/>
  <c r="A77" i="23183" l="1"/>
  <c r="A78" i="23183" l="1"/>
  <c r="A79" i="23183" l="1"/>
  <c r="A80" i="23183" l="1"/>
  <c r="A81" i="23183" l="1"/>
  <c r="A82" i="23183" l="1"/>
  <c r="A83" i="23183" l="1"/>
  <c r="A84" i="23183" l="1"/>
  <c r="A85" i="23183" l="1"/>
  <c r="A86" i="23183" l="1"/>
  <c r="A87" i="23183" l="1"/>
  <c r="I18" i="23193" l="1"/>
  <c r="H19" i="23193"/>
  <c r="H12" i="23193" l="1"/>
  <c r="H15" i="23193" l="1"/>
  <c r="I13" i="23193"/>
  <c r="H22" i="23193" l="1"/>
  <c r="H58" i="23193" s="1"/>
  <c r="I21" i="23193"/>
  <c r="I16" i="23193"/>
  <c r="I58" i="23193" l="1"/>
  <c r="K12" i="23193" s="1"/>
  <c r="J50" i="23177" l="1"/>
  <c r="K50" i="23177" l="1"/>
  <c r="O64" i="23204" l="1"/>
  <c r="O65" i="23204" s="1"/>
  <c r="I51" i="23177" l="1"/>
  <c r="Q65" i="23204"/>
  <c r="H56" i="23204"/>
  <c r="E15" i="23195" l="1"/>
  <c r="D17" i="23208" s="1"/>
  <c r="E14" i="23195"/>
  <c r="D16" i="23208" s="1"/>
  <c r="I56" i="23204"/>
  <c r="I57" i="23204" s="1"/>
  <c r="I58" i="23204" s="1"/>
  <c r="H59" i="23204" s="1"/>
  <c r="H26" i="23208" l="1"/>
  <c r="G25" i="23208"/>
  <c r="H25" i="23208"/>
  <c r="I59" i="23204"/>
  <c r="I60" i="23204" s="1"/>
  <c r="I61" i="23204" s="1"/>
  <c r="H19" i="23204"/>
  <c r="I16" i="23204"/>
  <c r="I17" i="23204" s="1"/>
  <c r="I18" i="23204" s="1"/>
  <c r="I19" i="23204" s="1"/>
  <c r="I33" i="23177" s="1"/>
  <c r="I37" i="23177" s="1"/>
  <c r="I44" i="23177" s="1"/>
  <c r="I25" i="23208" l="1"/>
  <c r="F20" i="23178"/>
  <c r="K21" i="23178"/>
  <c r="L76" i="23210"/>
  <c r="I201" i="23210" s="1"/>
  <c r="I20" i="23204"/>
  <c r="I21" i="23204" s="1"/>
  <c r="I22" i="23204" s="1"/>
  <c r="I23" i="23204" s="1"/>
  <c r="J44" i="23177" l="1"/>
  <c r="L44" i="23177" l="1"/>
  <c r="L45" i="23177" l="1"/>
  <c r="J46" i="23177" s="1"/>
  <c r="L46" i="23177" l="1"/>
  <c r="L47" i="23177" s="1"/>
  <c r="J48" i="23177" s="1"/>
  <c r="K48" i="23177" s="1"/>
  <c r="K46" i="23177"/>
  <c r="L48" i="23177" l="1"/>
  <c r="J49" i="23177" l="1"/>
  <c r="K49" i="23177" l="1"/>
  <c r="E12" i="23206" s="1"/>
  <c r="I24" i="23177" s="1"/>
  <c r="L49" i="23177"/>
  <c r="H45" i="23204" l="1"/>
  <c r="L50" i="23177"/>
  <c r="J51" i="23177" s="1"/>
  <c r="L51" i="23177" s="1"/>
  <c r="L52" i="23177" s="1"/>
  <c r="K51" i="23177" l="1"/>
  <c r="I53" i="23177"/>
  <c r="I16" i="23177" l="1"/>
  <c r="I17" i="23177" s="1"/>
  <c r="J53" i="23177"/>
  <c r="H24" i="23204" l="1"/>
  <c r="E3" i="23195" s="1"/>
  <c r="D5" i="23208" s="1"/>
  <c r="K53" i="23177"/>
  <c r="C12" i="23206"/>
  <c r="L53" i="23177"/>
  <c r="L54" i="23177" s="1"/>
  <c r="L55" i="23177" s="1"/>
  <c r="I23" i="23177"/>
  <c r="J23" i="23177" s="1"/>
  <c r="H28" i="23208" l="1"/>
  <c r="H33" i="23204"/>
  <c r="I33" i="23204" s="1"/>
  <c r="L23" i="23177"/>
  <c r="J24" i="23177" s="1"/>
  <c r="K24" i="23177" s="1"/>
  <c r="I56" i="23177"/>
  <c r="E12" i="23195" s="1"/>
  <c r="D14" i="23208" s="1"/>
  <c r="G27" i="23208" s="1"/>
  <c r="H44" i="23204"/>
  <c r="I44" i="23204" s="1"/>
  <c r="I45" i="23204" s="1"/>
  <c r="I46" i="23204" s="1"/>
  <c r="I24" i="23204"/>
  <c r="H25" i="23204" s="1"/>
  <c r="H34" i="23204"/>
  <c r="K12" i="23206"/>
  <c r="I65" i="23210" s="1"/>
  <c r="H12" i="23206"/>
  <c r="J65" i="23210" s="1"/>
  <c r="L24" i="23177" l="1"/>
  <c r="F24" i="23203" s="1"/>
  <c r="I25" i="23177" s="1"/>
  <c r="E11" i="23195" s="1"/>
  <c r="D13" i="23208" s="1"/>
  <c r="G28" i="23208" s="1"/>
  <c r="I28" i="23208" s="1"/>
  <c r="E4" i="23195"/>
  <c r="D6" i="23208" s="1"/>
  <c r="H47" i="23204"/>
  <c r="I47" i="23204" s="1"/>
  <c r="I48" i="23204" s="1"/>
  <c r="I34" i="23204"/>
  <c r="J56" i="23177"/>
  <c r="H27" i="23208" l="1"/>
  <c r="I27" i="23208" s="1"/>
  <c r="G26" i="23208"/>
  <c r="I26" i="23208" s="1"/>
  <c r="G24" i="23203"/>
  <c r="I36" i="23210" s="1"/>
  <c r="I24" i="23203"/>
  <c r="F21" i="23178"/>
  <c r="K76" i="23210"/>
  <c r="L56" i="23177"/>
  <c r="I21" i="23209"/>
  <c r="N63" i="23209" a="1"/>
  <c r="I25" i="23204"/>
  <c r="I26" i="23204" s="1"/>
  <c r="J25" i="23177"/>
  <c r="K56" i="23177"/>
  <c r="K13" i="23178" l="1"/>
  <c r="N24" i="23203"/>
  <c r="O24" i="23203" s="1"/>
  <c r="J36" i="23210" s="1"/>
  <c r="J24" i="23203"/>
  <c r="F18" i="23178"/>
  <c r="I76" i="23210"/>
  <c r="N63" i="23209"/>
  <c r="P63" i="23209"/>
  <c r="T63" i="23209"/>
  <c r="Y63" i="23209"/>
  <c r="W63" i="23209"/>
  <c r="V63" i="23209"/>
  <c r="R63" i="23209"/>
  <c r="O63" i="23209"/>
  <c r="Z63" i="23209"/>
  <c r="X63" i="23209"/>
  <c r="U63" i="23209"/>
  <c r="S63" i="23209"/>
  <c r="Q63" i="23209"/>
  <c r="L57" i="23177"/>
  <c r="N64" i="23209" a="1"/>
  <c r="L25" i="23177"/>
  <c r="K25" i="23177"/>
  <c r="I26" i="23177" l="1"/>
  <c r="J26" i="23177" s="1"/>
  <c r="Q64" i="23209"/>
  <c r="X64" i="23209"/>
  <c r="O64" i="23209"/>
  <c r="W64" i="23209"/>
  <c r="V64" i="23209"/>
  <c r="T64" i="23209"/>
  <c r="S64" i="23209"/>
  <c r="Z64" i="23209"/>
  <c r="N64" i="23209"/>
  <c r="Y64" i="23209"/>
  <c r="U64" i="23209"/>
  <c r="R64" i="23209"/>
  <c r="P64" i="23209"/>
  <c r="Q24" i="23203"/>
  <c r="K15" i="23178"/>
  <c r="K23" i="23178" l="1"/>
  <c r="I60" i="23210"/>
  <c r="I23" i="23209"/>
  <c r="H35" i="23204"/>
  <c r="I35" i="23204" s="1"/>
  <c r="I36" i="23204" s="1"/>
  <c r="I63" i="23209" a="1"/>
  <c r="L26" i="23177"/>
  <c r="K26" i="23177"/>
  <c r="F19" i="23178" l="1"/>
  <c r="F23" i="23178" s="1"/>
  <c r="L23" i="23178" s="1"/>
  <c r="J76" i="23210"/>
  <c r="K63" i="23209"/>
  <c r="I63" i="23209"/>
  <c r="M63" i="23209"/>
  <c r="L63" i="23209"/>
  <c r="J63" i="23209"/>
  <c r="L27" i="23177"/>
  <c r="L28" i="23177" s="1"/>
  <c r="I64" i="23209" l="1" a="1"/>
  <c r="I64" i="23209" l="1"/>
  <c r="M64" i="23209"/>
  <c r="L64" i="23209"/>
  <c r="J64" i="23209"/>
  <c r="K64" i="2320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O59" authorId="0" shapeId="0" xr:uid="{7A03B8A8-53DD-4702-9A0D-6A6D75C7E34E}">
      <text>
        <r>
          <rPr>
            <b/>
            <sz val="9"/>
            <color indexed="81"/>
            <rFont val="Tahoma"/>
            <family val="2"/>
          </rPr>
          <t>Reserve Fund Required Amount means the lesser of:
(a) the Class A Notes Outstanding Amount as of the preceding Calculation Date, provided that for the first Interest Payment Date, the Class A Notes Outstanding Amount will be as of the Issue Date; and
(b) the preceding Calculation Date, provided that for the first Interest Payment Date, the Reserve Fund Required Amount shall be calculated based on the Class A Notes Outstanding Amount as of the Issue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H33" authorId="0" shapeId="0" xr:uid="{7B198F0E-0EB4-4837-BEB2-2C68443296A8}">
      <text>
        <r>
          <rPr>
            <b/>
            <sz val="9"/>
            <color indexed="81"/>
            <rFont val="Tahoma"/>
            <family val="2"/>
          </rPr>
          <t>Moins l'encours des parts résiduelles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<sst xmlns="http://schemas.openxmlformats.org/spreadsheetml/2006/main" count="10281" uniqueCount="2551">
  <si>
    <t>Date de Paiement</t>
  </si>
  <si>
    <t xml:space="preserve"> </t>
  </si>
  <si>
    <t>Total</t>
  </si>
  <si>
    <t>Libellé</t>
  </si>
  <si>
    <t>Date d'Arrêté</t>
  </si>
  <si>
    <t>Email Address</t>
  </si>
  <si>
    <t>:</t>
  </si>
  <si>
    <t>Contact</t>
  </si>
  <si>
    <t>Movements</t>
  </si>
  <si>
    <t>credit</t>
  </si>
  <si>
    <t>1</t>
  </si>
  <si>
    <t>2</t>
  </si>
  <si>
    <t>3</t>
  </si>
  <si>
    <t>4</t>
  </si>
  <si>
    <t>5</t>
  </si>
  <si>
    <t>6</t>
  </si>
  <si>
    <t>7</t>
  </si>
  <si>
    <t>8</t>
  </si>
  <si>
    <t>debit</t>
  </si>
  <si>
    <t>PASSIF</t>
  </si>
  <si>
    <t>No</t>
  </si>
  <si>
    <t>Parties</t>
  </si>
  <si>
    <t>Yes</t>
  </si>
  <si>
    <t>Date d'Arrêté -1</t>
  </si>
  <si>
    <t>15 - OD</t>
  </si>
  <si>
    <t>Date</t>
  </si>
  <si>
    <t xml:space="preserve">Journal </t>
  </si>
  <si>
    <t>Compte</t>
  </si>
  <si>
    <t>Débit</t>
  </si>
  <si>
    <t>Crédit</t>
  </si>
  <si>
    <t xml:space="preserve">Contrôle </t>
  </si>
  <si>
    <t>OD</t>
  </si>
  <si>
    <t>10100000</t>
  </si>
  <si>
    <t>Montant d'Amortissement des Obligations BPI</t>
  </si>
  <si>
    <t>10110000</t>
  </si>
  <si>
    <t>Montant d'amortissement des Parts Subordonnées</t>
  </si>
  <si>
    <t>10200000</t>
  </si>
  <si>
    <t>BQ</t>
  </si>
  <si>
    <t>10210000</t>
  </si>
  <si>
    <t>10500000</t>
  </si>
  <si>
    <t xml:space="preserve">Intérêt courus Obligation BPI </t>
  </si>
  <si>
    <t>10530000</t>
  </si>
  <si>
    <t>Intérêt courus des Parts Subordonnées</t>
  </si>
  <si>
    <t>27400000</t>
  </si>
  <si>
    <t xml:space="preserve">Remboursement portefeuille sain </t>
  </si>
  <si>
    <t>27401000</t>
  </si>
  <si>
    <t xml:space="preserve">Remboursement portefeuille contentieux </t>
  </si>
  <si>
    <t>27402000</t>
  </si>
  <si>
    <t>Remboursement portefeuille impayé</t>
  </si>
  <si>
    <t>27490000</t>
  </si>
  <si>
    <t xml:space="preserve">Décote des créances </t>
  </si>
  <si>
    <t>28010000</t>
  </si>
  <si>
    <t>Amortissement des Frais d'établissement</t>
  </si>
  <si>
    <t>46860000</t>
  </si>
  <si>
    <t>Charges à payer</t>
  </si>
  <si>
    <t>46870000</t>
  </si>
  <si>
    <t>Produits à recevoir</t>
  </si>
  <si>
    <t>46871000</t>
  </si>
  <si>
    <t>Encaissement divers</t>
  </si>
  <si>
    <t>51211000</t>
  </si>
  <si>
    <t xml:space="preserve">Banque en Monnaie locale </t>
  </si>
  <si>
    <t>62200000</t>
  </si>
  <si>
    <t xml:space="preserve">Commission de la société de gestion </t>
  </si>
  <si>
    <t>62210000</t>
  </si>
  <si>
    <t xml:space="preserve">Commission dépositaire </t>
  </si>
  <si>
    <t>62220000</t>
  </si>
  <si>
    <t xml:space="preserve">Commission recourveur </t>
  </si>
  <si>
    <t>62260000</t>
  </si>
  <si>
    <t>Honoraires CAC</t>
  </si>
  <si>
    <t>62500000</t>
  </si>
  <si>
    <t>62700000</t>
  </si>
  <si>
    <t>Services bancaires et assimilés</t>
  </si>
  <si>
    <t>66100000</t>
  </si>
  <si>
    <t xml:space="preserve">Intérêt des Obligations </t>
  </si>
  <si>
    <t>62270000</t>
  </si>
  <si>
    <t xml:space="preserve">Frais de procèdure </t>
  </si>
  <si>
    <t>66120000</t>
  </si>
  <si>
    <t>Intérêt des Parts Suborsonnées</t>
  </si>
  <si>
    <t>73000000</t>
  </si>
  <si>
    <t>75800000</t>
  </si>
  <si>
    <t>Produits divers de gestion courante</t>
  </si>
  <si>
    <t>76000000</t>
  </si>
  <si>
    <t xml:space="preserve">Intérêt des créances </t>
  </si>
  <si>
    <t>76010000</t>
  </si>
  <si>
    <t>Indeminités rachat anticipés</t>
  </si>
  <si>
    <t>Pièces Comptables </t>
  </si>
  <si>
    <t>Controle</t>
  </si>
  <si>
    <t>Payment Date</t>
  </si>
  <si>
    <t>Asset</t>
  </si>
  <si>
    <t>Liability</t>
  </si>
  <si>
    <t xml:space="preserve">Start of Collection Period </t>
  </si>
  <si>
    <t xml:space="preserve">End of Collection Period </t>
  </si>
  <si>
    <t>Previous Payment Date</t>
  </si>
  <si>
    <t>Table of contents:</t>
  </si>
  <si>
    <t>Calculation Date</t>
  </si>
  <si>
    <t>Cut Off Date</t>
  </si>
  <si>
    <t>Beginning of period</t>
  </si>
  <si>
    <t>End of period</t>
  </si>
  <si>
    <t>Name</t>
  </si>
  <si>
    <t>Bank Account</t>
  </si>
  <si>
    <t>Balance at beginning of period</t>
  </si>
  <si>
    <t>Amount due</t>
  </si>
  <si>
    <t>Amount paid</t>
  </si>
  <si>
    <t>Management number</t>
  </si>
  <si>
    <t>Management Company</t>
  </si>
  <si>
    <t>Custodian and Settlement Bank</t>
  </si>
  <si>
    <t>Seller</t>
  </si>
  <si>
    <t>Quarterly Calculation Date</t>
  </si>
  <si>
    <t>Cut off date</t>
  </si>
  <si>
    <t>Note Subscriber</t>
  </si>
  <si>
    <t>Designation</t>
  </si>
  <si>
    <t>Beneficiaries</t>
  </si>
  <si>
    <t>Nominal basis</t>
  </si>
  <si>
    <t>Rate</t>
  </si>
  <si>
    <t>Annual VAT amount</t>
  </si>
  <si>
    <t>VAT rate</t>
  </si>
  <si>
    <t>Frequencies</t>
  </si>
  <si>
    <t>To be paid</t>
  </si>
  <si>
    <t>Arrears</t>
  </si>
  <si>
    <t>Management Company (Annual fee)</t>
  </si>
  <si>
    <t>Management Company (per events )</t>
  </si>
  <si>
    <t xml:space="preserve">The Management Company shall be reimbursed </t>
  </si>
  <si>
    <t>Custodian - (Annual fee)</t>
  </si>
  <si>
    <t>Statutory Auditors</t>
  </si>
  <si>
    <t>FCT Operating Costs (in Euro)</t>
  </si>
  <si>
    <t xml:space="preserve">XX - Asset Follow up </t>
  </si>
  <si>
    <t xml:space="preserve">XX - Collection </t>
  </si>
  <si>
    <t xml:space="preserve">XX - Interest </t>
  </si>
  <si>
    <t xml:space="preserve">XX - Waterfall </t>
  </si>
  <si>
    <t xml:space="preserve">XX - Event </t>
  </si>
  <si>
    <t xml:space="preserve">Numéro de la gestion </t>
  </si>
  <si>
    <t>Establishment Date</t>
  </si>
  <si>
    <t>Signing Date</t>
  </si>
  <si>
    <t>Collection Payment Date</t>
  </si>
  <si>
    <t>Cut-Off Date</t>
  </si>
  <si>
    <t>Business Day</t>
  </si>
  <si>
    <t xml:space="preserve">Principal Instalments amount </t>
  </si>
  <si>
    <t>Prepayments</t>
  </si>
  <si>
    <t>Principal losses amount</t>
  </si>
  <si>
    <t xml:space="preserve">Principal Instalments amount paid </t>
  </si>
  <si>
    <t>Unpaid amount variation</t>
  </si>
  <si>
    <t xml:space="preserve">Prepayments            </t>
  </si>
  <si>
    <t>Collection principal  (calculated)</t>
  </si>
  <si>
    <t>Regular Interest paid</t>
  </si>
  <si>
    <t>Past due interests installments  paid</t>
  </si>
  <si>
    <t>Indemnity Prepayment paid</t>
  </si>
  <si>
    <t>Miscellenaous amount paid</t>
  </si>
  <si>
    <t>Interim Interests further to prepayement</t>
  </si>
  <si>
    <t>Collection interest (calculated)</t>
  </si>
  <si>
    <t>Global Collection calculated</t>
  </si>
  <si>
    <t>Global Collection declared</t>
  </si>
  <si>
    <t>9</t>
  </si>
  <si>
    <t>Set up fee</t>
  </si>
  <si>
    <t>Administration fee</t>
  </si>
  <si>
    <t>Change of servicer</t>
  </si>
  <si>
    <t>Amendments loan documentation</t>
  </si>
  <si>
    <t>Unitholder consultation</t>
  </si>
  <si>
    <t>Operation Refinancing</t>
  </si>
  <si>
    <t>Transfer of Units:</t>
  </si>
  <si>
    <t>Selling fee standard contract</t>
  </si>
  <si>
    <t>Selling fee one-off contract</t>
  </si>
  <si>
    <t>Closing Date of such refinancing</t>
  </si>
  <si>
    <t>Redevance AMF</t>
  </si>
  <si>
    <t>Annual Fee</t>
  </si>
  <si>
    <t>The Issuer Establishment Date</t>
  </si>
  <si>
    <t>Additional Fee</t>
  </si>
  <si>
    <t>Servicer</t>
  </si>
  <si>
    <t>Opening Outstanding Balance (Loan Receivables)</t>
  </si>
  <si>
    <t>PwC</t>
  </si>
  <si>
    <t>Anticipated liquidation (Year 1)</t>
  </si>
  <si>
    <t>Anticipated liquidation (Year 2)</t>
  </si>
  <si>
    <t>Anticipated liquidation fterwards</t>
  </si>
  <si>
    <t>Days elapsed</t>
  </si>
  <si>
    <t>Liquidation Date</t>
  </si>
  <si>
    <t>Servicer Termination Event</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</si>
  <si>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</si>
  <si>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</si>
  <si>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</si>
  <si>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</si>
  <si>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</si>
  <si>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</si>
  <si>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</si>
  <si>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</si>
  <si>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</si>
  <si>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</si>
  <si>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</si>
  <si>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</si>
  <si>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</si>
  <si>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</si>
  <si>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</si>
  <si>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</si>
  <si>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</si>
  <si>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</si>
  <si>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</si>
  <si>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</si>
  <si>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</si>
  <si>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</si>
  <si>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</si>
  <si>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</si>
  <si>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Principal Outstanding balance</t>
  </si>
  <si>
    <t>Unpaid Balance</t>
  </si>
  <si>
    <t>Opening unpaid balance</t>
  </si>
  <si>
    <t>New unpaid</t>
  </si>
  <si>
    <t>Collections</t>
  </si>
  <si>
    <t>Losses Amount</t>
  </si>
  <si>
    <t>Principal</t>
  </si>
  <si>
    <t>Interest</t>
  </si>
  <si>
    <t>Others</t>
  </si>
  <si>
    <t>GAP</t>
  </si>
  <si>
    <t>Cut off Date</t>
  </si>
  <si>
    <t>Collection of the period	 ( Performing )</t>
  </si>
  <si>
    <t>Recovery of the period	 ( Defaulted )</t>
  </si>
  <si>
    <t>PERFORMING</t>
  </si>
  <si>
    <t>DEFAULTED</t>
  </si>
  <si>
    <t>08 - Fees</t>
  </si>
  <si>
    <t>11 - Calendar</t>
  </si>
  <si>
    <t>Contacts</t>
  </si>
  <si>
    <t xml:space="preserve">   09 - Priority of Payments</t>
  </si>
  <si>
    <t>10 - Simplified balance sheet</t>
  </si>
  <si>
    <t>Principal balance of receivables becoming Defaulted</t>
  </si>
  <si>
    <t>Principal balance of receivables becoming Performing</t>
  </si>
  <si>
    <t>Each Payment Date</t>
  </si>
  <si>
    <t>Payment Date following the change of servicer</t>
  </si>
  <si>
    <t>Payment Date following each amendment</t>
  </si>
  <si>
    <t>Payment Date following each consultation</t>
  </si>
  <si>
    <t>Payment Date following each transfer</t>
  </si>
  <si>
    <t xml:space="preserve">Payment Date of the liquidation of the fund </t>
  </si>
  <si>
    <t>Payment Date following each Selling</t>
  </si>
  <si>
    <t>Payment Date following the reporting production</t>
  </si>
  <si>
    <t>Payment Date following receipt of the relevant invoice</t>
  </si>
  <si>
    <t>General Account</t>
  </si>
  <si>
    <t>Reserve Account</t>
  </si>
  <si>
    <t>Closing Outstanding Balances (Calculated)</t>
  </si>
  <si>
    <t>Closing Outstanding Balances (Declared)</t>
  </si>
  <si>
    <t>Closing unpaid balance (Calculated)</t>
  </si>
  <si>
    <t>Closing unpaid balance (Declared)</t>
  </si>
  <si>
    <t>Balance</t>
  </si>
  <si>
    <t>Perf Principal</t>
  </si>
  <si>
    <t>Defaut principal</t>
  </si>
  <si>
    <t>Amount of recovery fees paid</t>
  </si>
  <si>
    <t>Unpaid Balance
becoming Defauted</t>
  </si>
  <si>
    <t>Unpaid Balance
becoming Performing</t>
  </si>
  <si>
    <t>Unpaid Balance
becoming Defaulted</t>
  </si>
  <si>
    <t>Payment_Method</t>
  </si>
  <si>
    <t>Code_Paiement</t>
  </si>
  <si>
    <t>Country</t>
  </si>
  <si>
    <t>Charge_Bearer</t>
  </si>
  <si>
    <t>Address</t>
  </si>
  <si>
    <t>Residual Units</t>
  </si>
  <si>
    <t>IQ EQ Management</t>
  </si>
  <si>
    <t>MILLEIS BANQUE</t>
  </si>
  <si>
    <t>BPSS</t>
  </si>
  <si>
    <t>hugo.lavayssiere@iqeq.com</t>
  </si>
  <si>
    <t xml:space="preserve">omar.ghannam@iqeq.com
</t>
  </si>
  <si>
    <t>FctFrenchPrimeCash2023@iqeq.com</t>
  </si>
  <si>
    <t>Summary Statistics</t>
  </si>
  <si>
    <t>00-01</t>
  </si>
  <si>
    <t>Principal Outstanding Balance</t>
  </si>
  <si>
    <t>00-02</t>
  </si>
  <si>
    <t>Original Principal Outstanding Balance</t>
  </si>
  <si>
    <t>00-03</t>
  </si>
  <si>
    <t>Number of Loans</t>
  </si>
  <si>
    <t>00-04</t>
  </si>
  <si>
    <t>Number of Borrowers</t>
  </si>
  <si>
    <t>00-05</t>
  </si>
  <si>
    <t>Average Principal Outstanding Balance of a Loan</t>
  </si>
  <si>
    <t>00-06</t>
  </si>
  <si>
    <t>Weighted Average Interest Rate</t>
  </si>
  <si>
    <t>00-07</t>
  </si>
  <si>
    <t>Weighted Average Original Term (Months)</t>
  </si>
  <si>
    <t>00-08</t>
  </si>
  <si>
    <t>Weighted Average Seasoning (Months)</t>
  </si>
  <si>
    <t>00-09</t>
  </si>
  <si>
    <t>Weighted Average Remaining Term (Months)</t>
  </si>
  <si>
    <t>00-10</t>
  </si>
  <si>
    <t>Weighted Average Original Loan to Value</t>
  </si>
  <si>
    <t>00-11</t>
  </si>
  <si>
    <r>
      <t>Weighted Average Current Loan</t>
    </r>
    <r>
      <rPr>
        <b/>
        <sz val="11"/>
        <color theme="1"/>
        <rFont val="Times New Roman"/>
        <family val="1"/>
      </rPr>
      <t>-</t>
    </r>
    <r>
      <rPr>
        <sz val="11"/>
        <color theme="1"/>
        <rFont val="Times New Roman"/>
        <family val="1"/>
      </rPr>
      <t>to</t>
    </r>
    <r>
      <rPr>
        <b/>
        <sz val="11"/>
        <color theme="1"/>
        <rFont val="Times New Roman"/>
        <family val="1"/>
      </rPr>
      <t>-</t>
    </r>
    <r>
      <rPr>
        <sz val="11"/>
        <color theme="1"/>
        <rFont val="Times New Roman"/>
        <family val="1"/>
      </rPr>
      <t>Value</t>
    </r>
  </si>
  <si>
    <t>00-12</t>
  </si>
  <si>
    <t>00-13</t>
  </si>
  <si>
    <t>00-14</t>
  </si>
  <si>
    <t>00-15</t>
  </si>
  <si>
    <t xml:space="preserve">Proportion of Mortgage </t>
  </si>
  <si>
    <t>00-16</t>
  </si>
  <si>
    <t>Proportion of SACCEF</t>
  </si>
  <si>
    <t>Proportion of CNP</t>
  </si>
  <si>
    <t>Proportion of Crédit Logement</t>
  </si>
  <si>
    <t>1. Breakdown by Principal Outstanding Balance</t>
  </si>
  <si>
    <t>Bucket Principal Outstanding Balance</t>
  </si>
  <si>
    <t>% of Total (Amount)</t>
  </si>
  <si>
    <t>Nb of Loans</t>
  </si>
  <si>
    <t>% of Total (Number)</t>
  </si>
  <si>
    <t>01-01</t>
  </si>
  <si>
    <t>01-02</t>
  </si>
  <si>
    <t>01-03</t>
  </si>
  <si>
    <t>01-04</t>
  </si>
  <si>
    <t>01-05</t>
  </si>
  <si>
    <t>01-06</t>
  </si>
  <si>
    <t>01-07</t>
  </si>
  <si>
    <t>01-08</t>
  </si>
  <si>
    <t>2. Breakdown by Principal Original Balance</t>
  </si>
  <si>
    <t>Bucket Principal Original Balance</t>
  </si>
  <si>
    <t>02-01</t>
  </si>
  <si>
    <t>02-02</t>
  </si>
  <si>
    <t>02-03</t>
  </si>
  <si>
    <t>02-04</t>
  </si>
  <si>
    <t>02-05</t>
  </si>
  <si>
    <t>02-06</t>
  </si>
  <si>
    <t>02-07</t>
  </si>
  <si>
    <t>02-08</t>
  </si>
  <si>
    <t>3. Breakdown by Seasoning</t>
  </si>
  <si>
    <t>Bucket Seasoning (in months)</t>
  </si>
  <si>
    <t>03-01</t>
  </si>
  <si>
    <t>03-02</t>
  </si>
  <si>
    <t>03-03</t>
  </si>
  <si>
    <t>03-04</t>
  </si>
  <si>
    <t>03-05</t>
  </si>
  <si>
    <t>03-06</t>
  </si>
  <si>
    <t>4. Breakdown by Remaining Term to Maturity</t>
  </si>
  <si>
    <t>Bucket Remaining Term to Maturity  (in months)</t>
  </si>
  <si>
    <t>04-01</t>
  </si>
  <si>
    <t>04-02</t>
  </si>
  <si>
    <t>04-03</t>
  </si>
  <si>
    <t>04-04</t>
  </si>
  <si>
    <t>04-05</t>
  </si>
  <si>
    <t>04-06</t>
  </si>
  <si>
    <t>Year of Origination</t>
  </si>
  <si>
    <t>05-01</t>
  </si>
  <si>
    <t>05-02</t>
  </si>
  <si>
    <t>05-03</t>
  </si>
  <si>
    <t>05-04</t>
  </si>
  <si>
    <t>05-05</t>
  </si>
  <si>
    <t>05-06</t>
  </si>
  <si>
    <t>05-07</t>
  </si>
  <si>
    <t>Bucket Interest Rate</t>
  </si>
  <si>
    <t>06-01</t>
  </si>
  <si>
    <t>06-02</t>
  </si>
  <si>
    <t>06-03</t>
  </si>
  <si>
    <t>06-04</t>
  </si>
  <si>
    <t>06-05</t>
  </si>
  <si>
    <t>06-06</t>
  </si>
  <si>
    <t>06-07</t>
  </si>
  <si>
    <t>06-08</t>
  </si>
  <si>
    <t>06-09</t>
  </si>
  <si>
    <t>06-10</t>
  </si>
  <si>
    <t>06-11</t>
  </si>
  <si>
    <t>06-12</t>
  </si>
  <si>
    <t>06-13</t>
  </si>
  <si>
    <t>06-14</t>
  </si>
  <si>
    <t>06-15</t>
  </si>
  <si>
    <t>06-16</t>
  </si>
  <si>
    <t>Interest Rate Type</t>
  </si>
  <si>
    <t>07-01</t>
  </si>
  <si>
    <t>Floating rate underlying exposure (for life)</t>
  </si>
  <si>
    <t>07-02</t>
  </si>
  <si>
    <t>Floating rate underlying exposure linked to one index that will revert to another index in the future (FINX)</t>
  </si>
  <si>
    <t>07-03</t>
  </si>
  <si>
    <t>Fixed rate underlying exposure (for life)</t>
  </si>
  <si>
    <t>07-04</t>
  </si>
  <si>
    <t>Fixed with future periodic resets</t>
  </si>
  <si>
    <t>07-05</t>
  </si>
  <si>
    <t>Fixed rate underlying exposure with compulsory future switch to floating</t>
  </si>
  <si>
    <t>07-06</t>
  </si>
  <si>
    <t>Floating rate underlying exposure with floor</t>
  </si>
  <si>
    <t>Floating rate underlying exposure with cap</t>
  </si>
  <si>
    <t>Floating rate underlying exposure with both floor and cap</t>
  </si>
  <si>
    <t>Discount</t>
  </si>
  <si>
    <t>Switch Optionality</t>
  </si>
  <si>
    <t>Obligor Swapped</t>
  </si>
  <si>
    <t>Modular</t>
  </si>
  <si>
    <t>Other</t>
  </si>
  <si>
    <t>Bucket Current Loan-to-Value</t>
  </si>
  <si>
    <t>08-01</t>
  </si>
  <si>
    <t>&lt;= 10%</t>
  </si>
  <si>
    <t>08-02</t>
  </si>
  <si>
    <t>] 10% ; 20% ]</t>
  </si>
  <si>
    <t>08-03</t>
  </si>
  <si>
    <t>] 20% ; 30% ]</t>
  </si>
  <si>
    <t>08-04</t>
  </si>
  <si>
    <t>] 30% ; 40% ]</t>
  </si>
  <si>
    <t>08-05</t>
  </si>
  <si>
    <t>] 40% ; 50% ]</t>
  </si>
  <si>
    <t>08-06</t>
  </si>
  <si>
    <t>] 50% ; 60% ]</t>
  </si>
  <si>
    <t>08-07</t>
  </si>
  <si>
    <t>] 60% ; 70% ]</t>
  </si>
  <si>
    <t>08-08</t>
  </si>
  <si>
    <t>] 70% ; 80% ]</t>
  </si>
  <si>
    <t>08-09</t>
  </si>
  <si>
    <t>] 80% ; 90% ]</t>
  </si>
  <si>
    <t>08-10</t>
  </si>
  <si>
    <t>] 90% ; 100% ]</t>
  </si>
  <si>
    <t>08-11</t>
  </si>
  <si>
    <t>08-12</t>
  </si>
  <si>
    <t>08-13</t>
  </si>
  <si>
    <t>09-01</t>
  </si>
  <si>
    <t>09-02</t>
  </si>
  <si>
    <t>09-03</t>
  </si>
  <si>
    <t>09-04</t>
  </si>
  <si>
    <t>10-01</t>
  </si>
  <si>
    <t>10-02</t>
  </si>
  <si>
    <t>10-03</t>
  </si>
  <si>
    <t>10-04</t>
  </si>
  <si>
    <t>10-05</t>
  </si>
  <si>
    <t>10-06</t>
  </si>
  <si>
    <t>10-07</t>
  </si>
  <si>
    <t>10-08</t>
  </si>
  <si>
    <t>10-09</t>
  </si>
  <si>
    <t>10-10</t>
  </si>
  <si>
    <t>10-11</t>
  </si>
  <si>
    <t>Bucket Original Loan-to-Value</t>
  </si>
  <si>
    <t>11-01</t>
  </si>
  <si>
    <t>11-02</t>
  </si>
  <si>
    <t>11-03</t>
  </si>
  <si>
    <t>11-04</t>
  </si>
  <si>
    <t>11-05</t>
  </si>
  <si>
    <t>11-06</t>
  </si>
  <si>
    <t>11-07</t>
  </si>
  <si>
    <t>11-08</t>
  </si>
  <si>
    <t>11-09</t>
  </si>
  <si>
    <t>11-10</t>
  </si>
  <si>
    <t>11-11</t>
  </si>
  <si>
    <t>12-01</t>
  </si>
  <si>
    <t>12-02</t>
  </si>
  <si>
    <t>12-03</t>
  </si>
  <si>
    <t>12-04</t>
  </si>
  <si>
    <t>12-05</t>
  </si>
  <si>
    <t>12-06</t>
  </si>
  <si>
    <t>12-07</t>
  </si>
  <si>
    <t>12-08</t>
  </si>
  <si>
    <t>12-09</t>
  </si>
  <si>
    <t>12-10</t>
  </si>
  <si>
    <t>12-11</t>
  </si>
  <si>
    <t>13-01</t>
  </si>
  <si>
    <t>13-02</t>
  </si>
  <si>
    <t>13-03</t>
  </si>
  <si>
    <t>13-04</t>
  </si>
  <si>
    <t>13-05</t>
  </si>
  <si>
    <t>13-06</t>
  </si>
  <si>
    <t>13-07</t>
  </si>
  <si>
    <t>13-08</t>
  </si>
  <si>
    <t>13-09</t>
  </si>
  <si>
    <t>13-10</t>
  </si>
  <si>
    <t>13-11</t>
  </si>
  <si>
    <t>14-01</t>
  </si>
  <si>
    <t>14-02</t>
  </si>
  <si>
    <t>14-03</t>
  </si>
  <si>
    <t>14-04</t>
  </si>
  <si>
    <t>14-05</t>
  </si>
  <si>
    <t>14-06</t>
  </si>
  <si>
    <t>14-07</t>
  </si>
  <si>
    <t>14-08</t>
  </si>
  <si>
    <t>14-09</t>
  </si>
  <si>
    <t>14-10</t>
  </si>
  <si>
    <t>14-11</t>
  </si>
  <si>
    <t>15-01</t>
  </si>
  <si>
    <t>15-02</t>
  </si>
  <si>
    <t>15-03</t>
  </si>
  <si>
    <t>15-04</t>
  </si>
  <si>
    <t>15-05</t>
  </si>
  <si>
    <t>16-01</t>
  </si>
  <si>
    <t>16-02</t>
  </si>
  <si>
    <t>16-03</t>
  </si>
  <si>
    <t>16-04</t>
  </si>
  <si>
    <t>16-05</t>
  </si>
  <si>
    <t>Property Type</t>
  </si>
  <si>
    <t>17-01</t>
  </si>
  <si>
    <t>17-02</t>
  </si>
  <si>
    <t>17-03</t>
  </si>
  <si>
    <t>17-04</t>
  </si>
  <si>
    <t>17-05</t>
  </si>
  <si>
    <t>17-06</t>
  </si>
  <si>
    <t>17-07</t>
  </si>
  <si>
    <t>17-08</t>
  </si>
  <si>
    <t>17-09</t>
  </si>
  <si>
    <t>18-01</t>
  </si>
  <si>
    <t>18-02</t>
  </si>
  <si>
    <t>18-03</t>
  </si>
  <si>
    <t>18-04</t>
  </si>
  <si>
    <t>18-05</t>
  </si>
  <si>
    <t>18-06</t>
  </si>
  <si>
    <t>18-07</t>
  </si>
  <si>
    <t>18-08</t>
  </si>
  <si>
    <t>18-09</t>
  </si>
  <si>
    <t>18-10</t>
  </si>
  <si>
    <t>18-11</t>
  </si>
  <si>
    <t>18-12</t>
  </si>
  <si>
    <t>18-13</t>
  </si>
  <si>
    <t>18-14</t>
  </si>
  <si>
    <t>18-15</t>
  </si>
  <si>
    <t>Payment Frequency</t>
  </si>
  <si>
    <t>19-01</t>
  </si>
  <si>
    <t>Monthly</t>
  </si>
  <si>
    <t>19-02</t>
  </si>
  <si>
    <t>Quarterly</t>
  </si>
  <si>
    <t>19-03</t>
  </si>
  <si>
    <t>Semi Annual</t>
  </si>
  <si>
    <t>19-04</t>
  </si>
  <si>
    <t>Annual</t>
  </si>
  <si>
    <t>19-05</t>
  </si>
  <si>
    <t>19-97</t>
  </si>
  <si>
    <t>19-98</t>
  </si>
  <si>
    <t>19-99</t>
  </si>
  <si>
    <t>Employment Type</t>
  </si>
  <si>
    <t>20-01</t>
  </si>
  <si>
    <t>Employed - Private Sector</t>
  </si>
  <si>
    <t>20-02</t>
  </si>
  <si>
    <t>Employed - Public Sector</t>
  </si>
  <si>
    <t>20-03</t>
  </si>
  <si>
    <t>Employed - Sector Unknown</t>
  </si>
  <si>
    <t>20-04</t>
  </si>
  <si>
    <t>Unemployed</t>
  </si>
  <si>
    <t>20-05</t>
  </si>
  <si>
    <t>Self-employed</t>
  </si>
  <si>
    <t>20-06</t>
  </si>
  <si>
    <t>No Employment, Obligor is Legal Entity</t>
  </si>
  <si>
    <t>20-07</t>
  </si>
  <si>
    <t>Student</t>
  </si>
  <si>
    <t>20-08</t>
  </si>
  <si>
    <t>Pensioner</t>
  </si>
  <si>
    <t>20-09</t>
  </si>
  <si>
    <t>20-97</t>
  </si>
  <si>
    <t>20-98</t>
  </si>
  <si>
    <t>20-99</t>
  </si>
  <si>
    <t>Guarantee Provider</t>
  </si>
  <si>
    <t>SACCEF</t>
  </si>
  <si>
    <t>CNP</t>
  </si>
  <si>
    <t>Credit Logement</t>
  </si>
  <si>
    <t>Breakdown by Purpose</t>
  </si>
  <si>
    <t>Top 20 Borrowers</t>
  </si>
  <si>
    <t>Top 1</t>
  </si>
  <si>
    <t>Top 2</t>
  </si>
  <si>
    <t>Top 3</t>
  </si>
  <si>
    <t>Top 4</t>
  </si>
  <si>
    <t>Top 5</t>
  </si>
  <si>
    <t>Top 6</t>
  </si>
  <si>
    <t>Top 7</t>
  </si>
  <si>
    <t>Top 8</t>
  </si>
  <si>
    <t>Top 9</t>
  </si>
  <si>
    <t>Top 10</t>
  </si>
  <si>
    <t>Top 11</t>
  </si>
  <si>
    <t>Top 12</t>
  </si>
  <si>
    <t>Top 13</t>
  </si>
  <si>
    <t>Top 14</t>
  </si>
  <si>
    <t>Top 15</t>
  </si>
  <si>
    <t>Top 16</t>
  </si>
  <si>
    <t>Top 17</t>
  </si>
  <si>
    <t>Top 18</t>
  </si>
  <si>
    <t>Top 19</t>
  </si>
  <si>
    <t>Top 20</t>
  </si>
  <si>
    <t>Bucket Original Term to Maturity (in Months)</t>
  </si>
  <si>
    <t>Breakdown Statistics Tables</t>
  </si>
  <si>
    <t>Default &amp; Recovery Historical Statistics</t>
  </si>
  <si>
    <t>Delinquent Performing Home Loans Historical Statistics</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</si>
  <si>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</si>
  <si>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</si>
  <si>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</si>
  <si>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</si>
  <si>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</si>
  <si>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</si>
  <si>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Prepayment Rate Historical Statistics</t>
  </si>
  <si>
    <t>Check</t>
  </si>
  <si>
    <t>(i)</t>
  </si>
  <si>
    <t>(a)</t>
  </si>
  <si>
    <t>(b)</t>
  </si>
  <si>
    <t>(c)</t>
  </si>
  <si>
    <t>(d)</t>
  </si>
  <si>
    <t>(e)</t>
  </si>
  <si>
    <t>(f)</t>
  </si>
  <si>
    <t>France</t>
  </si>
  <si>
    <t>Spain</t>
  </si>
  <si>
    <t xml:space="preserve"> Eligibility Criteria</t>
  </si>
  <si>
    <t>Home Loans Receivables Amount</t>
  </si>
  <si>
    <t>Number of  Home Loans Receivables</t>
  </si>
  <si>
    <t>Home Loan Eligibility Criteria</t>
  </si>
  <si>
    <t>the Home Loan has been originated by Milleis Banque, or has been originated by Barclays France and subsequently transferred by way of asset transfer to Milleis Banque</t>
  </si>
  <si>
    <t>the Home Loan is denominated in Euro;</t>
  </si>
  <si>
    <t>the Home Loan has periodic interest payment streams;</t>
  </si>
  <si>
    <t>the Home Loan has a maximum principal amount of €4,500,000.00</t>
  </si>
  <si>
    <t>the Home Loan is not syndicated;</t>
  </si>
  <si>
    <t>the Home Loan has been granted in accordance with the regular credit assessment and approval processes applied by the Seller in its regular course of business;</t>
  </si>
  <si>
    <t>(g)</t>
  </si>
  <si>
    <t>the Home Loan has interest payments based on generally used market interest rates, or generally used sectoral rates reflective of the cost of funds, and does not reference complex formulae or derivatives;</t>
  </si>
  <si>
    <t>(h)</t>
  </si>
  <si>
    <t>the Home Loan is neither a Defaulted Purchase Home Loan, nor a Delinquent Home
Loan and more generally is not doubtful (douteuse), subject to litigation (litigieuse) or
frozen (immobilisée)</t>
  </si>
  <si>
    <t>the current Outstanding Balance of the Home Loan equals or exceeds Euro [100];</t>
  </si>
  <si>
    <t>(j)</t>
  </si>
  <si>
    <t>(k)</t>
  </si>
  <si>
    <t>the Home Loan is not categorised by the Seller as a non-performing exposure;</t>
  </si>
  <si>
    <t>(l)</t>
  </si>
  <si>
    <t>the Home Loan has not undergone any restructuring in the last three years;</t>
  </si>
  <si>
    <t>(m)</t>
  </si>
  <si>
    <t>the Home Loan forms (along with the contract documenting the same) legal, valid, binding and enforceable obligations with full recourse to the Obligor(s);</t>
  </si>
  <si>
    <t>(n)</t>
  </si>
  <si>
    <t>the Home Loan constitutes an Insured Loan or a Conventional Loan;</t>
  </si>
  <si>
    <t>(o)</t>
  </si>
  <si>
    <t>the loan-to-value (LTV) ratio of the Home Loan, constituting a Conventional Loan,
does not exceed, at the time of its origination, 100%</t>
  </si>
  <si>
    <t>(p)</t>
  </si>
  <si>
    <t>the Home Loan finances or refinances the acquisition or the acquisition and the
renovation, or the construction of residential real estate properties located in
[France]</t>
  </si>
  <si>
    <t xml:space="preserve">(q) </t>
  </si>
  <si>
    <t>In the case of Home Loans that constitute Insured Loans:
(i)	Crédit Logement;
(ii)	SACCEF; or
(iii)	CNP;</t>
  </si>
  <si>
    <t>(r)</t>
  </si>
  <si>
    <t>in the case of Home Loans that constitute Conventional Loans:
(i)	is secured by immovable real-estate located in mainland France;
(ii)	such security is binding and enforceable in accordance with its terms, and has not been amended in a manner that impacts the collectability or enforceability; and
(iii)	the claim against the security is not subordinated nor contingent.</t>
  </si>
  <si>
    <t>(s)</t>
  </si>
  <si>
    <t>the Home Loans does not include transferable securities as defined in Article 4(1), point
44 of Directive 2014/65/EU (as amended, MiFID II), any securitisation position within
the meaning of the Securitisation Regulation or any derivative</t>
  </si>
  <si>
    <t>Home Loans Amount which comply the criteria</t>
  </si>
  <si>
    <t>Number of  Home Loans comply the criteria</t>
  </si>
  <si>
    <t>Home Loans Amount which not comply the criteria</t>
  </si>
  <si>
    <t>Number of  Home Loans not comply the criteria</t>
  </si>
  <si>
    <t>All Home Loans</t>
  </si>
  <si>
    <t>Rejected Home Loans</t>
  </si>
  <si>
    <t>Eligible Home Loans</t>
  </si>
  <si>
    <t>Additional Home Loan Warranties</t>
  </si>
  <si>
    <t>the Borrower is an individual or property investment company (not an SSPE);</t>
  </si>
  <si>
    <t>the Borrower, if it is a private legal entity (personne morale de droit privé),
is registered (immatriculée) in the European Economic Area, or if it is an
individual, is a resident in the European Economic Area;</t>
  </si>
  <si>
    <t>all sums due under the Home Loan (including interest and costs) are fully secured by a fully effective Home Loan Eligible Security;</t>
  </si>
  <si>
    <t>the Home Loan is not labelled as being on payment holiday;</t>
  </si>
  <si>
    <t>the Home Loans and the Ancillary Rights comply with the description given to them in the Receivables Purchase Agreement and in the relevant Assignment Document;</t>
  </si>
  <si>
    <t>as at the Portfolio Cut-off Date, or, as the case may be, as at the relevant date specified in the definition of "Home Loan Eligibility Criteria", the Home Loans comply with the Home Loan Eligibility Criteria;</t>
  </si>
  <si>
    <t>the Borrower is not an employee nor an affiliate of the Seller;</t>
  </si>
  <si>
    <t>the Borrower does not benefit from a contractual right of set-off;</t>
  </si>
  <si>
    <t>the internal credit score of the Borrower under the relevant Home Loan assigned by the Seller indicates that the Borrower is not in default on any other loan granted by the Seller nor that the Borrower is unlikely to pay its obligations to the Seller in full, without recourse by the Seller to action such as realising security;</t>
  </si>
  <si>
    <t>each Home Loan Agreement is governed by French law;</t>
  </si>
  <si>
    <t>each Home Loan Agreement constitutes legal, valid, binding and enforceable contractual obligations of the relevant Borrower with full recourse to the relevant Borrower and such obligations are enforceable in accordance with their respective terms (except that enforceability may be limited by (i) bankruptcy or insolvency of the Borrower or other laws relating to over-indebtedness (surendettement) or enforcement of general applicability affecting the enforcement rights of creditors generally or (ii) the existence of unfair contract terms (clauses abusives) as defined by articles L.212-1 et seq. of the French Consumer Code in the Home Loan Agreements (provided they would not (A) affect the right of the Issuer to purchase the Home Loan as contemplated under the Receivables Purchase Agreement or (B) deprive the Issuer of its rights to receive principal and to receive interest as provided for under the Home Loan);</t>
  </si>
  <si>
    <t>no Home Loan Agreement contains any unfair contract terms (clauses abusives) as defined by articles L.212-1 et seq. of the French Consumer Code which would result in (i) the assignment of the corresponding Home Loans by the Seller to the Issuer as contemplated under the Receivables Purchase Agreement becoming invalid or unlawful or (ii) depriving the Issuer of its rights to receive principal and interest under such Home Loans in accordance with the terms of such Home Loan Agreements after the assignment of such Home Loans by the Seller to the Issuer;</t>
  </si>
  <si>
    <t>the Seller has complied with all its legal obligations in originating the relevant Home Loan Agreement, including without limitation any duty of care (obligation de conseil) in the execution of such Home Loan Agreement;</t>
  </si>
  <si>
    <t>the Seller has complied with its legal obligations towards the Borrower(s) in all material respects in originating each Home Loan Agreement, including without limitation with respect to its obligation to provide all mandatory pre-contractual information and its duty to warn the Borrower(s) (obligation de mise en garde) in the execution of such Home Loan Agreement;</t>
  </si>
  <si>
    <t>the Seller has full title to the Home Loans and the related Ancillary Rights immediately prior to their assignment or transfer to the Issuer, and the Home Loans and the related Ancillary Rights are not subject to, either in whole or in part, any assignment, delegation or pledge, attachment, warranty claims, set- off nor encumbrance of whatever type, in particular any rights of third parties, or otherwise in a condition, that can be foreseen to adversely affect the enforceability of the assignment of the Home Loans or any related Ancillary Right to the Issuer;</t>
  </si>
  <si>
    <t>the Home Loans are not subject to dispute or counterclaim;</t>
  </si>
  <si>
    <t>(q)</t>
  </si>
  <si>
    <t>the Home Loan Agreement does not include any provision which expressly states that any right or claim of a Borrower against the Seller under other contractual arrangements is closely connected (connexes) to the Home Loan provided to such Borrower;</t>
  </si>
  <si>
    <t>the assignment of the Home Loan and the assignment and transfer of the Ancillary Rights to the Issuer does not require the prior consent of the Borrower;</t>
  </si>
  <si>
    <t>any filing required by law no. 78-17 of 6 January 1978 relating to the protection of personal data (Loi relative à l'informatique, aux fichiers et aux libertés) or the Regulation no EU/2016/679 on the protection of natural persons with regard to the processing of personal data and on the free movement of such data, with respect to the Borrower of the Home Loan has been made with the Commission Nationale de l'Informatique et des Libertés;</t>
  </si>
  <si>
    <t>(t)</t>
  </si>
  <si>
    <t>the relevant Home Loan has not been marketed and underwritten on the premise that the Borrower as loan applicant or, where applicable, intermediaries were made aware that the information provided might not be verified by the Seller;</t>
  </si>
  <si>
    <t>(u)</t>
  </si>
  <si>
    <t>the Borrower is not a credit-impaired obligor within the meaning of Article 178(1) of CRR, where a credit-impaired obligor is any obligor that, to the best of the Seller's knowledge:</t>
  </si>
  <si>
    <t>(u) (i) (1)</t>
  </si>
  <si>
    <t>has been declared insolvent (meaning for the purpose of this Additional Home Loan Warranty, being subject to a judicial liquidation proceedings (procédure de rétablissement personnel), pursuant to the provisions of Title IV of Livre VII of the French Consumer Code (or, before the 1st of July 2016, Titre III of Livre III of the French Consumer Code), to any insolvency proceeding pursuant to the provisions of articles L.620-1 et seq. of the French Commercial Code or to a review by a jurisdiction pursuant to article 1343-5 of the French Civil Code (or, before the 1st of October 2016, article 1244-1 of the French Civil Code) before a court), or</t>
  </si>
  <si>
    <t>(u) (i) (2)</t>
  </si>
  <si>
    <t>had a court grant his creditors a final non-appealable right of enforcement or material damages as a result of a missed payment, in relation to item (1) within three (3) years prior to the date of origination of the relevant Home Loan, or</t>
  </si>
  <si>
    <t>(u) (i) (3)</t>
  </si>
  <si>
    <t>has undergone a debt restructuring process with regard to its non-performing exposures within three (3) years prior to the Portfolio Cut-off Date, except where:</t>
  </si>
  <si>
    <t>(u) (i) (3) (i)</t>
  </si>
  <si>
    <t>the relevant Home Loan has been restructured at least one (1) year prior to the Portfolio Cut-off Date and has not presented new arrears since the date of the restructuring; and</t>
  </si>
  <si>
    <t>(u) (i) (3) (ii)</t>
  </si>
  <si>
    <t>the Seller sets out the time and details of the restructuring and the performance of the relevant Home Loan since the date of the restructuring;</t>
  </si>
  <si>
    <t>(u) (ii)</t>
  </si>
  <si>
    <t>was, at the time of the origination of the relevant Home Loan on a public credit registry of persons with adverse credit history (meaning for the purpose of this Additional Home Loan Warranty being registered in Banque de France's FICP file (Fichier des incidents de remboursement des crédits des particuliers)) or, where there is no such public credit registry, another credit registry that is available to the Seller;</t>
  </si>
  <si>
    <t>(u) (iii)</t>
  </si>
  <si>
    <t>(iii)	has a credit assessment by an ECAI or has a credit score indicating that the risk of contractually agreed payments not being made is significantly higher than for comparable exposures held by the Seller which are not Home Loans,</t>
  </si>
  <si>
    <t>Total Asset
Outstanding
 Amount</t>
  </si>
  <si>
    <t>Total 
expected
interest flows</t>
  </si>
  <si>
    <t>Total 
expected
amortisation in principal</t>
  </si>
  <si>
    <t>&gt;&gt; Up</t>
  </si>
  <si>
    <t>Information Date</t>
  </si>
  <si>
    <t>Settlement Date</t>
  </si>
  <si>
    <t/>
  </si>
  <si>
    <t>means the date falling [two] Business Days after a Settlement Date; provided that the first Payment Date will fall on [25 April] 2024.</t>
  </si>
  <si>
    <t>means the date falling, at the latest, two Business Days after the 5th, 10th, 15th, 20th, 25th, 28th, 30th and 31st of each calendar month.</t>
  </si>
  <si>
    <t>Monthly Collection Period Beginning</t>
  </si>
  <si>
    <t>Monthly Collection Period End Date</t>
  </si>
  <si>
    <t>Quartely Collection Period Beginning</t>
  </si>
  <si>
    <t>Quartely Collection Period End Date</t>
  </si>
  <si>
    <t>means, during the Normal Redemption Period, the [twenty-third (23rd)] calendar day of the first calendar month of each quarter (being the months of January, April, July and October in each year) subject to the Business Day Convention; provided that the first Settlement Date will fall on [23 April] 2024.</t>
  </si>
  <si>
    <t>Monthly Collection Period</t>
  </si>
  <si>
    <t>Monthly Cut-Off Date</t>
  </si>
  <si>
    <t>Means the last calendar date of each month. Monthly Cut Off Date (TBD)</t>
  </si>
  <si>
    <t>means (i) the period starting from and including the [Closing Date] to and including the next Monthly Cut Off Date and (ii) thereafter, each period commencing on (and excluding) a Monthly Cut Off Date and ending on (and including) the immediately following Cut-Off Date.</t>
  </si>
  <si>
    <t>Quartely Collection Period</t>
  </si>
  <si>
    <t>Final Legal Maturity Date</t>
  </si>
  <si>
    <t>Quartely Cut-Off Date</t>
  </si>
  <si>
    <t>31 March, 30 June, 30 September and 31 Decembre. First Quarterly Cut Off Date (TBD)</t>
  </si>
  <si>
    <t>Data Reference Date</t>
  </si>
  <si>
    <t>Determination Date</t>
  </si>
  <si>
    <t>Interest Payment Date</t>
  </si>
  <si>
    <t>Issue Date</t>
  </si>
  <si>
    <t xml:space="preserve">Optional Redemption Date </t>
  </si>
  <si>
    <t>Portfolio Cut-off Date</t>
  </si>
  <si>
    <t xml:space="preserve">Purchase Date </t>
  </si>
  <si>
    <t>means the Issue Date.</t>
  </si>
  <si>
    <t>Re-assignment Date</t>
  </si>
  <si>
    <t>means, with respect to any Purchased Home Loan, the date on which such Purchased Home Loan is re-assigned or which sale is rescinded, under and subject to the terms of the Receivables Purchase Agreement, such date falling on the fifteenth (15th) Business Day of each calendar month, being provided that if this fifteen (15th) Business Day is not preceded by at least [two (2)] consecutive Business Days, such date will be the first preceding or following Business Day which is preceded by at least [two (2)] consecutive Business Days, or any other date agreed between the parties.</t>
  </si>
  <si>
    <t>Class A Notes</t>
  </si>
  <si>
    <t>Portfolio Outstanding</t>
  </si>
  <si>
    <t>Interest Account</t>
  </si>
  <si>
    <t>Principal Account</t>
  </si>
  <si>
    <t>EUR</t>
  </si>
  <si>
    <t>Rating Agencies</t>
  </si>
  <si>
    <t>Prepayment Rate</t>
  </si>
  <si>
    <t xml:space="preserve"> Prepayment Ratio</t>
  </si>
  <si>
    <t>dimitri.bellaiche@iqeq.com</t>
  </si>
  <si>
    <t>Arranger</t>
  </si>
  <si>
    <t>ALANTRA</t>
  </si>
  <si>
    <t xml:space="preserve">Quartely Collection period	</t>
  </si>
  <si>
    <t>Nominal value per Note</t>
  </si>
  <si>
    <t>Issue price</t>
  </si>
  <si>
    <t>Ranking</t>
  </si>
  <si>
    <t>Notes Outstanding Amount - Beginning Period</t>
  </si>
  <si>
    <t>Issue Amount</t>
  </si>
  <si>
    <t>Redemption</t>
  </si>
  <si>
    <t>Notes Outstanding Amount - Ending Period</t>
  </si>
  <si>
    <t xml:space="preserve"> Outstanding Amount by note - Ending Period</t>
  </si>
  <si>
    <t>Class B Notes</t>
  </si>
  <si>
    <t>Number of Class B Notes</t>
  </si>
  <si>
    <t>Number of Class A Notes</t>
  </si>
  <si>
    <t>Opening balance</t>
  </si>
  <si>
    <t>Data Protection Agent</t>
  </si>
  <si>
    <t>Quartely Cut Off Date</t>
  </si>
  <si>
    <t>Priority of payment on dates other than Payment Dates</t>
  </si>
  <si>
    <t>(i)	the Issuer Operating Expenses due to the Account Bank and which are to be paid on a day other than a Payment Date by debiting the Reserve Account</t>
  </si>
  <si>
    <t>(ii)	the absolute value of the aggregate net income (if negative) generated by the investment of the Issuer Cash from all the Issuer Accounts and which are to be paid on a day other than a Payment Date by debiting the Costs Reserve Account</t>
  </si>
  <si>
    <t>(iii)	any Corrected Available Principal Collections due to the Seller and which are to be paid on the Collection Payment Date immediately following the date on which such Corrected Available Principal Collections are due by debiting the General Account</t>
  </si>
  <si>
    <t>(iv)	any Re-assignment Price Refund or any Rescission Amount Refund due to the Seller and related to any re-assignment or rescission of any Home Loan of the Seller and which are to be paid of the Collection Payment Date immediately following such Re-assignment Date by debiting the General Account</t>
  </si>
  <si>
    <t>ISIN code</t>
  </si>
  <si>
    <t>Setting up of the Transaction including the review and execution of the Issuer Transaction Documents</t>
  </si>
  <si>
    <t>Each Settlement Date</t>
  </si>
  <si>
    <t>The Settlement Date following the change of Issuer Organ</t>
  </si>
  <si>
    <r>
      <rPr>
        <b/>
        <sz val="28"/>
        <color theme="2" tint="-0.749992370372631"/>
        <rFont val="Calibri"/>
        <family val="2"/>
        <scheme val="minor"/>
      </rPr>
      <t>FCT French Prime Cash</t>
    </r>
    <r>
      <rPr>
        <b/>
        <sz val="28"/>
        <rFont val="Calibri"/>
        <family val="2"/>
        <scheme val="minor"/>
      </rPr>
      <t xml:space="preserve"> </t>
    </r>
    <r>
      <rPr>
        <b/>
        <sz val="28"/>
        <color theme="9" tint="-0.249977111117893"/>
        <rFont val="Calibri"/>
        <family val="2"/>
        <scheme val="minor"/>
      </rPr>
      <t>2023</t>
    </r>
  </si>
  <si>
    <t>Residual Unit</t>
  </si>
  <si>
    <t>-</t>
  </si>
  <si>
    <t xml:space="preserve">08- Issuer account </t>
  </si>
  <si>
    <t>FR001400MGQ7</t>
  </si>
  <si>
    <t>FR001400MGO2</t>
  </si>
  <si>
    <t>on each Payment Date with the Available Principal Distribution Amount, in accordance with the Principal Priority of Payments or Accelerated Redemption Priority of Payments, as applicable.</t>
  </si>
  <si>
    <t>on each Payment Date with the Available Interest Distribution Amount, in accordance with the Interest Priority of Payments or Accelerated Redemption Priority of Payments, as applicable.</t>
  </si>
  <si>
    <t>Senior</t>
  </si>
  <si>
    <t>BNPSS</t>
  </si>
  <si>
    <t xml:space="preserve">Hugo Lavayssière / Omar Ghannam/ Dimitri Bellaiche </t>
  </si>
  <si>
    <t xml:space="preserve"> Summary</t>
  </si>
  <si>
    <t>Asset Follow Up (Euros)</t>
  </si>
  <si>
    <t>Collection</t>
  </si>
  <si>
    <t>Asset Amortisation Profile</t>
  </si>
  <si>
    <t>Number of Notes</t>
  </si>
  <si>
    <t>Note Principal Outstanding Amount</t>
  </si>
  <si>
    <t>Interest Period</t>
  </si>
  <si>
    <t>Interest amount due per Note</t>
  </si>
  <si>
    <t>Starting Date</t>
  </si>
  <si>
    <t xml:space="preserve"> Ending Date</t>
  </si>
  <si>
    <t>Notes Interest</t>
  </si>
  <si>
    <t>Fixed rate</t>
  </si>
  <si>
    <t>Key Figures 1 (TBC)</t>
  </si>
  <si>
    <t>Key Figures 2 (TBC)</t>
  </si>
  <si>
    <t>Key Figures 3 (TBC)</t>
  </si>
  <si>
    <t>Key Figures 4 (TBC)</t>
  </si>
  <si>
    <t>Key Figures 5 (TBC)</t>
  </si>
  <si>
    <t>Residual Units Outstanding Amount - Beginning Period</t>
  </si>
  <si>
    <t>Residual Units Outstanding Amount - Ending Period</t>
  </si>
  <si>
    <t>Number of Residual Units</t>
  </si>
  <si>
    <t xml:space="preserve"> Outstanding Amount by Residual Unit - Ending Period</t>
  </si>
  <si>
    <t>Event</t>
  </si>
  <si>
    <t>Issuer Liquidation Event</t>
  </si>
  <si>
    <t>(a)	the liquidation is in the interest of the Residual Unitholder and Noteholders in accordance with the French Monetary and Financial Code;</t>
  </si>
  <si>
    <t>(b)	at any time, the aggregate Outstanding Balances of the Performing Home Loans held by the Issuer falls below [ten (10)] per cent of the aggregate Outstanding Balances of the Home Loans at the Issuer Establishment Date;</t>
  </si>
  <si>
    <t xml:space="preserve">(c)	the Notes and the Residual Units issued by the Issuer are held by a single holder and such holder requests the liquidation of the Issuer; </t>
  </si>
  <si>
    <t>(d)	the Notes and the Residual Units issued by the Issuer are held by the Seller and the Seller requests the liquidation of the Issuer</t>
  </si>
  <si>
    <t>(e)	the Final Legal Maturity Date has occurred.</t>
  </si>
  <si>
    <t>Accelerated Redemption Event</t>
  </si>
  <si>
    <t xml:space="preserve">(a)	any amount of interest due and payable on the Class A Notes remains unpaid after [5] Business Days following the relevant Payment Date; </t>
  </si>
  <si>
    <t>(b)	a Servicer Termination Event has occurred and is continuing,</t>
  </si>
  <si>
    <t>Custodian Termination Event</t>
  </si>
  <si>
    <t xml:space="preserve">(A)	if the Custodian's banking licence (agrément) issued by the ACPR is withdrawn for any reason whatsoever; </t>
  </si>
  <si>
    <t xml:space="preserve">(B)	upon notice delivered by the Management Company to the Custodian, the other parties to the Transaction Documents and the Rating Agencies, after the occurrence of any of the following events:
                I.	the Custodian breaches any of its material obligations, whether legal or under any Transaction Document; </t>
  </si>
  <si>
    <t>(B)	upon notice delivered by the Management Company to the Custodian, the other parties to the Transaction Documents and the Rating Agencies, after the occurrence of any of the following events:
                II.	the Custodian is unable to carry out its duties</t>
  </si>
  <si>
    <t>(C)	by the Custodian, subject to not less than three (3) months' prior written notice to the Management Company, the other parties to the Transaction Documents and the Rating Agencies, at any time and for any reason</t>
  </si>
  <si>
    <t>Management Termination Event</t>
  </si>
  <si>
    <t>(A)	if the Management Company's licence (agrément) issued by the AMF is withdrawn for any reason whatsoever</t>
  </si>
  <si>
    <t xml:space="preserve">(B)	upon notice delivered by the Custodian to the AMF, the other parties to the Transaction Documents and the Rating Agencies, after the occurrence of any of the following events:
</t>
  </si>
  <si>
    <t xml:space="preserve">I.	a decision made by the Management Company proves to be irregular (irrégulière) within the meaning of article L.214-175-2 of the French Monetary and Financial Code; </t>
  </si>
  <si>
    <t>II.	the Management Company is unable to carry out its duties;</t>
  </si>
  <si>
    <t xml:space="preserve">III.	a decision of the Class A Noteholders made in accordance with Condition 7 (Representative of Class A Noteholders) of the Terms and Conditions of the Class A Notes and/or the Class B Noteholders made in accordance with Condition 7 (Representative of Class B Noteholders) of the Terms and Conditions of the Class B Notes for any legitimate reason to request the Custodian to deliver such notice to the AMF; </t>
  </si>
  <si>
    <t>IV.	a material breach of its obligations under any Transaction Documents;</t>
  </si>
  <si>
    <t>(C)	by the Management Company, subject to a three (3) months prior written notice of the Management Company and the Seller, at any time and for any reason;</t>
  </si>
  <si>
    <t xml:space="preserve">Principal Priority of payment </t>
  </si>
  <si>
    <t>Interest Priority of payment</t>
  </si>
  <si>
    <t>(a)	payment of the Principal Reallocated Amount due and payable on such Payment Date</t>
  </si>
  <si>
    <t xml:space="preserve">(b)	during the Normal Redemption Period only, towards payment on a pari passu basis of the Class A Notes Principal Payment (and any principal arrears) to the Class A Noteholders until all the Class A Notes have been redeemed in full; </t>
  </si>
  <si>
    <t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t>
  </si>
  <si>
    <t>(d)	on the Issuer Liquidation Date, to the payment of the liquidation surplus (boni de liquidation) to the Residual Unitholder as principal and interest.</t>
  </si>
  <si>
    <t>Available Principal Distribution Amount</t>
  </si>
  <si>
    <t>Available Interest Distribution Amount</t>
  </si>
  <si>
    <t>(a)	payment, if any, of the Servicer Fees Arrears</t>
  </si>
  <si>
    <t>(b)	payment of the Servicer Fees;</t>
  </si>
  <si>
    <t>(c)	payment, if any, of the Issuer Operating Expenses Arrears to each relevant creditor;</t>
  </si>
  <si>
    <t>(d)	payment of the Issuer Operating Expenses, excluding the Servicer Fees paid under paragraph (b) above, to each relevant creditor;</t>
  </si>
  <si>
    <t xml:space="preserve">(e)	payment pari passu and pro rata of the Class A Notes Interest Amount and, in priority thereto, any Class A Notes Interest Shortfall, due and payable to the Class A Noteholders; </t>
  </si>
  <si>
    <t>(f)	credit of the Class A Notes Deficiency Ledger in an amount sufficient to eliminate any debit thereof;</t>
  </si>
  <si>
    <t>(g)	transfer into the Reserve Account of an amount such as the amount standing to the credit of the Reserve Account after such transfer is equal to the Reserve Fund Required Amount;</t>
  </si>
  <si>
    <t>(h)	payment pari passu and pro rata of the Class B Notes Interest Amount and, in priority thereto, any Class B Notes Interest Shortfall, due and payable to the Class B Noteholders;</t>
  </si>
  <si>
    <t>10</t>
  </si>
  <si>
    <t>11</t>
  </si>
  <si>
    <t>12</t>
  </si>
  <si>
    <t>(i)	credit of the Class B Notes Deficiency Ledger in an amount sufficient to eliminate any debit thereof;</t>
  </si>
  <si>
    <t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t>
  </si>
  <si>
    <t>(l)	payment on a pro rata basis of any remaining credit balance on the Interest Account as interest to the Residual Unitholders.</t>
  </si>
  <si>
    <t>Accelerated Redemption Priority of Payments</t>
  </si>
  <si>
    <t>Available Distribution Amount</t>
  </si>
  <si>
    <t>(a)	payment, if any, of the Servicer Fees Arrears;</t>
  </si>
  <si>
    <t>(e)	payment pari passu and pro rata of the Class A Notes Interest Amount and, in priority thereto, any Class A Notes Interest Shortfall, due and payable to the Class A Noteholders;</t>
  </si>
  <si>
    <t>(f)	transfer into the Reserve Account of an amount such as the amount standing to the credit of the Reserve Account after such transfer is equal to the Reserve Fund Required Amount;</t>
  </si>
  <si>
    <t>(g)	payment pari passu and pro rata of any and all outstanding principal amounts under the Class A Notes;</t>
  </si>
  <si>
    <t>(h)	only once the Class A Notes have been redeemed in full, payment pari passu and pro rata of the Class B Notes Interest Amount and, in priority thereto, any Class B Notes Interest Shortfall, due and payable to the Class B Noteholders;</t>
  </si>
  <si>
    <t>(i)	payment pari passu and pro rata of any and all outstanding principal amounts under the Class B Notes; and</t>
  </si>
  <si>
    <t>(j)	payment of any reasonable and duly documented fees incurred in connection with the operation of the Issuer, in each case under the provisions of the Issuer Regulations or the other Transaction Documents, as applicable, which are not otherwise specified or provided for in paragraph (c) to (d) (inclusive) above;</t>
  </si>
  <si>
    <t xml:space="preserve">(k)	subject to the full redemption of the Notes and the payments of any other amounts ranking senior, repayment of the outstanding amount of the Reserve Fund; </t>
  </si>
  <si>
    <t>(l)	on the Issuer Liquidation Date, to the payment of the liquidation surplus (boni de liquidation) to the Residual Unitholder as principal and interest.</t>
  </si>
  <si>
    <t>(a)	any breach by the Servicer of
                (i)	any of its material obligations (other than a payment obligation and except providing its Servicer Report to the Management Company on any Information Date) and such breach is not remedied by the Servicer within sixty (60) calendar days following receipt by the Servicer of a notice thereof from the Management Company or the Servicer becoming aware of the same</t>
  </si>
  <si>
    <t>(a)	any breach by the Servicer of
             (ii)	any of its payment obligations under any Transaction Documents to which it is a party, except if such breach is due to technical reasons and such breach is not remedied by the Servicer within [five (5)] Business Days;</t>
  </si>
  <si>
    <t>(b)	the Servicer has not provided the Management Company with the Servicer Report on the relevant Information Date and such breach is not remedied by the Servicer within [five (5)] Business Days after the relevant Information Date.</t>
  </si>
  <si>
    <t>(c)	any representation or warranty made by the Servicer under the Transaction Documents to which it is a party, proves to be materially false or incorrect provided that the Management Company has determined and confirmed in writing that such breach is materially detrimental to the interests of the Noteholders and Residual Unitholder and unless such event is not remedied by the Servicer within sixty (60) calendar days following receipt by the Servicer of a notice thereof from the Management Company or (if sooner) the Servicer has knowledge of the same;</t>
  </si>
  <si>
    <t>(d)	an Insolvency Event occurs in respect of the Servicer;</t>
  </si>
  <si>
    <t xml:space="preserve">(e)	the Servicer’s banking license is withdrawn pursuant to the provisions of the French Monetary and Financial Code; </t>
  </si>
  <si>
    <t>(f)	it is or becomes unlawful for the Servicer to perform or comply with any or all of its material obligations under the Servicing Agreement or any or all of its material obligations under the Servicing Agreement are not, or cease to be, legal, valid and binding.</t>
  </si>
  <si>
    <t>Account Bank Termination Event</t>
  </si>
  <si>
    <t>(a)	any material representation or warranty made by the Account Bank is or proves to have been incorrect or misleading in any material respect when made, and the same is not remedied (if capable of remedy)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</si>
  <si>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(b)	the Account Bank fails to comply with any of its material obligations under the Account Bank Agreement unless such breach is capable of remedy and is remedied within [thirty] ([30]) Business Days after the Management Company (with copy to the Custodian) has given notice thereof to the Account Bank or (if sooner) the Account Bank has knowledge of the same, provided that the Management Company, at its discretion, certifies that it is prejudicial to the interests of the Noteholders and Residual Unitholder;</t>
  </si>
  <si>
    <t>(c)	an Insolvency Event occurs in respect of the Account Bank;</t>
  </si>
  <si>
    <t>(d)	at any time it is or becomes unlawful for the Account Bank to perform or comply with any or all of its material obligations under the Account Bank Agreement or any or all of its material obligations under the Account Bank Agreement are not, or cease to be, legal, valid and binding</t>
  </si>
  <si>
    <t>(e)	any failure by the Account Bank to make any payment under any Transaction Documents to which it is a party, when due, except if such failure is due to technical reasons and is remedied within [five (5)] Business Days.</t>
  </si>
  <si>
    <t xml:space="preserve">Notes Follow-up - EUR </t>
  </si>
  <si>
    <t>Class A Notes Interest Amount</t>
  </si>
  <si>
    <t xml:space="preserve">Class B Notes Interest Amount </t>
  </si>
  <si>
    <t>Principal Deficiency Ledge (Normal Redemption Period)</t>
  </si>
  <si>
    <t>Class B Principal Deficiency Ledger 
Beginning Period</t>
  </si>
  <si>
    <t>Class A Note Outstanding Amount</t>
  </si>
  <si>
    <t>Class B Note Outstanding Amount</t>
  </si>
  <si>
    <t>Class B Principal Deficiency Ledger 
Ending Period</t>
  </si>
  <si>
    <t>Interest Reallocated Amounts (Credit)</t>
  </si>
  <si>
    <t>Default Amount (Debit)</t>
  </si>
  <si>
    <t>Principal Reallocated Amounts (Debit)</t>
  </si>
  <si>
    <t>Class A Principal Deficiency Ledger 
Ending Period</t>
  </si>
  <si>
    <t>Class A Principal Deficiency Ledger 
Beginning Period</t>
  </si>
  <si>
    <t>the Home Loan has given rise to at least one instalment, which has been paid in full to
the Seller by the relevant Borrower(s), at the latest, on the Issue Date</t>
  </si>
  <si>
    <t>Roll-forward Principal Outstanding balance</t>
  </si>
  <si>
    <t>Roll-forward  - Unpaid Balance</t>
  </si>
  <si>
    <t>ICNE</t>
  </si>
  <si>
    <t>AGEING BALANCE</t>
  </si>
  <si>
    <t>GLOBAL STATISTICS</t>
  </si>
  <si>
    <t>Date Arrete</t>
  </si>
  <si>
    <t>Status (S=Sain;D=Defaulted)</t>
  </si>
  <si>
    <t>Opening Outstanding Balances of the Home Loans</t>
  </si>
  <si>
    <t>Recapitalization into the principal outstanding balance</t>
  </si>
  <si>
    <t xml:space="preserve">Principal balance of receivables becoming Defaulted Home Loans </t>
  </si>
  <si>
    <t xml:space="preserve">Principal balance of receivables becoming Performing Home Loans </t>
  </si>
  <si>
    <t>Closing Outstanding Balances of the Home Loans (declared)</t>
  </si>
  <si>
    <t>Opening unpaid balance of The Home Loans</t>
  </si>
  <si>
    <t>Collections &amp; recoveries</t>
  </si>
  <si>
    <t>Recapitalization
into the Principal 0utstanding Balance of The Home Loans</t>
  </si>
  <si>
    <t xml:space="preserve">Losses amount </t>
  </si>
  <si>
    <t xml:space="preserve">Re-transferred Amount </t>
  </si>
  <si>
    <t>Rescission Amount</t>
  </si>
  <si>
    <t>Unpaid Balance
becomming Defauted Home Loans</t>
  </si>
  <si>
    <t>Unpaid Balance
becomming Performing Home Loans</t>
  </si>
  <si>
    <t>Closing unpaid balance of The Home Loans
(Declared)</t>
  </si>
  <si>
    <t>Amount recovered after acceleration</t>
  </si>
  <si>
    <t>Undue Amount</t>
  </si>
  <si>
    <t>ICNE All Receivables</t>
  </si>
  <si>
    <t>ICNE New receivables</t>
  </si>
  <si>
    <t>ICNE Retranfert</t>
  </si>
  <si>
    <t>ICNE Recission</t>
  </si>
  <si>
    <t>Item</t>
  </si>
  <si>
    <t>Libelle Item</t>
  </si>
  <si>
    <t>CRD</t>
  </si>
  <si>
    <t>Number</t>
  </si>
  <si>
    <t>Original Balance</t>
  </si>
  <si>
    <t>Miscellaneous
 but arrears</t>
  </si>
  <si>
    <t>Interests arrears</t>
  </si>
  <si>
    <t>Other
 arrears</t>
  </si>
  <si>
    <t>S</t>
  </si>
  <si>
    <t>D</t>
  </si>
  <si>
    <t>Weighted Average Current Loan-to-Value</t>
  </si>
  <si>
    <t>FLIF</t>
  </si>
  <si>
    <t>FINX</t>
  </si>
  <si>
    <t>FXRL</t>
  </si>
  <si>
    <t>FXPR</t>
  </si>
  <si>
    <t>FLCF</t>
  </si>
  <si>
    <t>FLFL</t>
  </si>
  <si>
    <t>CAPP</t>
  </si>
  <si>
    <t>FLCA</t>
  </si>
  <si>
    <t>DISC</t>
  </si>
  <si>
    <t>SWIC</t>
  </si>
  <si>
    <t>OBLS</t>
  </si>
  <si>
    <t>MODE</t>
  </si>
  <si>
    <t>OTHR</t>
  </si>
  <si>
    <t>LTE 10%</t>
  </si>
  <si>
    <t>MNTH</t>
  </si>
  <si>
    <t>QUTR</t>
  </si>
  <si>
    <t>SEMI</t>
  </si>
  <si>
    <t>YEAR</t>
  </si>
  <si>
    <t>EMRS</t>
  </si>
  <si>
    <t>EMBL</t>
  </si>
  <si>
    <t>EMUK</t>
  </si>
  <si>
    <t>UNEM</t>
  </si>
  <si>
    <t>SFEM</t>
  </si>
  <si>
    <t>NOEM</t>
  </si>
  <si>
    <t>STNT</t>
  </si>
  <si>
    <t>PNNR</t>
  </si>
  <si>
    <t>SELLER_ID</t>
  </si>
  <si>
    <t>New Transferred Receivables</t>
  </si>
  <si>
    <t>2138008864ADTHGQP554</t>
  </si>
  <si>
    <t>New Receivables Amount</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</si>
  <si>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</si>
  <si>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</si>
  <si>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Outstanding Balances of the Affected Home Loans</t>
  </si>
  <si>
    <t>Interest amount on late payment of instalments</t>
  </si>
  <si>
    <t>Amount paid in late penalties</t>
  </si>
  <si>
    <t>Amount paid in deffered interest (e.g. in case of a break)</t>
  </si>
  <si>
    <t>aggregate prepayment amounts during the immediately preceding Collection Period</t>
  </si>
  <si>
    <t>Outstanding Balance of the Performing Home Loans on the Determination Date preceding the one ending such Collection Period</t>
  </si>
  <si>
    <t>31 - 60 days past due outstanding of deliquent Home Loans</t>
  </si>
  <si>
    <t>01 - 30 days past due outstanding of deliquent Home Loans</t>
  </si>
  <si>
    <t>61 - 90 days past due outstanding of deliquent Home Loans</t>
  </si>
  <si>
    <t>None past due outstanding of Home Loans</t>
  </si>
  <si>
    <t>LTE 10 000</t>
  </si>
  <si>
    <t>] 10 000 ; 50 000 ]</t>
  </si>
  <si>
    <t>] 50 000 ; 100 000 ]</t>
  </si>
  <si>
    <t>] 100 000 ; 250 000 ]</t>
  </si>
  <si>
    <t>] 250 000 ; 500 000 ]</t>
  </si>
  <si>
    <t>] 500 000 ; 1 000 000 ]</t>
  </si>
  <si>
    <t>] 1 000 000 ; 2 000 000 ]</t>
  </si>
  <si>
    <t>GT 2 000 000</t>
  </si>
  <si>
    <t>LTE 12</t>
  </si>
  <si>
    <t>] 12 ; 60 ]</t>
  </si>
  <si>
    <t>] 60 ; 120 ]</t>
  </si>
  <si>
    <t>] 120 ; 180 ]</t>
  </si>
  <si>
    <t>] 180 ; 240 ]</t>
  </si>
  <si>
    <t>GT 240</t>
  </si>
  <si>
    <t>] 240 ; 300 ]</t>
  </si>
  <si>
    <t>GT 300</t>
  </si>
  <si>
    <t>06-17</t>
  </si>
  <si>
    <t>06-18</t>
  </si>
  <si>
    <t>06-19</t>
  </si>
  <si>
    <t>06-20</t>
  </si>
  <si>
    <t>06-21</t>
  </si>
  <si>
    <t>LTE 1,00%</t>
  </si>
  <si>
    <t>] 1,00% ; 2,00% ]</t>
  </si>
  <si>
    <t>] 2,00% ; 3,00% ]</t>
  </si>
  <si>
    <t>] 3,00% ; 4,00% ]</t>
  </si>
  <si>
    <t>] 4,00% ; 5,00% ]</t>
  </si>
  <si>
    <t>GT 5,00%</t>
  </si>
  <si>
    <t>GT 100%</t>
  </si>
  <si>
    <t>Primary Residence</t>
  </si>
  <si>
    <t>Buy to Let</t>
  </si>
  <si>
    <t>Secondary Residence</t>
  </si>
  <si>
    <t>Buy to Let - Building</t>
  </si>
  <si>
    <t>Primary Residence (incl. Renovation)</t>
  </si>
  <si>
    <t>Buy to Let (incl. Renovation)</t>
  </si>
  <si>
    <t>Primary Residence - Building</t>
  </si>
  <si>
    <t>Secondary Residence (incl. Renovation)</t>
  </si>
  <si>
    <t>Secondary Residence - Building</t>
  </si>
  <si>
    <t>Primary Residence - Renovation</t>
  </si>
  <si>
    <t>FRXX</t>
  </si>
  <si>
    <t>DEXX</t>
  </si>
  <si>
    <t>FIXE</t>
  </si>
  <si>
    <t>BLLT</t>
  </si>
  <si>
    <t>17-10</t>
  </si>
  <si>
    <t>ND2</t>
  </si>
  <si>
    <t>18-16</t>
  </si>
  <si>
    <t>18-17</t>
  </si>
  <si>
    <t>18-18</t>
  </si>
  <si>
    <t>18-19</t>
  </si>
  <si>
    <t>18-20</t>
  </si>
  <si>
    <t>FR101</t>
  </si>
  <si>
    <t>FR102</t>
  </si>
  <si>
    <t>FR103</t>
  </si>
  <si>
    <t>FR104</t>
  </si>
  <si>
    <t>FR105</t>
  </si>
  <si>
    <t>19-06</t>
  </si>
  <si>
    <t>FR106</t>
  </si>
  <si>
    <t>19-07</t>
  </si>
  <si>
    <t>FR107</t>
  </si>
  <si>
    <t>19-08</t>
  </si>
  <si>
    <t>FR108</t>
  </si>
  <si>
    <t>19-09</t>
  </si>
  <si>
    <t>FRB01</t>
  </si>
  <si>
    <t>19-10</t>
  </si>
  <si>
    <t>FRB02</t>
  </si>
  <si>
    <t>19-11</t>
  </si>
  <si>
    <t>FRB03</t>
  </si>
  <si>
    <t>19-12</t>
  </si>
  <si>
    <t>FRB04</t>
  </si>
  <si>
    <t>19-13</t>
  </si>
  <si>
    <t>FRB05</t>
  </si>
  <si>
    <t>19-14</t>
  </si>
  <si>
    <t>FRB06</t>
  </si>
  <si>
    <t>19-15</t>
  </si>
  <si>
    <t>FRC11</t>
  </si>
  <si>
    <t>19-16</t>
  </si>
  <si>
    <t>FRC12</t>
  </si>
  <si>
    <t>19-17</t>
  </si>
  <si>
    <t>FRC13</t>
  </si>
  <si>
    <t>19-18</t>
  </si>
  <si>
    <t>FRC14</t>
  </si>
  <si>
    <t>19-19</t>
  </si>
  <si>
    <t>FRC21</t>
  </si>
  <si>
    <t>19-20</t>
  </si>
  <si>
    <t>FRC22</t>
  </si>
  <si>
    <t>19-21</t>
  </si>
  <si>
    <t>FRC23</t>
  </si>
  <si>
    <t>19-22</t>
  </si>
  <si>
    <t>FRC24</t>
  </si>
  <si>
    <t>19-23</t>
  </si>
  <si>
    <t>FRD11</t>
  </si>
  <si>
    <t>19-24</t>
  </si>
  <si>
    <t>FRD12</t>
  </si>
  <si>
    <t>19-25</t>
  </si>
  <si>
    <t>FRD13</t>
  </si>
  <si>
    <t>19-26</t>
  </si>
  <si>
    <t>FRD21</t>
  </si>
  <si>
    <t>19-27</t>
  </si>
  <si>
    <t>FRD22</t>
  </si>
  <si>
    <t>19-28</t>
  </si>
  <si>
    <t>FRE11</t>
  </si>
  <si>
    <t>19-29</t>
  </si>
  <si>
    <t>FRE12</t>
  </si>
  <si>
    <t>19-30</t>
  </si>
  <si>
    <t>FRE21</t>
  </si>
  <si>
    <t>19-31</t>
  </si>
  <si>
    <t>FRE22</t>
  </si>
  <si>
    <t>19-32</t>
  </si>
  <si>
    <t>FRE23</t>
  </si>
  <si>
    <t>19-33</t>
  </si>
  <si>
    <t>FRF11</t>
  </si>
  <si>
    <t>19-34</t>
  </si>
  <si>
    <t>FRF12</t>
  </si>
  <si>
    <t>19-35</t>
  </si>
  <si>
    <t>FRF21</t>
  </si>
  <si>
    <t>19-36</t>
  </si>
  <si>
    <t>FRF22</t>
  </si>
  <si>
    <t>19-37</t>
  </si>
  <si>
    <t>FRF23</t>
  </si>
  <si>
    <t>19-38</t>
  </si>
  <si>
    <t>FRF24</t>
  </si>
  <si>
    <t>19-39</t>
  </si>
  <si>
    <t>FRF31</t>
  </si>
  <si>
    <t>19-40</t>
  </si>
  <si>
    <t>FRF32</t>
  </si>
  <si>
    <t>19-41</t>
  </si>
  <si>
    <t>FRF33</t>
  </si>
  <si>
    <t>19-42</t>
  </si>
  <si>
    <t>FRF34</t>
  </si>
  <si>
    <t>19-43</t>
  </si>
  <si>
    <t>FRG01</t>
  </si>
  <si>
    <t>19-44</t>
  </si>
  <si>
    <t>FRG02</t>
  </si>
  <si>
    <t>19-45</t>
  </si>
  <si>
    <t>FRG03</t>
  </si>
  <si>
    <t>19-46</t>
  </si>
  <si>
    <t>FRG04</t>
  </si>
  <si>
    <t>19-47</t>
  </si>
  <si>
    <t>FRG05</t>
  </si>
  <si>
    <t>19-48</t>
  </si>
  <si>
    <t>FRH01</t>
  </si>
  <si>
    <t>19-49</t>
  </si>
  <si>
    <t>FRH02</t>
  </si>
  <si>
    <t>19-50</t>
  </si>
  <si>
    <t>FRH03</t>
  </si>
  <si>
    <t>19-51</t>
  </si>
  <si>
    <t>FRH04</t>
  </si>
  <si>
    <t>19-52</t>
  </si>
  <si>
    <t>FRI11</t>
  </si>
  <si>
    <t>19-53</t>
  </si>
  <si>
    <t>FRI12</t>
  </si>
  <si>
    <t>19-54</t>
  </si>
  <si>
    <t>FRI13</t>
  </si>
  <si>
    <t>19-55</t>
  </si>
  <si>
    <t>FRI14</t>
  </si>
  <si>
    <t>19-56</t>
  </si>
  <si>
    <t>FRI15</t>
  </si>
  <si>
    <t>19-57</t>
  </si>
  <si>
    <t>FRI21</t>
  </si>
  <si>
    <t>19-58</t>
  </si>
  <si>
    <t>FRI22</t>
  </si>
  <si>
    <t>19-59</t>
  </si>
  <si>
    <t>FRI23</t>
  </si>
  <si>
    <t>19-60</t>
  </si>
  <si>
    <t>FRI31</t>
  </si>
  <si>
    <t>19-61</t>
  </si>
  <si>
    <t>FRI32</t>
  </si>
  <si>
    <t>19-62</t>
  </si>
  <si>
    <t>FRI33</t>
  </si>
  <si>
    <t>19-63</t>
  </si>
  <si>
    <t>FRI34</t>
  </si>
  <si>
    <t>19-64</t>
  </si>
  <si>
    <t>FRJ11</t>
  </si>
  <si>
    <t>19-65</t>
  </si>
  <si>
    <t>FRJ12</t>
  </si>
  <si>
    <t>19-66</t>
  </si>
  <si>
    <t>FRJ13</t>
  </si>
  <si>
    <t>19-67</t>
  </si>
  <si>
    <t>FRJ14</t>
  </si>
  <si>
    <t>19-68</t>
  </si>
  <si>
    <t>FRJ15</t>
  </si>
  <si>
    <t>19-69</t>
  </si>
  <si>
    <t>FRJ21</t>
  </si>
  <si>
    <t>19-70</t>
  </si>
  <si>
    <t>FRJ22</t>
  </si>
  <si>
    <t>19-71</t>
  </si>
  <si>
    <t>FRJ23</t>
  </si>
  <si>
    <t>19-72</t>
  </si>
  <si>
    <t>FRJ24</t>
  </si>
  <si>
    <t>19-73</t>
  </si>
  <si>
    <t>FRJ25</t>
  </si>
  <si>
    <t>19-74</t>
  </si>
  <si>
    <t>FRJ26</t>
  </si>
  <si>
    <t>19-75</t>
  </si>
  <si>
    <t>FRJ27</t>
  </si>
  <si>
    <t>19-76</t>
  </si>
  <si>
    <t>FRJ28</t>
  </si>
  <si>
    <t>19-77</t>
  </si>
  <si>
    <t>FRK11</t>
  </si>
  <si>
    <t>19-78</t>
  </si>
  <si>
    <t>FRK12</t>
  </si>
  <si>
    <t>19-79</t>
  </si>
  <si>
    <t>FRK13</t>
  </si>
  <si>
    <t>19-80</t>
  </si>
  <si>
    <t>FRK14</t>
  </si>
  <si>
    <t>19-81</t>
  </si>
  <si>
    <t>FRK21</t>
  </si>
  <si>
    <t>19-82</t>
  </si>
  <si>
    <t>FRK22</t>
  </si>
  <si>
    <t>19-83</t>
  </si>
  <si>
    <t>FRK23</t>
  </si>
  <si>
    <t>19-84</t>
  </si>
  <si>
    <t>FRK24</t>
  </si>
  <si>
    <t>19-85</t>
  </si>
  <si>
    <t>FRK25</t>
  </si>
  <si>
    <t>19-86</t>
  </si>
  <si>
    <t>FRK26</t>
  </si>
  <si>
    <t>19-87</t>
  </si>
  <si>
    <t>FRK27</t>
  </si>
  <si>
    <t>19-88</t>
  </si>
  <si>
    <t>FRK28</t>
  </si>
  <si>
    <t>19-89</t>
  </si>
  <si>
    <t>FRL01</t>
  </si>
  <si>
    <t>19-90</t>
  </si>
  <si>
    <t>FRL02</t>
  </si>
  <si>
    <t>19-91</t>
  </si>
  <si>
    <t>FRL03</t>
  </si>
  <si>
    <t>19-92</t>
  </si>
  <si>
    <t>FRL04</t>
  </si>
  <si>
    <t>19-93</t>
  </si>
  <si>
    <t>FRL05</t>
  </si>
  <si>
    <t>19-94</t>
  </si>
  <si>
    <t>FRL06</t>
  </si>
  <si>
    <t>19-95</t>
  </si>
  <si>
    <t>FRM01</t>
  </si>
  <si>
    <t>19-96</t>
  </si>
  <si>
    <t>FRM02</t>
  </si>
  <si>
    <t>FRY10</t>
  </si>
  <si>
    <t>FRY20</t>
  </si>
  <si>
    <t>FRY30</t>
  </si>
  <si>
    <t>19-100</t>
  </si>
  <si>
    <t>FRY40</t>
  </si>
  <si>
    <t>19-101</t>
  </si>
  <si>
    <t>FRY50</t>
  </si>
  <si>
    <t>19-102</t>
  </si>
  <si>
    <t>FRZZZ</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</si>
  <si>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</si>
  <si>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</si>
  <si>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</si>
  <si>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</si>
  <si>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</si>
  <si>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</si>
  <si>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</si>
  <si>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</si>
  <si>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</si>
  <si>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</si>
  <si>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</si>
  <si>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</si>
  <si>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</si>
  <si>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</si>
  <si>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</si>
  <si>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</si>
  <si>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</si>
  <si>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</si>
  <si>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</si>
  <si>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</si>
  <si>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</si>
  <si>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</si>
  <si>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</si>
  <si>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</si>
  <si>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</si>
  <si>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</si>
  <si>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</si>
  <si>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</si>
  <si>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</si>
  <si>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</si>
  <si>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</si>
  <si>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</si>
  <si>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</si>
  <si>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</si>
  <si>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</si>
  <si>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</si>
  <si>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</si>
  <si>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</si>
  <si>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</si>
  <si>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</si>
  <si>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</si>
  <si>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</si>
  <si>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</si>
  <si>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</si>
  <si>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</si>
  <si>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</si>
  <si>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</si>
  <si>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</si>
  <si>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</si>
  <si>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</si>
  <si>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</si>
  <si>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</si>
  <si>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</si>
  <si>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</si>
  <si>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</si>
  <si>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</si>
  <si>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</si>
  <si>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</si>
  <si>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</si>
  <si>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</si>
  <si>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</si>
  <si>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</si>
  <si>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</si>
  <si>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</si>
  <si>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</si>
  <si>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</si>
  <si>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</si>
  <si>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</si>
  <si>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</si>
  <si>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</si>
  <si>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</si>
  <si>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</si>
  <si>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</si>
  <si>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</si>
  <si>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</si>
  <si>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</si>
  <si>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</si>
  <si>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</si>
  <si>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</si>
  <si>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</si>
  <si>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</si>
  <si>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</si>
  <si>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</si>
  <si>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</si>
  <si>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</si>
  <si>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</si>
  <si>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</si>
  <si>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20-100</t>
  </si>
  <si>
    <t>20-101</t>
  </si>
  <si>
    <t>20-102</t>
  </si>
  <si>
    <t>Weighted Average Current Loan to Value - Mortgage</t>
  </si>
  <si>
    <t>&lt;= 10 000</t>
  </si>
  <si>
    <t>&gt; 2 000 000</t>
  </si>
  <si>
    <t>&lt;= 12</t>
  </si>
  <si>
    <t>&gt; 240</t>
  </si>
  <si>
    <t>5. Breakdown by Original Term to Maturity</t>
  </si>
  <si>
    <t>&gt; 300</t>
  </si>
  <si>
    <t>6. Breakdown by Year of Origination</t>
  </si>
  <si>
    <t>&lt;= 1,00%</t>
  </si>
  <si>
    <t>&gt; 5,00%</t>
  </si>
  <si>
    <t>9. Breakdown by Guarantee Provider</t>
  </si>
  <si>
    <t>10. Breakdown by Current Loan-to-Value</t>
  </si>
  <si>
    <t>&gt; 100%</t>
  </si>
  <si>
    <t>12. Current Loan-to-Value (Mortgages)</t>
  </si>
  <si>
    <t>14. Breakdown by Loan Purpose</t>
  </si>
  <si>
    <t>15. Breakdown by Amortisation Type</t>
  </si>
  <si>
    <t>French - i.e. Amortisation in which the total amount — principal plus interest — repaid in each instalment is the same.</t>
  </si>
  <si>
    <t>German - i.e. Amortisation in which the first instalment is interest-only and the remaining instalments are constant, including capital amortisation and interest.</t>
  </si>
  <si>
    <t>Fixed amortisation schedule - i.e. Amortisation in which the principal amount repaid in each instalment is the same.</t>
  </si>
  <si>
    <t>Bullet - i.e. Amortisation in which the full principal amount is repaid in the last instalment.</t>
  </si>
  <si>
    <t>16. Breakdown by Payment Frequency</t>
  </si>
  <si>
    <t>17. Breakdown by Employment Type</t>
  </si>
  <si>
    <t>Not Available</t>
  </si>
  <si>
    <t>Paris</t>
  </si>
  <si>
    <t>Seine-et-Marne</t>
  </si>
  <si>
    <t>Yvelines</t>
  </si>
  <si>
    <t>Essonne</t>
  </si>
  <si>
    <t>Hauts-de-Seine</t>
  </si>
  <si>
    <t>Seine-Saint-Denis</t>
  </si>
  <si>
    <t>Val-de-Marne</t>
  </si>
  <si>
    <t>Val-d'Oise</t>
  </si>
  <si>
    <t>Cher</t>
  </si>
  <si>
    <t>Eure-et-Loir</t>
  </si>
  <si>
    <t>Indre</t>
  </si>
  <si>
    <t>Indre-et-Loire</t>
  </si>
  <si>
    <t>Loir-et-Cher</t>
  </si>
  <si>
    <t>Loiret</t>
  </si>
  <si>
    <t>Côte-d'Or</t>
  </si>
  <si>
    <t>Nièvre</t>
  </si>
  <si>
    <t>Saône-et-Loire</t>
  </si>
  <si>
    <t>Yonne</t>
  </si>
  <si>
    <t>Doubs</t>
  </si>
  <si>
    <t>Jura</t>
  </si>
  <si>
    <t>Haute-Saône</t>
  </si>
  <si>
    <t>TerritoiredeBelfort</t>
  </si>
  <si>
    <t>Calvados</t>
  </si>
  <si>
    <t>Manche</t>
  </si>
  <si>
    <t>Orne</t>
  </si>
  <si>
    <t>Eure</t>
  </si>
  <si>
    <t>Seine-Maritime</t>
  </si>
  <si>
    <t>Nord</t>
  </si>
  <si>
    <t>Pas-de-Calais</t>
  </si>
  <si>
    <t>Aisne</t>
  </si>
  <si>
    <t>Oise</t>
  </si>
  <si>
    <t>Somme</t>
  </si>
  <si>
    <t>Bas-Rhin</t>
  </si>
  <si>
    <t>Haut-Rhin</t>
  </si>
  <si>
    <t>Ardennes</t>
  </si>
  <si>
    <t>Aube</t>
  </si>
  <si>
    <t>Marne</t>
  </si>
  <si>
    <t>Haute-Marne</t>
  </si>
  <si>
    <t>Meurthe-et-Moselle</t>
  </si>
  <si>
    <t>Meuse</t>
  </si>
  <si>
    <t>Moselle</t>
  </si>
  <si>
    <t>Vosges</t>
  </si>
  <si>
    <t>Loire-Atlantique</t>
  </si>
  <si>
    <t>Maine-et-Loire</t>
  </si>
  <si>
    <t>Mayenne</t>
  </si>
  <si>
    <t>Sarthe</t>
  </si>
  <si>
    <t>Vendée</t>
  </si>
  <si>
    <t>Côtes-d'Armor</t>
  </si>
  <si>
    <t>Finistère</t>
  </si>
  <si>
    <t>Ille-et-Vilaine</t>
  </si>
  <si>
    <t>Morbihan</t>
  </si>
  <si>
    <t>Dordogne</t>
  </si>
  <si>
    <t>Gironde</t>
  </si>
  <si>
    <t>Landes</t>
  </si>
  <si>
    <t>Lot-et-Garonne</t>
  </si>
  <si>
    <t>Pyrénées-Atlantiques</t>
  </si>
  <si>
    <t>Corrèze</t>
  </si>
  <si>
    <t>Creuse</t>
  </si>
  <si>
    <t>Haute-Vienne</t>
  </si>
  <si>
    <t>Charente</t>
  </si>
  <si>
    <t>Charente-Maritime</t>
  </si>
  <si>
    <t>Deux-Sèvres</t>
  </si>
  <si>
    <t>Vienne</t>
  </si>
  <si>
    <t>Aude</t>
  </si>
  <si>
    <t>Gard</t>
  </si>
  <si>
    <t>Hérault</t>
  </si>
  <si>
    <t>Lozère</t>
  </si>
  <si>
    <t>Pyrénées-Orientales</t>
  </si>
  <si>
    <t>Ariège</t>
  </si>
  <si>
    <t>Aveyron</t>
  </si>
  <si>
    <t>Haute-Garonne</t>
  </si>
  <si>
    <t>Gers</t>
  </si>
  <si>
    <t>Lot</t>
  </si>
  <si>
    <t>Hautes-Pyrénées</t>
  </si>
  <si>
    <t>Tarn</t>
  </si>
  <si>
    <t>Tarn-et-Garonne</t>
  </si>
  <si>
    <t>Allier</t>
  </si>
  <si>
    <t>Cantal</t>
  </si>
  <si>
    <t>Haute-Loire</t>
  </si>
  <si>
    <t>Puy-de-Dôme</t>
  </si>
  <si>
    <t>Ain</t>
  </si>
  <si>
    <t>Ardèche</t>
  </si>
  <si>
    <t>Drôme</t>
  </si>
  <si>
    <t>Isère</t>
  </si>
  <si>
    <t>Loire</t>
  </si>
  <si>
    <t>Rhône</t>
  </si>
  <si>
    <t>Savoie</t>
  </si>
  <si>
    <t>Haute-Savoie</t>
  </si>
  <si>
    <t>Alpes-de-Haute-Provence</t>
  </si>
  <si>
    <t>Hautes-Alpes</t>
  </si>
  <si>
    <t>Alpes-Maritimes</t>
  </si>
  <si>
    <t>Bouches-du-Rhône</t>
  </si>
  <si>
    <t>Var</t>
  </si>
  <si>
    <t>Vaucluse</t>
  </si>
  <si>
    <t>Corse-du-Sud</t>
  </si>
  <si>
    <t>Haute-Corse</t>
  </si>
  <si>
    <t>Guadeloupe</t>
  </si>
  <si>
    <t>Martinique</t>
  </si>
  <si>
    <t>Guyane</t>
  </si>
  <si>
    <t>LaRéunion</t>
  </si>
  <si>
    <t>Mayotte</t>
  </si>
  <si>
    <t>19. Breakdown by Property Department</t>
  </si>
  <si>
    <t>20. Breakdown by Property Department (Mortgages)</t>
  </si>
  <si>
    <t>Principal Original Balance</t>
  </si>
  <si>
    <t>7. Breakdown by Interest Rate</t>
  </si>
  <si>
    <t>8. Breakdown by Interest Rate Type</t>
  </si>
  <si>
    <t>11. Breakdown by Original Loan-to-Value</t>
  </si>
  <si>
    <t>13.  Breakdown by Original Loan-to-Value (Mortgages)</t>
  </si>
  <si>
    <t>18. Top 20 Borrowers</t>
  </si>
  <si>
    <t>LEI</t>
  </si>
  <si>
    <t>969500Z05GRNU3KPEY94</t>
  </si>
  <si>
    <t>00 - Cover</t>
  </si>
  <si>
    <t>01 - Summary</t>
  </si>
  <si>
    <t>02 - Eligibility Criteria</t>
  </si>
  <si>
    <t>03 - Monthly Asset Follow up</t>
  </si>
  <si>
    <t>05 - Prepayment Rate</t>
  </si>
  <si>
    <t>06 - Asset Amortisation Profile</t>
  </si>
  <si>
    <t>16 - Simplified Balance Sheet</t>
  </si>
  <si>
    <t>17 - Calendar</t>
  </si>
  <si>
    <t>18 - Event</t>
  </si>
  <si>
    <t>Interest rate</t>
  </si>
  <si>
    <t>Junior</t>
  </si>
  <si>
    <t>Rating</t>
  </si>
  <si>
    <t>Not rated</t>
  </si>
  <si>
    <t>In Euros</t>
  </si>
  <si>
    <t>(i) on the Issue Date, the Class A Notes Issue Proceeds, the Class B Notes Issue Proceeds and the proceeds of the issue of the Residual Units;</t>
  </si>
  <si>
    <t>(ii) on each Collection Payment Date, any Collection amount debited from the Servicer Collection Account provided that, prior to such debit, the Collection amount standing to the credit of the Servicer Collection Account was greater than €100,000.00;</t>
  </si>
  <si>
    <t>(iii) on each Collection Payment Date, any Available Principal Collections and Corrected Available Principal Collections paid by the Seller which is not referred in paragraph (ii);</t>
  </si>
  <si>
    <t>(iv) on each Collection Payment Date, any Deemed Collections;</t>
  </si>
  <si>
    <t>(v) on [the Collection Payment Date following each Re-assignment Date, any Re-assignment Price and any Rescission Amount paid by the Seller;</t>
  </si>
  <si>
    <t>(vi) on each Settlement Date preceding a Payment Date, the amounts standing to the credit of the Reserve Account; and</t>
  </si>
  <si>
    <t xml:space="preserve">(vii) on the Issuer Liquidation Date, the proceeds resulting from the sale of the then outstanding Purchased Home Loans; </t>
  </si>
  <si>
    <t>(i) on the Purchase Date, with the Purchase Price due to the Seller;</t>
  </si>
  <si>
    <t>(ii) on each Collection Payment Date, any Corrected Available Principal Collections paid to the Seller;</t>
  </si>
  <si>
    <t xml:space="preserve">(iii) on the Collection Payment Date following a Re-assignment Date, with any Re-assignment Price Refund or any Rescission Amount Refund paid and related to any re-assignment or rescission of Home Loans on such Re-assignment Date; </t>
  </si>
  <si>
    <t>(iv) on each Settlement Date, with:
(A) firstly, an amount equal to the Available Principal Collections to be credited to the Principal Account; and</t>
  </si>
  <si>
    <t>(iv) on each Settlement Date, with:
(B) secondly, the remaining amount standing to credit of the General Account, after debit of the Available Principal Collections, to be credited to the Interest Account.</t>
  </si>
  <si>
    <t>on each Settlement Date, with:
(i) the Available Principal Collections debited from the General Account</t>
  </si>
  <si>
    <t>on each Settlement Date, with:
(ii) any Interest Reallocated Amount</t>
  </si>
  <si>
    <t>on each Settlement Date, with:
(i) an amount equal to:
                (A) the amount standing to the credit of the General Account; minus 
                (B) the Available Principal Collections</t>
  </si>
  <si>
    <t>(ii) any Principal Reallocated Amount</t>
  </si>
  <si>
    <t xml:space="preserve">(i) by the Reserve Provider, on the Issue Date, with an amount equal to the Reserve Fund Required Amount on that date; </t>
  </si>
  <si>
    <t xml:space="preserve">(ii) by the Management Company, prior to the Accelerated Redemption Period, by way of debit from the Interest Account, on each Payment Date, subject to, and in accordance with the applicable Priority of Payments, with an amount equal to the positive difference between the applicable Reserve Fund Required Amount and the then current credit balance of the Reserve Account; </t>
  </si>
  <si>
    <t>(i) on each Settlement Date preceding a Payment Date by the transfer of the amount standing to its credit to the General Account;</t>
  </si>
  <si>
    <t>(ii) on the Liquidation Date by the transfer of all monies standing to its credit to the Reserve Provider</t>
  </si>
  <si>
    <t>means the tenth (10th) Business Day following each calendar month, subject to the Business Day Convention.</t>
  </si>
  <si>
    <t>means, in respect of a Collection Period, the fourteenth (14th) Business Day following a Collection Period End Date, subject to the Business Day Convention.</t>
  </si>
  <si>
    <t xml:space="preserve">means the Settlement Date with respect to the immediately preceding Collection Period.
</t>
  </si>
  <si>
    <t>means the Payment Date falling on 25 October 2051 years after the first Payment Date, or, if such day is not a Business Day, on the next succeeding Business Day.</t>
  </si>
  <si>
    <t>means the Payment Date occurring in April 2027.</t>
  </si>
  <si>
    <t>means, with respect to payments of principal and/or interest on the Notes:
(a) during the Normal Redemption Period, any Payment Date; and
(b) during the Accelerated Redemption Period, any Accelerated Payment Date.</t>
  </si>
  <si>
    <t>means 31 October 2023, being the date on which any relevant Home Loan shall be selected for an assignment to the Issuer.</t>
  </si>
  <si>
    <t>means 8 December 2023, on which the Class A Notes, the Class B Notes and the Residual Units shall be issued by the Issuer.</t>
  </si>
  <si>
    <t>means the date on which the Issuer shall be liquidated and which shall be the earlier of:
(a) the Final Legal Maturity Date;
(b) the Payment Date on which all the Notes will have been redeemed in full and/or the aggregate Outstanding Balances of all Purchased Home Loans is reduced to zero (0); and
(c) following the occurrence of an Issuer Liquidation Event, the Payment Date as described in clause 6.4 (Re-assignment upon Issuer Liquidation Event) of the Receivables Purchase Agreement if the Management Company is able to sell all the Purchased Home Loans then held by the Issuer (i) to the Seller for an aggregate price and any indemnity payment paid by the Seller to the Issuer corresponding to any other costs related to the liquidation of the Issuer or (ii) failing which, any credit institution qualified to acquire the Purchased Home Loans for a purchase price, which, in each case, together with the then available cash of the Issuer, enables the Issuer to repay in full all amounts outstanding in respect of the Class A Notes, together with the interest, in accordance with the applicable Priority of Payments.</t>
  </si>
  <si>
    <t>04 - Monthly Collection</t>
  </si>
  <si>
    <t>07 - Breakdown Statistics</t>
  </si>
  <si>
    <t>08 - Delinquent Home Loans Stat</t>
  </si>
  <si>
    <t>09 - Default &amp; Recovery Stat</t>
  </si>
  <si>
    <t>10 -Principal Deficiency Ledger</t>
  </si>
  <si>
    <t>11 - Notes Follow-up</t>
  </si>
  <si>
    <t>12 - Notes Interest</t>
  </si>
  <si>
    <t>13 - Issuer Account</t>
  </si>
  <si>
    <t>14 - Fees</t>
  </si>
  <si>
    <t>15 - Priority of Payments</t>
  </si>
  <si>
    <t>Storing the decryption key fees</t>
  </si>
  <si>
    <t>At the closing date</t>
  </si>
  <si>
    <t>Each year</t>
  </si>
  <si>
    <t>Set-up commission</t>
  </si>
  <si>
    <t>ESMA Report per declaration</t>
  </si>
  <si>
    <t>Fitch/S&amp;P</t>
  </si>
  <si>
    <t>Euro ABS</t>
  </si>
  <si>
    <t>EURO ABS</t>
  </si>
  <si>
    <t>Securitisation Regulation Secure Hosting</t>
  </si>
  <si>
    <t>Loan Level Data Preparation</t>
  </si>
  <si>
    <t>Fees calculation period</t>
  </si>
  <si>
    <t>AAA (sf) S&amp;P</t>
  </si>
  <si>
    <t>AAA (sf) Fitch</t>
  </si>
  <si>
    <t>N/A</t>
  </si>
  <si>
    <t>Available Principal Collections on such Collection Period</t>
  </si>
  <si>
    <t>Interest Reallocated Amounts</t>
  </si>
  <si>
    <t>The Scheduled Principal Payments of the Performing Purchased Home Loans and the Scheduled Principal Payments of the Delinquent Home Loans, received during the immediately preceding Collection Period;</t>
  </si>
  <si>
    <t>The Principal Prepayments on the Performing Purchased Home Loans and the Principal Prepayments on the Delinquent Home Loans, received during such Collection Period;</t>
  </si>
  <si>
    <t>The amount standing to the credit of the General Account</t>
  </si>
  <si>
    <t>Principal Reallocated Amount</t>
  </si>
  <si>
    <t>Financial Income</t>
  </si>
  <si>
    <t xml:space="preserve">(a) Fixed amount </t>
  </si>
  <si>
    <t>(c) Percentage</t>
  </si>
  <si>
    <t>Reserve Fund Required Amount</t>
  </si>
  <si>
    <t>Redemption by Notes</t>
  </si>
  <si>
    <t>The Available Principal Collections</t>
  </si>
  <si>
    <t>All amounts paid, during such Collection Period, by any insurer or Home Loan Guarantor under any Insurance Contracts and Home Loan Guarantee Agreement (other than amounts comprised in the Scheduled Principal Payments);</t>
  </si>
  <si>
    <t>Plus or minus, as the case may be, any Corrected Available Principal Collections.</t>
  </si>
  <si>
    <t>L.E.I registration fee</t>
  </si>
  <si>
    <t>Each year (on May)</t>
  </si>
  <si>
    <t>Debt (reserve)</t>
  </si>
  <si>
    <t>(1) the Class A Notes Outstanding Amount as of the preceding Calculation Date</t>
  </si>
  <si>
    <t xml:space="preserve">(b) Notes Outstanding Amount </t>
  </si>
  <si>
    <t>Reserve Fund Required Amount =&gt;  min((1);max((a); (b)*(c))</t>
  </si>
  <si>
    <t>(2) max((a); (b)*(c))</t>
  </si>
  <si>
    <t>Floating fee of: (ii) 0.002% per annum of the aggregate Purchased Home Loans for the portion exceeding €250,000,000</t>
  </si>
  <si>
    <t>Floating fee of: (i) 0.004% per annum of the aggregate Purchased Home Loans for the portion comprising between €0 and €250,000,000</t>
  </si>
  <si>
    <t>Per day (per events)</t>
  </si>
  <si>
    <t>Per event</t>
  </si>
  <si>
    <t>€10 transaction costs for each purchase, sale or transfer of French equities, bonds and negotiable debt securities, (B) €15 transaction costs for French units of collective investment schemes or (C) €15 transaction costs for securities from Germany, Austria, Belgium, Denmark, Spain, Finland, Ireland, Italy, Luxembourg, Norway, the Netherlands, Portugal, the United Kingdom, Sweden, and Switzerland and USA.</t>
  </si>
  <si>
    <t>Each Settlement Date after a test</t>
  </si>
  <si>
    <t>A test of the encrypted file fee of €1,000 per test.</t>
  </si>
  <si>
    <t>Conventional Mortgage</t>
  </si>
  <si>
    <t>In the case of replacement of any party to the Transaction;</t>
  </si>
  <si>
    <t>Daily in the case of any amendment to the Transaction Documents</t>
  </si>
  <si>
    <t>In the case of any transfer to a public compartment;</t>
  </si>
  <si>
    <t>In the case of any amendment to any Priority of Payments</t>
  </si>
  <si>
    <t>Liquidation fee of €15,000 if the liquidation of the Issuer occurs during the first year after the Issue Date, €10,000 if the liquidation occurs during the second year after the Issue Date and €5,000 if the liquidation occurs during the third year after the Issue Date.</t>
  </si>
  <si>
    <t>Custody fees: annual fees for French securities: (A) for equities, bonds and negotiable debt securities, 0.01% and (B) for units of collective investment schemes, 0.005% in Euroclear (with a minimum of €10.00 per month), and 0.02% for other European securities and US securities; and</t>
  </si>
  <si>
    <t>An administration fee of 0.2% per annum (no VAT applicable) applied to the Outstanding Balance of each Purchased Home Loan for which (A) the Borrower is not subject to an over- indebtedness commission (commission de surendettement des particuliers) and (B) (i) the Home Loan is payable quarterly and no more than one instalment is unpaid, or (ii) the Home Loan is payable quarterly and no instalment is unpaid</t>
  </si>
  <si>
    <t>A recovery fee of 0.2% per annum (VAT applicable) applied to the Outstanding Balance of each Purchased Home Loan for which (A) the Borrower is subject to an over-indebtedness commission (commission de surendettement des particuliers), or (B) (i) the Home Loan is payable quarterly and more than one instalment is unpaid, or (ii) the Home Loan is payable quarterly and at least one instalment is unpaid,</t>
  </si>
  <si>
    <t>Fitch &amp; Standard and Poors</t>
  </si>
  <si>
    <t>Account Bank fees</t>
  </si>
  <si>
    <t>an annual flat fee</t>
  </si>
  <si>
    <t>Paying Agent fees</t>
  </si>
  <si>
    <t>Registrar fees</t>
  </si>
  <si>
    <t>with respect to Class A Notes, (i) per payment per ISIN code, a fee of €350</t>
  </si>
  <si>
    <t>(ii) for each event (payment of coupon and payment of principal), a fee of €250;</t>
  </si>
  <si>
    <t>with respect to Class B Notes, (i) per payment per ISIN code, a fee of €350</t>
  </si>
  <si>
    <t>(ii) for each event (payment of coupon and payment of principal), a fee of €250.</t>
  </si>
  <si>
    <t xml:space="preserve">in the case of special work by SecRep B.V., </t>
  </si>
  <si>
    <t>EuroNext</t>
  </si>
  <si>
    <t>for listing of the Class A Notes on Euronext Growth Paris</t>
  </si>
  <si>
    <t>P/L</t>
  </si>
  <si>
    <t>Financial income  Reserve account</t>
  </si>
  <si>
    <t>(iii) the Financial Income</t>
  </si>
  <si>
    <t>Financial income</t>
  </si>
  <si>
    <t>units</t>
  </si>
  <si>
    <t>Nb of Borrowers</t>
  </si>
  <si>
    <t>the Home Loan is payable quarterly and no more than one instalment is unpaid</t>
  </si>
  <si>
    <t>the Home Loan is payable quarterly and no instalment is unpaid</t>
  </si>
  <si>
    <t>the Borrower is subject to an over-indebtedness commission (commission de surendettement des particuliers)</t>
  </si>
  <si>
    <t>the Home Loan is payable quarterly and more than one instalment is unpaid</t>
  </si>
  <si>
    <t>the Home Loan is payable quarterly and at least one instalment is unpaid</t>
  </si>
  <si>
    <t>the Home Loan is payable quarterly and no more than one instalment is unpaid and the Borrower is not subject to an over-indebtedness commission</t>
  </si>
  <si>
    <t>the Home Loan is payable quarterly and no instalment is unpaid and the Borrower is not subject to an over-indebtedness commission</t>
  </si>
  <si>
    <t>Financial income General account</t>
  </si>
  <si>
    <t>FCT French Prime Cash 2023</t>
  </si>
  <si>
    <t>Dimitri BELLAICHE</t>
  </si>
  <si>
    <t>+33 1 86 65 64 30</t>
  </si>
  <si>
    <t>Dimitri Bellaiche</t>
  </si>
  <si>
    <t>FR87 4132 9000 0100 0047 9328 U51</t>
  </si>
  <si>
    <t>PARBFRPP</t>
  </si>
  <si>
    <t>BNP PARIBAS</t>
  </si>
  <si>
    <t>FCT French prime cash 2023 COMPTE GENERAL</t>
  </si>
  <si>
    <t>FR04 4132 9000 0100 0047 9325 K50</t>
  </si>
  <si>
    <t>92 AVENUE DE WAGRAM
75017 PARIS</t>
  </si>
  <si>
    <t>Transfert General to Principal</t>
  </si>
  <si>
    <t>Transfert Financial Income Reserve to General</t>
  </si>
  <si>
    <t>FCT French prime cash 2023 COMPTE PRINCIPAL</t>
  </si>
  <si>
    <t>FR71 4132 9000 0100 0047 9327 R66</t>
  </si>
  <si>
    <t>FR86 4132 9000 0100 0047 9326 M14</t>
  </si>
  <si>
    <t>FCT French prime cash 2023 COMPTE INTERETS</t>
  </si>
  <si>
    <t>Transfert General to Compte interets</t>
  </si>
  <si>
    <t xml:space="preserve">Class A Notes Interest </t>
  </si>
  <si>
    <t>FR9441329000010000047475N27</t>
  </si>
  <si>
    <t>PARBLULLXXX</t>
  </si>
  <si>
    <t>BNP PARIBAS PARIS BRANCH</t>
  </si>
  <si>
    <t>BNP PARIBAS SA</t>
  </si>
  <si>
    <t xml:space="preserve">IQ-EQ Management </t>
  </si>
  <si>
    <t>HSBC</t>
  </si>
  <si>
    <t>CCFRFRPPXXX</t>
  </si>
  <si>
    <t>FR76 3005 6000 5000 5000 7046 525</t>
  </si>
  <si>
    <t>BNP PARIBAS Securities services L-2085 Luxembourg</t>
  </si>
  <si>
    <t xml:space="preserve">Fees - Management Company </t>
  </si>
  <si>
    <t>Fees - Custodian</t>
  </si>
  <si>
    <t xml:space="preserve">Fees - FCT Account Bank </t>
  </si>
  <si>
    <t>Fees - FCT Paying Agent Fees</t>
  </si>
  <si>
    <t>Fees - Data Protection Agent</t>
  </si>
  <si>
    <t>Redemption Class A</t>
  </si>
  <si>
    <t>Interest to the Residual Unitholders</t>
  </si>
  <si>
    <t>Fees - Servicer</t>
  </si>
  <si>
    <t>SHA</t>
  </si>
  <si>
    <t>Non</t>
  </si>
  <si>
    <t>FRANCE FR</t>
  </si>
  <si>
    <t>75017</t>
  </si>
  <si>
    <t>92 AVENUE DE WAGRAM</t>
  </si>
  <si>
    <t>EQUITIS GESTION SAS</t>
  </si>
  <si>
    <t xml:space="preserve">41329000010000471015H              </t>
  </si>
  <si>
    <t>PARBFR</t>
  </si>
  <si>
    <t>Region/Pays</t>
  </si>
  <si>
    <t>Ville</t>
  </si>
  <si>
    <t>CP</t>
  </si>
  <si>
    <t>Adresse Donneur d'Ordre</t>
  </si>
  <si>
    <t>Donneur d'ordre</t>
  </si>
  <si>
    <t>Numéro de compte</t>
  </si>
  <si>
    <t>Devise</t>
  </si>
  <si>
    <t>IBAN</t>
  </si>
  <si>
    <t>CODE BIC</t>
  </si>
  <si>
    <t>Type de transaction</t>
  </si>
  <si>
    <t>FCT</t>
  </si>
  <si>
    <t>Motif Paiement</t>
  </si>
  <si>
    <t>CP/Ville</t>
  </si>
  <si>
    <t>Code BIC banque bene.</t>
  </si>
  <si>
    <t>Compte beneficiaire</t>
  </si>
  <si>
    <t>Code BIC banque Donneur d'Ordre</t>
  </si>
  <si>
    <t>Compte Donneur d'Ordre</t>
  </si>
  <si>
    <t>Donneur D'ordre</t>
  </si>
  <si>
    <t>Date saisie</t>
  </si>
  <si>
    <t>Libelle de compte</t>
  </si>
  <si>
    <t>M</t>
  </si>
  <si>
    <t>N° de compte</t>
  </si>
  <si>
    <t>Banque beneficiaire</t>
  </si>
  <si>
    <t>Beneficiaire</t>
  </si>
  <si>
    <t>Reference client</t>
  </si>
  <si>
    <t>Montant</t>
  </si>
  <si>
    <t>Date de Valeur</t>
  </si>
  <si>
    <t>Banque</t>
  </si>
  <si>
    <t>Instructions espèces</t>
  </si>
  <si>
    <t>Nom de compte</t>
  </si>
  <si>
    <t>FCH PRIME CASH 23 GEN AC</t>
  </si>
  <si>
    <t>FCH PRIME CASH 23 INT AC</t>
  </si>
  <si>
    <t>FCH PRIME CASH 23 PP ACC</t>
  </si>
  <si>
    <t>FCH PRIME CASH 23 RES AC</t>
  </si>
  <si>
    <t>41329000010000479325K</t>
  </si>
  <si>
    <t>41329000010000479326M</t>
  </si>
  <si>
    <t>41329000010000479327R</t>
  </si>
  <si>
    <t>41329000010000479328U</t>
  </si>
  <si>
    <t>PRIVFRPPXXX</t>
  </si>
  <si>
    <t>RFREURPRIVFRPPXXX</t>
  </si>
  <si>
    <t>BANQUE DE France MILLEIS</t>
  </si>
  <si>
    <t>IQEQ MANAGEMENT</t>
  </si>
  <si>
    <t>FR77 4132 9000 0100 0008 4086 X22</t>
  </si>
  <si>
    <t>FR14 4132 9000 0100 0008 4182 E58</t>
  </si>
  <si>
    <t>FONDS A RECEVOIR BP2S</t>
  </si>
  <si>
    <t>Transfert Financial Reserve to General</t>
  </si>
  <si>
    <t>Transfert requiered reserved amount</t>
  </si>
  <si>
    <t>Reserve Account 479328U</t>
  </si>
  <si>
    <t>Interest Account 479326M</t>
  </si>
  <si>
    <t>Principal Account 479327R</t>
  </si>
  <si>
    <t>General Account 479325K</t>
  </si>
  <si>
    <t>FCT Hugo Créances I / Compte général</t>
  </si>
  <si>
    <t>FR59 4132 9000 0100 0047 1015 H42</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</si>
  <si>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</si>
  <si>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</si>
  <si>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</si>
  <si>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</si>
  <si>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</si>
  <si>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</si>
  <si>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</si>
  <si>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</si>
  <si>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</si>
  <si>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</si>
  <si>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</si>
  <si>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</si>
  <si>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</si>
  <si>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</si>
  <si>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</si>
  <si>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</si>
  <si>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</si>
  <si>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</si>
  <si>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</si>
  <si>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</si>
  <si>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</si>
  <si>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</si>
  <si>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</si>
  <si>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</si>
  <si>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</si>
  <si>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</si>
  <si>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</si>
  <si>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</si>
  <si>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</si>
  <si>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</si>
  <si>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</si>
  <si>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</si>
  <si>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</si>
  <si>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</si>
  <si>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</si>
  <si>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</si>
  <si>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</si>
  <si>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</si>
  <si>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</si>
  <si>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</si>
  <si>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</si>
  <si>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</si>
  <si>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</si>
  <si>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</si>
  <si>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</si>
  <si>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</si>
  <si>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</si>
  <si>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</si>
  <si>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</si>
  <si>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</si>
  <si>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</si>
  <si>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</si>
  <si>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</si>
  <si>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</si>
  <si>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</si>
  <si>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</si>
  <si>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</si>
  <si>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</si>
  <si>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</si>
  <si>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</si>
  <si>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</si>
  <si>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</si>
  <si>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</si>
  <si>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</si>
  <si>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</si>
  <si>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</si>
  <si>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</si>
  <si>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</si>
  <si>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</si>
  <si>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</si>
  <si>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</si>
  <si>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</si>
  <si>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</si>
  <si>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</si>
  <si>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</si>
  <si>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</si>
  <si>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</si>
  <si>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</si>
  <si>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</si>
  <si>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</si>
  <si>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</si>
  <si>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</si>
  <si>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</si>
  <si>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</si>
  <si>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</si>
  <si>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</si>
  <si>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</si>
  <si>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</si>
  <si>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</si>
  <si>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</si>
  <si>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</si>
  <si>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</si>
  <si>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</si>
  <si>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</si>
  <si>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</si>
  <si>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</si>
  <si>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</si>
  <si>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</si>
  <si>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</si>
  <si>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</si>
  <si>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</si>
  <si>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</si>
  <si>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</si>
  <si>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</si>
  <si>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</si>
  <si>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</si>
  <si>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</si>
  <si>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</si>
  <si>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</si>
  <si>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</si>
  <si>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</si>
  <si>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</si>
  <si>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</si>
  <si>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</si>
  <si>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</si>
  <si>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</si>
  <si>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</si>
  <si>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</si>
  <si>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</si>
  <si>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</si>
  <si>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</si>
  <si>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</si>
  <si>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</si>
  <si>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</si>
  <si>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</si>
  <si>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</si>
  <si>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</si>
  <si>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</si>
  <si>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</si>
  <si>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</si>
  <si>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</si>
  <si>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</si>
  <si>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</si>
  <si>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</si>
  <si>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</si>
  <si>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</si>
  <si>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</si>
  <si>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</si>
  <si>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</si>
  <si>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</si>
  <si>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</si>
  <si>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</si>
  <si>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</si>
  <si>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</si>
  <si>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</si>
  <si>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</si>
  <si>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</si>
  <si>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</si>
  <si>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</si>
  <si>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</si>
  <si>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</si>
  <si>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</si>
  <si>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</si>
  <si>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</si>
  <si>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</si>
  <si>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</si>
  <si>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</si>
  <si>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</si>
  <si>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</si>
  <si>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</si>
  <si>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</si>
  <si>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</si>
  <si>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</si>
  <si>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</si>
  <si>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</si>
  <si>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</si>
  <si>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</si>
  <si>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</si>
  <si>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</si>
  <si>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</si>
  <si>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</si>
  <si>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</si>
  <si>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</si>
  <si>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</si>
  <si>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</si>
  <si>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</si>
  <si>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</si>
  <si>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</si>
  <si>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</si>
  <si>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</si>
  <si>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</si>
  <si>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</si>
  <si>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</si>
  <si>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</si>
  <si>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</si>
  <si>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</si>
  <si>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</si>
  <si>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</si>
  <si>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</si>
  <si>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</si>
  <si>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</si>
  <si>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</si>
  <si>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</si>
  <si>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</si>
  <si>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</si>
  <si>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</si>
  <si>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</si>
  <si>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</si>
  <si>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</si>
  <si>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</si>
  <si>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</si>
  <si>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</si>
  <si>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</si>
  <si>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</si>
  <si>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</si>
  <si>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</si>
  <si>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</si>
  <si>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</si>
  <si>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</si>
  <si>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</si>
  <si>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</si>
  <si>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</si>
  <si>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</si>
  <si>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</si>
  <si>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</si>
  <si>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</si>
  <si>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</si>
  <si>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</si>
  <si>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</si>
  <si>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</si>
  <si>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</si>
  <si>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</si>
  <si>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</si>
  <si>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</si>
  <si>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</si>
  <si>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</si>
  <si>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</si>
  <si>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</si>
  <si>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</si>
  <si>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</si>
  <si>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</si>
  <si>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</si>
  <si>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</si>
  <si>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</si>
  <si>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</si>
  <si>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</si>
  <si>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</si>
  <si>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</si>
  <si>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</si>
  <si>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</si>
  <si>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</si>
  <si>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</si>
  <si>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</si>
  <si>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</si>
  <si>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</si>
  <si>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</si>
  <si>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</si>
  <si>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</si>
  <si>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</si>
  <si>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</si>
  <si>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</si>
  <si>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</si>
  <si>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</si>
  <si>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</si>
  <si>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</si>
  <si>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</si>
  <si>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</si>
  <si>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</si>
  <si>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</si>
  <si>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</si>
  <si>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</si>
  <si>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</si>
  <si>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</si>
  <si>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</si>
  <si>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</si>
  <si>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</si>
  <si>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</si>
  <si>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</si>
  <si>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</si>
  <si>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</si>
  <si>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</si>
  <si>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</si>
  <si>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</si>
  <si>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</si>
  <si>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</si>
  <si>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</si>
  <si>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</si>
  <si>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</si>
  <si>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</si>
  <si>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</si>
  <si>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</si>
  <si>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</si>
  <si>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</si>
  <si>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</si>
  <si>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</si>
  <si>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</si>
  <si>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</si>
  <si>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</si>
  <si>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</si>
  <si>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</si>
  <si>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</si>
  <si>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</si>
  <si>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</si>
  <si>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</si>
  <si>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</si>
  <si>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</si>
  <si>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</si>
  <si>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</si>
  <si>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Currency</t>
  </si>
  <si>
    <t>The currency denomination of this instrument.</t>
  </si>
  <si>
    <t>SEST8</t>
  </si>
  <si>
    <t>Original Principal Balance</t>
  </si>
  <si>
    <t>The Original Principal Balance of this tranche at issuance
Include the currency in which the amount is denominated, using {CURRENCYCODE_3} format.</t>
  </si>
  <si>
    <t>SEST9</t>
  </si>
  <si>
    <t>Current Principal Balance</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</si>
  <si>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</si>
  <si>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</si>
  <si>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</si>
  <si>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</si>
  <si>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</si>
  <si>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</si>
  <si>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</si>
  <si>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</si>
  <si>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</si>
  <si>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</si>
  <si>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</si>
  <si>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</si>
  <si>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</si>
  <si>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</si>
  <si>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</si>
  <si>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</si>
  <si>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</si>
  <si>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</si>
  <si>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</si>
  <si>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</si>
  <si>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</si>
  <si>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</si>
  <si>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</si>
  <si>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</si>
  <si>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</si>
  <si>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</si>
  <si>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</si>
  <si>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</si>
  <si>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</si>
  <si>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</si>
  <si>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</si>
  <si>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</si>
  <si>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</si>
  <si>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</si>
  <si>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</si>
  <si>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</si>
  <si>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</si>
  <si>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</si>
  <si>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</si>
  <si>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</si>
  <si>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</si>
  <si>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</si>
  <si>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</si>
  <si>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</si>
  <si>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</si>
  <si>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</si>
  <si>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</si>
  <si>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</si>
  <si>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</si>
  <si>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</si>
  <si>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</si>
  <si>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</si>
  <si>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</si>
  <si>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</si>
  <si>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</si>
  <si>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</si>
  <si>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</si>
  <si>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Day Count Convention</t>
  </si>
  <si>
    <t xml:space="preserve">The 'days' convention used to calculate interest:
30 / 360 (A011)
Actual / 365 (A005)
Actual / 360 (A004)
Actual / Actual ICMA (A006)
Actual / Actual ISDA (A008)
Actual / Actual AFB (A010)
Actual / 366 (A009)
Other (OTHR)
</t>
  </si>
  <si>
    <t>SEST30</t>
  </si>
  <si>
    <t>Settlement Convention</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</si>
  <si>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</si>
  <si>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</si>
  <si>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</si>
  <si>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</si>
  <si>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</si>
  <si>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</si>
  <si>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</si>
  <si>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</si>
  <si>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</si>
  <si>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</si>
  <si>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</si>
  <si>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</si>
  <si>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</si>
  <si>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</si>
  <si>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</si>
  <si>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</si>
  <si>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</si>
  <si>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</si>
  <si>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</si>
  <si>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</si>
  <si>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</si>
  <si>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</si>
  <si>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</si>
  <si>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</si>
  <si>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</si>
  <si>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</si>
  <si>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</si>
  <si>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</si>
  <si>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</si>
  <si>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</si>
  <si>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</si>
  <si>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</si>
  <si>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</si>
  <si>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</si>
  <si>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</si>
  <si>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</si>
  <si>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</si>
  <si>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</si>
  <si>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</si>
  <si>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</si>
  <si>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</si>
  <si>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</si>
  <si>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</si>
  <si>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</si>
  <si>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</si>
  <si>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</si>
  <si>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</si>
  <si>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</si>
  <si>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</si>
  <si>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</si>
  <si>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</si>
  <si>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</si>
  <si>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</si>
  <si>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</si>
  <si>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</si>
  <si>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</si>
  <si>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</si>
  <si>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</si>
  <si>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</si>
  <si>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</si>
  <si>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</si>
  <si>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</si>
  <si>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</si>
  <si>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</si>
  <si>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</si>
  <si>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</si>
  <si>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</si>
  <si>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</si>
  <si>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</si>
  <si>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</si>
  <si>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</si>
  <si>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</si>
  <si>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</si>
  <si>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</si>
  <si>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</si>
  <si>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</si>
  <si>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</si>
  <si>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</si>
  <si>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</si>
  <si>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</si>
  <si>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</si>
  <si>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</si>
  <si>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</si>
  <si>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</si>
  <si>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</si>
  <si>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</si>
  <si>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</si>
  <si>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</si>
  <si>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</si>
  <si>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</si>
  <si>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</si>
  <si>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</si>
  <si>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</si>
  <si>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</si>
  <si>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</si>
  <si>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</si>
  <si>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</si>
  <si>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Current Period</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</si>
  <si>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</si>
  <si>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</si>
  <si>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</si>
  <si>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</si>
  <si>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</si>
  <si>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</si>
  <si>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</si>
  <si>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</si>
  <si>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</si>
  <si>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</si>
  <si>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</si>
  <si>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</si>
  <si>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</si>
  <si>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</si>
  <si>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</si>
  <si>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</si>
  <si>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</si>
  <si>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</si>
  <si>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</si>
  <si>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</si>
  <si>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</si>
  <si>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</si>
  <si>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</si>
  <si>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</si>
  <si>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</si>
  <si>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</si>
  <si>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</si>
  <si>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</si>
  <si>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</si>
  <si>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</si>
  <si>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</si>
  <si>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</si>
  <si>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</si>
  <si>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</si>
  <si>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</si>
  <si>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</si>
  <si>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</si>
  <si>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</si>
  <si>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</si>
  <si>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</si>
  <si>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</si>
  <si>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</si>
  <si>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</si>
  <si>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</si>
  <si>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</si>
  <si>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</si>
  <si>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</si>
  <si>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</si>
  <si>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</si>
  <si>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</si>
  <si>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</si>
  <si>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</si>
  <si>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</si>
  <si>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</si>
  <si>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</si>
  <si>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</si>
  <si>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</si>
  <si>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</si>
  <si>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</si>
  <si>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</si>
  <si>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</si>
  <si>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</si>
  <si>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</si>
  <si>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</si>
  <si>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</si>
  <si>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</si>
  <si>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</si>
  <si>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</si>
  <si>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</si>
  <si>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</si>
  <si>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</si>
  <si>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</si>
  <si>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</si>
  <si>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</si>
  <si>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</si>
  <si>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</si>
  <si>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</si>
  <si>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</si>
  <si>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</si>
  <si>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</si>
  <si>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</si>
  <si>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</si>
  <si>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</si>
  <si>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</si>
  <si>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</si>
  <si>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</si>
  <si>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</si>
  <si>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</si>
  <si>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</si>
  <si>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</si>
  <si>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</si>
  <si>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</si>
  <si>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</si>
  <si>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</si>
  <si>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</si>
  <si>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</si>
  <si>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</si>
  <si>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</si>
  <si>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</si>
  <si>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</si>
  <si>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</si>
  <si>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</si>
  <si>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</si>
  <si>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</si>
  <si>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</si>
  <si>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</si>
  <si>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</si>
  <si>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</si>
  <si>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</si>
  <si>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</si>
  <si>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</si>
  <si>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</si>
  <si>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</si>
  <si>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</si>
  <si>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</si>
  <si>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</si>
  <si>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</si>
  <si>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</si>
  <si>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</si>
  <si>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</si>
  <si>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</si>
  <si>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</si>
  <si>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</si>
  <si>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</si>
  <si>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</si>
  <si>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</si>
  <si>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</si>
  <si>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</si>
  <si>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</si>
  <si>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</si>
  <si>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</si>
  <si>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</si>
  <si>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</si>
  <si>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</si>
  <si>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</si>
  <si>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</si>
  <si>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</si>
  <si>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</si>
  <si>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</si>
  <si>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</si>
  <si>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</si>
  <si>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</si>
  <si>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</si>
  <si>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</si>
  <si>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</si>
  <si>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</si>
  <si>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</si>
  <si>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</si>
  <si>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</si>
  <si>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</si>
  <si>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</si>
  <si>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</si>
  <si>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</si>
  <si>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</si>
  <si>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</si>
  <si>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</si>
  <si>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</si>
  <si>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</si>
  <si>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</si>
  <si>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</si>
  <si>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</si>
  <si>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</si>
  <si>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</si>
  <si>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</si>
  <si>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</si>
  <si>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</si>
  <si>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</si>
  <si>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</si>
  <si>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</si>
  <si>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</si>
  <si>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</si>
  <si>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</si>
  <si>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</si>
  <si>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</si>
  <si>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</si>
  <si>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</si>
  <si>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</si>
  <si>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</si>
  <si>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</si>
  <si>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</si>
  <si>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</si>
  <si>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</si>
  <si>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</si>
  <si>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</si>
  <si>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</si>
  <si>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</si>
  <si>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</si>
  <si>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</si>
  <si>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</si>
  <si>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</si>
  <si>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</si>
  <si>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</si>
  <si>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</si>
  <si>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</si>
  <si>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</si>
  <si>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</si>
  <si>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</si>
  <si>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</si>
  <si>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</si>
  <si>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</si>
  <si>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</si>
  <si>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</si>
  <si>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</si>
  <si>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</si>
  <si>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</si>
  <si>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</si>
  <si>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</si>
  <si>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</si>
  <si>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</si>
  <si>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</si>
  <si>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</si>
  <si>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</si>
  <si>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</si>
  <si>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</si>
  <si>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</si>
  <si>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</si>
  <si>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</si>
  <si>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</si>
  <si>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</si>
  <si>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</si>
  <si>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</si>
  <si>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</si>
  <si>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</si>
  <si>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</si>
  <si>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</si>
  <si>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</si>
  <si>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</si>
  <si>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</si>
  <si>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</si>
  <si>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</si>
  <si>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</si>
  <si>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</si>
  <si>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</si>
  <si>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</si>
  <si>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</si>
  <si>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</si>
  <si>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</si>
  <si>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</si>
  <si>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</si>
  <si>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</si>
  <si>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</si>
  <si>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</si>
  <si>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</si>
  <si>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</si>
  <si>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</si>
  <si>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</si>
  <si>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</si>
  <si>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</si>
  <si>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</si>
  <si>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</si>
  <si>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</si>
  <si>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</si>
  <si>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</si>
  <si>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</si>
  <si>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</si>
  <si>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</si>
  <si>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</si>
  <si>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</si>
  <si>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</si>
  <si>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</si>
  <si>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</si>
  <si>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</si>
  <si>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</si>
  <si>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</si>
  <si>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</si>
  <si>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</si>
  <si>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</si>
  <si>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</si>
  <si>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</si>
  <si>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</si>
  <si>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</si>
  <si>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</si>
  <si>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</si>
  <si>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</si>
  <si>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</si>
  <si>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</si>
  <si>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</si>
  <si>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</si>
  <si>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</si>
  <si>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</si>
  <si>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</si>
  <si>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</si>
  <si>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</si>
  <si>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</si>
  <si>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</si>
  <si>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</si>
  <si>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</si>
  <si>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</si>
  <si>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</si>
  <si>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</si>
  <si>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</si>
  <si>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</si>
  <si>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</si>
  <si>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</si>
  <si>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</si>
  <si>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</si>
  <si>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</si>
  <si>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</si>
  <si>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</si>
  <si>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</si>
  <si>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</si>
  <si>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</si>
  <si>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</si>
  <si>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</si>
  <si>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</si>
  <si>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</si>
  <si>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</si>
  <si>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</si>
  <si>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</si>
  <si>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</si>
  <si>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</si>
  <si>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</si>
  <si>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</si>
  <si>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</si>
  <si>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</si>
  <si>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</si>
  <si>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</si>
  <si>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</si>
  <si>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</si>
  <si>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</si>
  <si>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</si>
  <si>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</si>
  <si>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</si>
  <si>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</si>
  <si>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</si>
  <si>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</si>
  <si>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</si>
  <si>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</si>
  <si>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</si>
  <si>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</si>
  <si>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</si>
  <si>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</si>
  <si>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</si>
  <si>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</si>
  <si>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</si>
  <si>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</si>
  <si>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</si>
  <si>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</si>
  <si>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</si>
  <si>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</si>
  <si>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</si>
  <si>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</si>
  <si>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</si>
  <si>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</si>
  <si>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</si>
  <si>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</si>
  <si>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</si>
  <si>
    <t>FLTR</t>
  </si>
  <si>
    <t>ORIG</t>
  </si>
  <si>
    <t>RMRT</t>
  </si>
  <si>
    <t>Y</t>
  </si>
  <si>
    <t>N</t>
  </si>
  <si>
    <t>ND5</t>
  </si>
  <si>
    <t>PPOP_INCF1</t>
  </si>
  <si>
    <t>PPOP_OUTCF1</t>
  </si>
  <si>
    <t>PPOP_OUTCF2</t>
  </si>
  <si>
    <t>PPOP_OUTCF3</t>
  </si>
  <si>
    <t>PPOP_OUTCF4</t>
  </si>
  <si>
    <t>IPOP_OUTCF1</t>
  </si>
  <si>
    <t>IPOP_OUTCF2</t>
  </si>
  <si>
    <t>IPOP_OUTCF3</t>
  </si>
  <si>
    <t>IPOP_OUTCF4</t>
  </si>
  <si>
    <t>IPOP_OUTCF5</t>
  </si>
  <si>
    <t>IPOP_OUTCF6</t>
  </si>
  <si>
    <t>IPOP_OUTCF7</t>
  </si>
  <si>
    <t>IPOP_OUTCF8</t>
  </si>
  <si>
    <t>IPOP_OUTCF9</t>
  </si>
  <si>
    <t>IPOP_OUTCF10</t>
  </si>
  <si>
    <t>IPOP_OUTCF11</t>
  </si>
  <si>
    <t>IPOP_OUTCF12</t>
  </si>
  <si>
    <t>IPOP_INCF1</t>
  </si>
  <si>
    <t>FWNG</t>
  </si>
  <si>
    <t>CARE</t>
  </si>
  <si>
    <t>Subordinated</t>
  </si>
  <si>
    <t>A004</t>
  </si>
  <si>
    <t>ND6</t>
  </si>
  <si>
    <t>Issuer_Liquidation_Event1</t>
  </si>
  <si>
    <t>Issuer_Liquidation_Event2</t>
  </si>
  <si>
    <t>Issuer_Liquidation_Event3</t>
  </si>
  <si>
    <t>Issuer_Liquidation_Event4</t>
  </si>
  <si>
    <t>Issuer_Liquidation_Event5</t>
  </si>
  <si>
    <t>Accelerated_Redemption_Event_1</t>
  </si>
  <si>
    <t>Accelerated_Redemption_Event_2</t>
  </si>
  <si>
    <t>Servicer_Termination_Event1</t>
  </si>
  <si>
    <t>Servicer_Termination_Event2</t>
  </si>
  <si>
    <t>Servicer_Termination_Event3</t>
  </si>
  <si>
    <t>Servicer_Termination_Event4</t>
  </si>
  <si>
    <t>Servicer_Termination_Event5</t>
  </si>
  <si>
    <t>Servicer_Termination_Event6</t>
  </si>
  <si>
    <t>Servicer_Termination_Event7</t>
  </si>
  <si>
    <t>Management_Termination_Event1</t>
  </si>
  <si>
    <t>Management_Termination_Event2</t>
  </si>
  <si>
    <t>Management_Termination_Event3</t>
  </si>
  <si>
    <t>Management_Termination_Event4</t>
  </si>
  <si>
    <t>Custodian_Termination_Event1</t>
  </si>
  <si>
    <t>Custodian_Termination_Event2</t>
  </si>
  <si>
    <t>Custodian_Termination_Event3</t>
  </si>
  <si>
    <t>Custodian_Termination_Event4</t>
  </si>
  <si>
    <t>Management_Termination_Event5</t>
  </si>
  <si>
    <t>Management_Termination_Event6</t>
  </si>
  <si>
    <t>Management_Termination_Event7</t>
  </si>
  <si>
    <t>Account_Bank_Termination_Event1</t>
  </si>
  <si>
    <t>Account_Bank_Termination_Event2</t>
  </si>
  <si>
    <t>Account_Bank_Termination_Event3</t>
  </si>
  <si>
    <t>Account_Bank_Termination_Event4</t>
  </si>
  <si>
    <t>Account_Bank_Termination_Event5</t>
  </si>
  <si>
    <t>0,00 EUR</t>
  </si>
  <si>
    <t>IQEQ Management</t>
  </si>
  <si>
    <t>Omar Ghannam // Hugo Lavayssiere // Dimitri Bellaiche</t>
  </si>
  <si>
    <t>+33 1 86 65 64 25 // +33 1 86 65 64 68   //  +33 1 86 65 64 30</t>
  </si>
  <si>
    <t>omar.ghannam@iqeq.com // hugo.lavayssiere@iqeq.com // dimitri.bellaiche@iqeq.com</t>
  </si>
  <si>
    <t>0 EUR</t>
  </si>
  <si>
    <t>FR</t>
  </si>
  <si>
    <t>A</t>
  </si>
  <si>
    <t>R0MUWSFPU8MPRO8K5P83</t>
  </si>
  <si>
    <t>GB</t>
  </si>
  <si>
    <t>213800474IQZ3MDMWR85</t>
  </si>
  <si>
    <t>ALANTRA CORPORATE PORTFOLIO ADVISORS INTERNATIONAL LIMITED</t>
  </si>
  <si>
    <t>2221006TYY2Y64VC9N86</t>
  </si>
  <si>
    <t>PRICEWATERHOUSECOOPERS</t>
  </si>
  <si>
    <t>969500CY9YKWDZW47Y85</t>
  </si>
  <si>
    <t>Fitch</t>
  </si>
  <si>
    <t>2138009F8YAHVC8W3Q52</t>
  </si>
  <si>
    <t>A+</t>
  </si>
  <si>
    <t>ACTI</t>
  </si>
  <si>
    <t>MNGR</t>
  </si>
  <si>
    <t>SUBS</t>
  </si>
  <si>
    <t>COLA</t>
  </si>
  <si>
    <t>ABNK</t>
  </si>
  <si>
    <t>CACB</t>
  </si>
  <si>
    <t>SELL</t>
  </si>
  <si>
    <t>PAYA</t>
  </si>
  <si>
    <t>ARRG</t>
  </si>
  <si>
    <t>AUDT</t>
  </si>
  <si>
    <t>Cash_Reserve</t>
  </si>
  <si>
    <t xml:space="preserve">(i) Class B Outstanding amount plus (ii)Cash Reserve divided by (iii) Class A Outstanding amount </t>
  </si>
  <si>
    <t>Subordinated Notes</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</si>
  <si>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</si>
  <si>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</si>
  <si>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</si>
  <si>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</si>
  <si>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</si>
  <si>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</si>
  <si>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</si>
  <si>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</si>
  <si>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(5)
New Defaulted
Amount</t>
  </si>
  <si>
    <t>(5)
New Defaulted
Number</t>
  </si>
  <si>
    <t>(6) 
Old Defauted
Amount</t>
  </si>
  <si>
    <t>(6) 
Old Defauted
Number</t>
  </si>
  <si>
    <t>Number of None past due Home Loans</t>
  </si>
  <si>
    <t>Number of 01 - 30 days past due  Home Loans</t>
  </si>
  <si>
    <t>Number of 31 - 60 days past due Home Loans</t>
  </si>
  <si>
    <t>Number of 61 - 90 days past due Home Loans</t>
  </si>
  <si>
    <t>Libellé du compte</t>
  </si>
  <si>
    <t>Comptable</t>
  </si>
  <si>
    <t>Valeur</t>
  </si>
  <si>
    <t>Swift</t>
  </si>
  <si>
    <t>Référence client</t>
  </si>
  <si>
    <t>Description mouvement</t>
  </si>
  <si>
    <t>04/06/2024</t>
  </si>
  <si>
    <t>01/06/2024</t>
  </si>
  <si>
    <t>FINT</t>
  </si>
  <si>
    <t>NONREF</t>
  </si>
  <si>
    <t>AGIOS AU 31.05.2024</t>
  </si>
  <si>
    <t>02/07/2024</t>
  </si>
  <si>
    <t>01/07/2024</t>
  </si>
  <si>
    <t>AGIOS AU 30.06.2024</t>
  </si>
  <si>
    <t>02/05/2024</t>
  </si>
  <si>
    <t>01/05/2024</t>
  </si>
  <si>
    <t>AGIOS AU 30.04.2024</t>
  </si>
  <si>
    <t>02/04/2024</t>
  </si>
  <si>
    <t>01/04/2024</t>
  </si>
  <si>
    <t>AGIOS AU 31.03.2024</t>
  </si>
  <si>
    <t>Débits</t>
  </si>
  <si>
    <t>Solde nécessaire minimum</t>
  </si>
  <si>
    <t>Libellé au crédit</t>
  </si>
  <si>
    <t>Libellé au débit</t>
  </si>
  <si>
    <t>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t>
  </si>
  <si>
    <t xml:space="preserv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</si>
</sst>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 #,##0.00\ &quot;€&quot;_-;\-* #,##0.00\ &quot;€&quot;_-;_-* &quot;-&quot;??\ &quot;€&quot;_-;_-@_-"/>
    <numFmt numFmtId="43" formatCode="_-* #,##0.00_-;\-* #,##0.00_-;_-* &quot;-&quot;??_-;_-@_-"/>
    <numFmt numFmtId="164" formatCode="_-* #,##0.00\ _€_-;\-* #,##0.00\ _€_-;_-* &quot;-&quot;??\ _€_-;_-@_-"/>
    <numFmt numFmtId="165" formatCode="#,##0.00_ ;\-#,##0.00\ "/>
    <numFmt numFmtId="166" formatCode="0.0000%"/>
    <numFmt numFmtId="167" formatCode="_-* #,##0.00\ _F_-;\-* #,##0.00\ _F_-;_-* &quot;-&quot;??\ _F_-;_-@_-"/>
    <numFmt numFmtId="168" formatCode="0.000%"/>
    <numFmt numFmtId="169" formatCode="_-[$€-2]* #,##0.000_-;\-[$€-2]* #,##0.000_-;_-[$€-2]* &quot;-&quot;??_-"/>
    <numFmt numFmtId="170" formatCode="dd/mm/yyyy;@"/>
    <numFmt numFmtId="171" formatCode="_-[$€-2]* #,##0_-;\-[$€-2]* #,##0_-;_-[$€-2]* &quot;-&quot;??_-"/>
    <numFmt numFmtId="172" formatCode="0.0%"/>
    <numFmt numFmtId="173" formatCode="[$-409]mmmm\ d\,\ yyyy;@"/>
    <numFmt numFmtId="174" formatCode="_(* #,##0.00_);_(* \(#,##0.00\);_(* &quot;-&quot;??_);_(@_)"/>
    <numFmt numFmtId="175" formatCode="_-* #,##0.00\ [$EUR]_-;\-* #,##0.00\ [$EUR]_-;_-* &quot;-&quot;??\ [$EUR]_-;_-@_-"/>
    <numFmt numFmtId="176" formatCode="_-* #,##0.00000000\ _€_-;\-* #,##0.00000000\ _€_-;_-* &quot;-&quot;??\ _€_-;_-@_-"/>
    <numFmt numFmtId="177" formatCode="_-* #,##0\ _F_-;\-* #,##0\ _F_-;_-* &quot;-&quot;??\ _F_-;_-@_-"/>
    <numFmt numFmtId="178" formatCode="dd\-mm\-yyyy"/>
    <numFmt numFmtId="179" formatCode="_-* #,##0.000\ _€_-;\-* #,##0.000\ _€_-;_-* &quot;-&quot;???\ _€_-;_-@_-"/>
    <numFmt numFmtId="180" formatCode="#,##0.000"/>
  </numFmts>
  <fonts count="1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sz val="10"/>
      <name val="Arial"/>
      <family val="2"/>
    </font>
    <font>
      <b/>
      <sz val="12"/>
      <name val="Arial"/>
      <family val="2"/>
    </font>
    <font>
      <b/>
      <i/>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1"/>
      <color theme="1"/>
      <name val="Calibri"/>
      <family val="2"/>
      <scheme val="minor"/>
    </font>
    <font>
      <b/>
      <sz val="11"/>
      <color theme="1"/>
      <name val="Calibri"/>
      <family val="2"/>
      <scheme val="minor"/>
    </font>
    <font>
      <b/>
      <i/>
      <sz val="11"/>
      <color theme="1"/>
      <name val="Calibri"/>
      <family val="2"/>
      <scheme val="minor"/>
    </font>
    <font>
      <b/>
      <u/>
      <sz val="10"/>
      <name val="Arial"/>
      <family val="2"/>
    </font>
    <font>
      <b/>
      <sz val="11"/>
      <name val="Arial"/>
      <family val="2"/>
    </font>
    <font>
      <sz val="11"/>
      <color theme="0"/>
      <name val="Calibri"/>
      <family val="2"/>
      <scheme val="minor"/>
    </font>
    <font>
      <b/>
      <sz val="12"/>
      <color theme="0"/>
      <name val="Arial"/>
      <family val="2"/>
    </font>
    <font>
      <b/>
      <sz val="12"/>
      <color indexed="9"/>
      <name val="Arial"/>
      <family val="2"/>
    </font>
    <font>
      <sz val="11"/>
      <name val="Calibri"/>
      <family val="2"/>
      <scheme val="minor"/>
    </font>
    <font>
      <sz val="7"/>
      <name val="Arial"/>
      <family val="2"/>
    </font>
    <font>
      <sz val="20"/>
      <color indexed="10"/>
      <name val="Arial Black"/>
      <family val="2"/>
    </font>
    <font>
      <sz val="12"/>
      <color indexed="10"/>
      <name val="Arial Black"/>
      <family val="2"/>
    </font>
    <font>
      <sz val="12"/>
      <name val="Arial"/>
      <family val="2"/>
    </font>
    <font>
      <sz val="12"/>
      <color indexed="60"/>
      <name val="Arial"/>
      <family val="2"/>
    </font>
    <font>
      <b/>
      <sz val="12"/>
      <color indexed="21"/>
      <name val="Arial"/>
      <family val="2"/>
    </font>
    <font>
      <i/>
      <sz val="12"/>
      <name val="Arial"/>
      <family val="2"/>
    </font>
    <font>
      <b/>
      <i/>
      <sz val="12"/>
      <color indexed="21"/>
      <name val="Arial"/>
      <family val="2"/>
    </font>
    <font>
      <b/>
      <i/>
      <sz val="12"/>
      <name val="Cambria"/>
      <family val="1"/>
      <scheme val="major"/>
    </font>
    <font>
      <sz val="12"/>
      <color indexed="21"/>
      <name val="Arial"/>
      <family val="2"/>
    </font>
    <font>
      <b/>
      <sz val="13"/>
      <color indexed="18"/>
      <name val="Arial"/>
      <family val="2"/>
    </font>
    <font>
      <sz val="10"/>
      <color indexed="18"/>
      <name val="Arial"/>
      <family val="2"/>
    </font>
    <font>
      <b/>
      <sz val="12"/>
      <color indexed="18"/>
      <name val="Arial"/>
      <family val="2"/>
    </font>
    <font>
      <b/>
      <sz val="10"/>
      <color theme="0"/>
      <name val="Arial"/>
      <family val="2"/>
    </font>
    <font>
      <b/>
      <sz val="10"/>
      <color indexed="16"/>
      <name val="Arial"/>
      <family val="2"/>
    </font>
    <font>
      <b/>
      <sz val="10"/>
      <color rgb="FF0000FF"/>
      <name val="Arial"/>
      <family val="2"/>
    </font>
    <font>
      <sz val="10"/>
      <name val="Times New Roman"/>
      <family val="1"/>
    </font>
    <font>
      <b/>
      <sz val="10"/>
      <color indexed="18"/>
      <name val="Arial"/>
      <family val="2"/>
    </font>
    <font>
      <b/>
      <i/>
      <sz val="10"/>
      <name val="Times New Roman"/>
      <family val="1"/>
    </font>
    <font>
      <sz val="10"/>
      <color indexed="10"/>
      <name val="Arial"/>
      <family val="2"/>
    </font>
    <font>
      <sz val="10"/>
      <color indexed="12"/>
      <name val="Arial"/>
      <family val="2"/>
    </font>
    <font>
      <b/>
      <sz val="8"/>
      <name val="Arial"/>
      <family val="2"/>
    </font>
    <font>
      <b/>
      <i/>
      <sz val="10"/>
      <color theme="5"/>
      <name val="Arial"/>
      <family val="2"/>
    </font>
    <font>
      <i/>
      <sz val="11"/>
      <color theme="1"/>
      <name val="Calibri"/>
      <family val="2"/>
      <scheme val="minor"/>
    </font>
    <font>
      <b/>
      <i/>
      <sz val="10"/>
      <color indexed="18"/>
      <name val="Arial"/>
      <family val="2"/>
    </font>
    <font>
      <b/>
      <i/>
      <sz val="10"/>
      <color indexed="62"/>
      <name val="Arial"/>
      <family val="2"/>
    </font>
    <font>
      <b/>
      <sz val="10"/>
      <color indexed="62"/>
      <name val="Arial"/>
      <family val="2"/>
    </font>
    <font>
      <sz val="10"/>
      <color theme="0"/>
      <name val="Arial"/>
      <family val="2"/>
    </font>
    <font>
      <b/>
      <sz val="16"/>
      <color rgb="FF00B050"/>
      <name val="Arial"/>
      <family val="2"/>
    </font>
    <font>
      <b/>
      <u/>
      <sz val="11"/>
      <name val="Arial"/>
      <family val="2"/>
    </font>
    <font>
      <b/>
      <sz val="9"/>
      <name val="Arial"/>
      <family val="2"/>
    </font>
    <font>
      <b/>
      <sz val="8"/>
      <color indexed="12"/>
      <name val="Arial"/>
      <family val="2"/>
    </font>
    <font>
      <b/>
      <sz val="8"/>
      <color indexed="17"/>
      <name val="Arial"/>
      <family val="2"/>
    </font>
    <font>
      <sz val="9"/>
      <color indexed="17"/>
      <name val="Arial"/>
      <family val="2"/>
    </font>
    <font>
      <sz val="8"/>
      <color indexed="8"/>
      <name val="Arial"/>
      <family val="2"/>
    </font>
    <font>
      <b/>
      <sz val="8"/>
      <color rgb="FFFF0000"/>
      <name val="Arial"/>
      <family val="2"/>
    </font>
    <font>
      <sz val="9"/>
      <color indexed="10"/>
      <name val="Arial"/>
      <family val="2"/>
    </font>
    <font>
      <sz val="9"/>
      <color indexed="8"/>
      <name val="Arial"/>
      <family val="2"/>
    </font>
    <font>
      <sz val="10"/>
      <color rgb="FF0000FF"/>
      <name val="Arial"/>
      <family val="2"/>
    </font>
    <font>
      <b/>
      <sz val="8"/>
      <color theme="0"/>
      <name val="Arial"/>
      <family val="2"/>
    </font>
    <font>
      <b/>
      <sz val="9"/>
      <color theme="0"/>
      <name val="Arial"/>
      <family val="2"/>
    </font>
    <font>
      <b/>
      <sz val="8"/>
      <color rgb="FF0000FF"/>
      <name val="Arial"/>
      <family val="2"/>
    </font>
    <font>
      <b/>
      <sz val="14"/>
      <color theme="0"/>
      <name val="Arial"/>
      <family val="2"/>
    </font>
    <font>
      <b/>
      <sz val="16"/>
      <name val="Arial"/>
      <family val="2"/>
    </font>
    <font>
      <b/>
      <sz val="10"/>
      <color indexed="8"/>
      <name val="Arial"/>
      <family val="2"/>
    </font>
    <font>
      <b/>
      <sz val="10"/>
      <color indexed="56"/>
      <name val="Arial"/>
      <family val="2"/>
    </font>
    <font>
      <sz val="9"/>
      <color rgb="FF0000FF"/>
      <name val="Arial"/>
      <family val="2"/>
    </font>
    <font>
      <sz val="9"/>
      <name val="Arial"/>
      <family val="2"/>
    </font>
    <font>
      <b/>
      <sz val="14"/>
      <color indexed="10"/>
      <name val="Arial"/>
      <family val="2"/>
    </font>
    <font>
      <sz val="11"/>
      <name val="Arial"/>
      <family val="2"/>
    </font>
    <font>
      <sz val="10"/>
      <name val="Arial"/>
      <family val="2"/>
    </font>
    <font>
      <b/>
      <sz val="11"/>
      <color theme="0"/>
      <name val="Calibri"/>
      <family val="2"/>
      <scheme val="minor"/>
    </font>
    <font>
      <b/>
      <sz val="10"/>
      <color theme="1"/>
      <name val="Arial"/>
      <family val="2"/>
    </font>
    <font>
      <b/>
      <sz val="10"/>
      <color rgb="FF002060"/>
      <name val="Arial"/>
      <family val="2"/>
    </font>
    <font>
      <sz val="9"/>
      <color theme="0"/>
      <name val="Arial"/>
      <family val="2"/>
    </font>
    <font>
      <b/>
      <sz val="9"/>
      <color theme="1"/>
      <name val="Calibri"/>
      <family val="2"/>
      <scheme val="minor"/>
    </font>
    <font>
      <sz val="9"/>
      <color theme="1"/>
      <name val="Arial"/>
      <family val="2"/>
    </font>
    <font>
      <b/>
      <sz val="10"/>
      <color theme="1"/>
      <name val="Calibri"/>
      <family val="2"/>
      <scheme val="minor"/>
    </font>
    <font>
      <sz val="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u/>
      <sz val="10"/>
      <color theme="10"/>
      <name val="Arial"/>
      <family val="2"/>
    </font>
    <font>
      <sz val="11"/>
      <color rgb="FF000000"/>
      <name val="Calibri"/>
      <family val="2"/>
    </font>
    <font>
      <sz val="8"/>
      <name val="Arial"/>
      <family val="2"/>
    </font>
    <font>
      <sz val="8"/>
      <color theme="1"/>
      <name val="Arial"/>
      <family val="2"/>
    </font>
    <font>
      <b/>
      <sz val="8"/>
      <color indexed="16"/>
      <name val="Arial"/>
      <family val="2"/>
    </font>
    <font>
      <b/>
      <sz val="11"/>
      <color indexed="8"/>
      <name val="Arial"/>
      <family val="2"/>
    </font>
    <font>
      <sz val="8"/>
      <name val="Arial"/>
      <family val="2"/>
    </font>
    <font>
      <b/>
      <sz val="10"/>
      <color theme="3" tint="-0.249977111117893"/>
      <name val="Arial"/>
      <family val="2"/>
    </font>
    <font>
      <b/>
      <sz val="11"/>
      <color theme="0"/>
      <name val="Arial"/>
      <family val="2"/>
    </font>
    <font>
      <b/>
      <sz val="12"/>
      <color theme="3" tint="0.39997558519241921"/>
      <name val="Arial"/>
      <family val="2"/>
    </font>
    <font>
      <i/>
      <sz val="11"/>
      <name val="Cambria"/>
      <family val="1"/>
      <scheme val="major"/>
    </font>
    <font>
      <b/>
      <i/>
      <sz val="12"/>
      <color indexed="21"/>
      <name val="Cambria"/>
      <family val="1"/>
      <scheme val="major"/>
    </font>
    <font>
      <b/>
      <sz val="10"/>
      <name val="Cambria"/>
      <family val="1"/>
      <scheme val="major"/>
    </font>
    <font>
      <sz val="11"/>
      <color theme="1"/>
      <name val="Arial"/>
      <family val="2"/>
    </font>
    <font>
      <sz val="10"/>
      <color theme="1"/>
      <name val="Arial"/>
      <family val="2"/>
    </font>
    <font>
      <b/>
      <sz val="28"/>
      <name val="Calibri"/>
      <family val="2"/>
      <scheme val="minor"/>
    </font>
    <font>
      <b/>
      <sz val="11"/>
      <color theme="1"/>
      <name val="Times New Roman"/>
      <family val="1"/>
    </font>
    <font>
      <sz val="11"/>
      <color theme="1"/>
      <name val="Times New Roman"/>
      <family val="1"/>
    </font>
    <font>
      <b/>
      <sz val="15"/>
      <name val="Arial"/>
      <family val="2"/>
    </font>
    <font>
      <sz val="15"/>
      <name val="Arial"/>
      <family val="2"/>
    </font>
    <font>
      <sz val="8"/>
      <color rgb="FF000000"/>
      <name val="Arial"/>
      <family val="2"/>
    </font>
    <font>
      <sz val="11"/>
      <color theme="7" tint="-0.499984740745262"/>
      <name val="Calibri"/>
      <family val="2"/>
      <scheme val="minor"/>
    </font>
    <font>
      <b/>
      <sz val="9"/>
      <color rgb="FF0000FF"/>
      <name val="Arial"/>
      <family val="2"/>
    </font>
    <font>
      <b/>
      <sz val="8"/>
      <color rgb="FF00B050"/>
      <name val="Arial"/>
      <family val="2"/>
    </font>
    <font>
      <b/>
      <sz val="8"/>
      <color indexed="8"/>
      <name val="Arial"/>
      <family val="2"/>
    </font>
    <font>
      <b/>
      <sz val="12"/>
      <color theme="0"/>
      <name val="Cambria"/>
      <family val="1"/>
      <scheme val="major"/>
    </font>
    <font>
      <b/>
      <sz val="28"/>
      <color theme="9" tint="-0.249977111117893"/>
      <name val="Calibri"/>
      <family val="2"/>
      <scheme val="minor"/>
    </font>
    <font>
      <b/>
      <sz val="28"/>
      <color theme="2" tint="-0.749992370372631"/>
      <name val="Calibri"/>
      <family val="2"/>
      <scheme val="minor"/>
    </font>
    <font>
      <b/>
      <sz val="9"/>
      <color theme="2" tint="-0.749992370372631"/>
      <name val="Arial"/>
      <family val="2"/>
    </font>
    <font>
      <b/>
      <i/>
      <sz val="10"/>
      <color theme="1"/>
      <name val="Arial"/>
      <family val="2"/>
    </font>
    <font>
      <b/>
      <sz val="9"/>
      <color theme="1"/>
      <name val="Arial"/>
      <family val="2"/>
    </font>
    <font>
      <b/>
      <sz val="8"/>
      <color theme="1"/>
      <name val="Arial"/>
      <family val="2"/>
    </font>
    <font>
      <sz val="9"/>
      <color indexed="12"/>
      <name val="Arial"/>
      <family val="2"/>
    </font>
    <font>
      <sz val="10"/>
      <color indexed="9"/>
      <name val="Arial"/>
      <family val="2"/>
    </font>
    <font>
      <sz val="8"/>
      <name val="Arial"/>
      <family val="2"/>
    </font>
    <font>
      <sz val="16"/>
      <name val="Arial"/>
      <family val="2"/>
    </font>
    <font>
      <i/>
      <sz val="10"/>
      <color theme="0"/>
      <name val="Arial"/>
      <family val="2"/>
    </font>
    <font>
      <sz val="8"/>
      <name val="Arial"/>
      <family val="2"/>
    </font>
    <font>
      <b/>
      <sz val="12"/>
      <color rgb="FF7030A0"/>
      <name val="Cambria"/>
      <family val="1"/>
      <scheme val="major"/>
    </font>
    <font>
      <b/>
      <i/>
      <sz val="10"/>
      <color indexed="56"/>
      <name val="Arial"/>
      <family val="2"/>
    </font>
    <font>
      <b/>
      <sz val="9"/>
      <color indexed="81"/>
      <name val="Tahoma"/>
      <family val="2"/>
    </font>
    <font>
      <i/>
      <sz val="8"/>
      <color rgb="FFC2D597"/>
      <name val="Aptos Black"/>
      <family val="2"/>
    </font>
    <font>
      <sz val="11"/>
      <color indexed="8"/>
      <name val="Calibri"/>
      <family val="2"/>
      <scheme val="minor"/>
    </font>
    <font>
      <b/>
      <sz val="11"/>
      <name val="Calibri"/>
      <family val="2"/>
    </font>
    <font>
      <b/>
      <sz val="10"/>
      <color rgb="FF000000"/>
      <name val="Arial"/>
      <family val="2"/>
    </font>
    <font>
      <sz val="8"/>
      <name val="Arial"/>
      <family val="2"/>
    </font>
    <font>
      <sz val="10"/>
      <color rgb="FF00B050"/>
      <name val="Arial"/>
      <family val="2"/>
    </font>
    <font>
      <sz val="10"/>
      <color rgb="FFFF0000"/>
      <name val="Arial"/>
      <family val="2"/>
    </font>
  </fonts>
  <fills count="7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mediumGray">
        <bgColor theme="4" tint="0.79998168889431442"/>
      </patternFill>
    </fill>
    <fill>
      <patternFill patternType="solid">
        <fgColor theme="5" tint="0.39997558519241921"/>
        <bgColor indexed="64"/>
      </patternFill>
    </fill>
    <fill>
      <patternFill patternType="solid">
        <fgColor rgb="FFE7F0FD"/>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FFC00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
      <patternFill patternType="solid">
        <fgColor theme="8" tint="0.39997558519241921"/>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rgb="FFFFFF00"/>
        <bgColor indexed="64"/>
      </patternFill>
    </fill>
    <fill>
      <patternFill patternType="solid">
        <fgColor rgb="FF92D050"/>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00B0F0"/>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9" tint="-0.249977111117893"/>
        <bgColor indexed="64"/>
      </patternFill>
    </fill>
    <fill>
      <patternFill patternType="mediumGray">
        <bgColor theme="0" tint="-0.14996795556505021"/>
      </patternFill>
    </fill>
    <fill>
      <patternFill patternType="solid">
        <fgColor rgb="FF7030A0"/>
        <bgColor indexed="64"/>
      </patternFill>
    </fill>
    <fill>
      <patternFill patternType="solid">
        <fgColor rgb="FF00FFCC"/>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
      <patternFill patternType="solid">
        <fgColor theme="4"/>
        <bgColor theme="4"/>
      </patternFill>
    </fill>
    <fill>
      <patternFill patternType="solid">
        <fgColor theme="4" tint="0.79998168889431442"/>
        <bgColor theme="4" tint="0.79998168889431442"/>
      </patternFill>
    </fill>
  </fills>
  <borders count="34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medium">
        <color indexed="64"/>
      </right>
      <top/>
      <bottom style="medium">
        <color indexed="64"/>
      </bottom>
      <diagonal/>
    </border>
    <border>
      <left style="dashed">
        <color indexed="64"/>
      </left>
      <right style="dashed">
        <color indexed="64"/>
      </right>
      <top style="hair">
        <color indexed="64"/>
      </top>
      <bottom style="hair">
        <color indexed="64"/>
      </bottom>
      <diagonal/>
    </border>
    <border>
      <left style="double">
        <color indexed="64"/>
      </left>
      <right style="double">
        <color indexed="64"/>
      </right>
      <top style="double">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dashed">
        <color auto="1"/>
      </left>
      <right style="dashed">
        <color auto="1"/>
      </right>
      <top style="dashed">
        <color auto="1"/>
      </top>
      <bottom style="hair">
        <color auto="1"/>
      </bottom>
      <diagonal/>
    </border>
    <border>
      <left style="dashed">
        <color auto="1"/>
      </left>
      <right style="dashed">
        <color auto="1"/>
      </right>
      <top style="hair">
        <color auto="1"/>
      </top>
      <bottom style="dashed">
        <color auto="1"/>
      </bottom>
      <diagonal/>
    </border>
    <border>
      <left style="dashed">
        <color auto="1"/>
      </left>
      <right style="dashed">
        <color auto="1"/>
      </right>
      <top style="dashed">
        <color auto="1"/>
      </top>
      <bottom style="dashed">
        <color auto="1"/>
      </bottom>
      <diagonal/>
    </border>
    <border>
      <left style="hair">
        <color indexed="64"/>
      </left>
      <right/>
      <top style="hair">
        <color indexed="64"/>
      </top>
      <bottom style="hair">
        <color indexed="64"/>
      </bottom>
      <diagonal/>
    </border>
    <border>
      <left style="dashed">
        <color indexed="64"/>
      </left>
      <right style="dashed">
        <color indexed="64"/>
      </right>
      <top style="dashed">
        <color indexed="64"/>
      </top>
      <bottom style="hair">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ck">
        <color indexed="55"/>
      </top>
      <bottom style="thin">
        <color indexed="55"/>
      </bottom>
      <diagonal/>
    </border>
    <border>
      <left/>
      <right/>
      <top style="thin">
        <color theme="0" tint="-0.14996795556505021"/>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thin">
        <color indexed="55"/>
      </right>
      <top style="hair">
        <color indexed="55"/>
      </top>
      <bottom style="hair">
        <color indexed="55"/>
      </bottom>
      <diagonal/>
    </border>
    <border>
      <left style="thin">
        <color indexed="55"/>
      </left>
      <right style="thin">
        <color indexed="55"/>
      </right>
      <top style="hair">
        <color indexed="55"/>
      </top>
      <bottom style="thin">
        <color indexed="55"/>
      </bottom>
      <diagonal/>
    </border>
    <border>
      <left style="medium">
        <color theme="0" tint="-0.14996795556505021"/>
      </left>
      <right/>
      <top style="medium">
        <color theme="0" tint="-0.14996795556505021"/>
      </top>
      <bottom style="medium">
        <color theme="0" tint="-0.14996795556505021"/>
      </bottom>
      <diagonal/>
    </border>
    <border>
      <left/>
      <right style="thin">
        <color indexed="63"/>
      </right>
      <top style="hair">
        <color indexed="23"/>
      </top>
      <bottom style="hair">
        <color indexed="23"/>
      </bottom>
      <diagonal/>
    </border>
    <border>
      <left/>
      <right/>
      <top style="hair">
        <color indexed="55"/>
      </top>
      <bottom style="hair">
        <color indexed="55"/>
      </bottom>
      <diagonal/>
    </border>
    <border>
      <left/>
      <right style="thin">
        <color indexed="63"/>
      </right>
      <top style="hair">
        <color indexed="23"/>
      </top>
      <bottom/>
      <diagonal/>
    </border>
    <border>
      <left style="thin">
        <color indexed="23"/>
      </left>
      <right/>
      <top style="thin">
        <color indexed="23"/>
      </top>
      <bottom/>
      <diagonal/>
    </border>
    <border>
      <left/>
      <right/>
      <top style="thin">
        <color indexed="23"/>
      </top>
      <bottom/>
      <diagonal/>
    </border>
    <border>
      <left style="thin">
        <color indexed="64"/>
      </left>
      <right/>
      <top style="thin">
        <color indexed="64"/>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right style="thin">
        <color indexed="64"/>
      </right>
      <top/>
      <bottom/>
      <diagonal/>
    </border>
    <border>
      <left/>
      <right style="thin">
        <color indexed="23"/>
      </right>
      <top style="thin">
        <color indexed="23"/>
      </top>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style="thin">
        <color indexed="23"/>
      </left>
      <right/>
      <top style="hair">
        <color indexed="23"/>
      </top>
      <bottom style="hair">
        <color indexed="23"/>
      </bottom>
      <diagonal/>
    </border>
    <border>
      <left style="thin">
        <color indexed="63"/>
      </left>
      <right style="thin">
        <color indexed="23"/>
      </right>
      <top style="hair">
        <color indexed="23"/>
      </top>
      <bottom/>
      <diagonal/>
    </border>
    <border>
      <left style="thin">
        <color indexed="23"/>
      </left>
      <right/>
      <top/>
      <bottom style="hair">
        <color indexed="23"/>
      </bottom>
      <diagonal/>
    </border>
    <border>
      <left style="thin">
        <color indexed="23"/>
      </left>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hair">
        <color indexed="64"/>
      </right>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dashed">
        <color indexed="64"/>
      </left>
      <right style="dashed">
        <color indexed="64"/>
      </right>
      <top style="hair">
        <color indexed="64"/>
      </top>
      <bottom/>
      <diagonal/>
    </border>
    <border>
      <left style="dashed">
        <color auto="1"/>
      </left>
      <right style="dashed">
        <color auto="1"/>
      </right>
      <top/>
      <bottom style="hair">
        <color auto="1"/>
      </bottom>
      <diagonal/>
    </border>
    <border>
      <left style="dashed">
        <color indexed="64"/>
      </left>
      <right style="dashed">
        <color indexed="64"/>
      </right>
      <top style="hair">
        <color indexed="64"/>
      </top>
      <bottom style="dashed">
        <color indexed="64"/>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hair">
        <color indexed="64"/>
      </left>
      <right style="hair">
        <color indexed="64"/>
      </right>
      <top/>
      <bottom style="medium">
        <color indexed="64"/>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indexed="64"/>
      </left>
      <right/>
      <top/>
      <bottom style="dotted">
        <color indexed="22"/>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right style="hair">
        <color indexed="64"/>
      </right>
      <top/>
      <bottom style="medium">
        <color indexed="64"/>
      </bottom>
      <diagonal/>
    </border>
    <border>
      <left style="medium">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54"/>
      </bottom>
      <diagonal/>
    </border>
    <border>
      <left/>
      <right style="medium">
        <color indexed="64"/>
      </right>
      <top style="medium">
        <color indexed="64"/>
      </top>
      <bottom style="dashed">
        <color indexed="5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54"/>
      </top>
      <bottom style="dashed">
        <color indexed="64"/>
      </bottom>
      <diagonal/>
    </border>
    <border>
      <left/>
      <right style="medium">
        <color indexed="64"/>
      </right>
      <top style="dashed">
        <color indexed="54"/>
      </top>
      <bottom style="dashed">
        <color indexed="54"/>
      </bottom>
      <diagonal/>
    </border>
    <border>
      <left/>
      <right/>
      <top style="hair">
        <color indexed="64"/>
      </top>
      <bottom style="hair">
        <color indexed="64"/>
      </bottom>
      <diagonal/>
    </border>
    <border>
      <left style="dotted">
        <color theme="0" tint="-0.499984740745262"/>
      </left>
      <right style="dotted">
        <color theme="0" tint="-0.499984740745262"/>
      </right>
      <top/>
      <bottom style="dashed">
        <color theme="0" tint="-0.499984740745262"/>
      </bottom>
      <diagonal/>
    </border>
    <border>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dotted">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thin">
        <color indexed="55"/>
      </bottom>
      <diagonal/>
    </border>
    <border>
      <left style="thin">
        <color auto="1"/>
      </left>
      <right style="thin">
        <color auto="1"/>
      </right>
      <top style="thin">
        <color auto="1"/>
      </top>
      <bottom style="thin">
        <color auto="1"/>
      </bottom>
      <diagonal/>
    </border>
    <border>
      <left style="thick">
        <color indexed="22"/>
      </left>
      <right/>
      <top style="hair">
        <color indexed="22"/>
      </top>
      <bottom style="hair">
        <color indexed="22"/>
      </bottom>
      <diagonal/>
    </border>
    <border>
      <left style="thin">
        <color indexed="22"/>
      </left>
      <right style="medium">
        <color indexed="64"/>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n">
        <color indexed="22"/>
      </left>
      <right style="thin">
        <color indexed="22"/>
      </right>
      <top style="hair">
        <color indexed="22"/>
      </top>
      <bottom style="hair">
        <color indexed="22"/>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right style="thin">
        <color indexed="55"/>
      </right>
      <top style="thin">
        <color indexed="55"/>
      </top>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style="medium">
        <color indexed="55"/>
      </right>
      <top style="hair">
        <color indexed="55"/>
      </top>
      <bottom style="hair">
        <color indexed="55"/>
      </bottom>
      <diagonal/>
    </border>
    <border>
      <left style="hair">
        <color indexed="55"/>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style="medium">
        <color indexed="55"/>
      </right>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style="hair">
        <color indexed="55"/>
      </top>
      <bottom style="medium">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top style="hair">
        <color indexed="55"/>
      </top>
      <bottom/>
      <diagonal/>
    </border>
    <border>
      <left/>
      <right/>
      <top style="hair">
        <color indexed="55"/>
      </top>
      <bottom/>
      <diagonal/>
    </border>
    <border>
      <left/>
      <right style="medium">
        <color indexed="55"/>
      </right>
      <top style="hair">
        <color indexed="55"/>
      </top>
      <bottom/>
      <diagonal/>
    </border>
    <border>
      <left style="medium">
        <color indexed="55"/>
      </left>
      <right style="hair">
        <color indexed="55"/>
      </right>
      <top/>
      <bottom style="hair">
        <color indexed="55"/>
      </bottom>
      <diagonal/>
    </border>
    <border>
      <left style="thin">
        <color indexed="55"/>
      </left>
      <right/>
      <top style="medium">
        <color indexed="55"/>
      </top>
      <bottom style="medium">
        <color indexed="55"/>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double">
        <color theme="0" tint="-0.499984740745262"/>
      </right>
      <top style="double">
        <color theme="0" tint="-0.499984740745262"/>
      </top>
      <bottom/>
      <diagonal/>
    </border>
    <border>
      <left style="double">
        <color theme="0" tint="-0.499984740745262"/>
      </left>
      <right/>
      <top/>
      <bottom/>
      <diagonal/>
    </border>
    <border>
      <left/>
      <right style="double">
        <color theme="0" tint="-0.499984740745262"/>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thin">
        <color indexed="64"/>
      </left>
      <right/>
      <top/>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dotted">
        <color indexed="55"/>
      </left>
      <right/>
      <top style="thin">
        <color indexed="55"/>
      </top>
      <bottom style="hair">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thin">
        <color theme="0"/>
      </left>
      <right/>
      <top/>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hair">
        <color theme="0" tint="-0.24994659260841701"/>
      </left>
      <right style="medium">
        <color indexed="64"/>
      </right>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medium">
        <color indexed="64"/>
      </left>
      <right/>
      <top style="dotted">
        <color indexed="22"/>
      </top>
      <bottom style="medium">
        <color indexed="64"/>
      </bottom>
      <diagonal/>
    </border>
    <border>
      <left style="hair">
        <color theme="0" tint="-0.24994659260841701"/>
      </left>
      <right style="hair">
        <color theme="0" tint="-0.24994659260841701"/>
      </right>
      <top style="hair">
        <color theme="0" tint="-0.24994659260841701"/>
      </top>
      <bottom style="medium">
        <color indexed="64"/>
      </bottom>
      <diagonal/>
    </border>
    <border>
      <left style="hair">
        <color theme="0" tint="-0.24994659260841701"/>
      </left>
      <right style="medium">
        <color indexed="64"/>
      </right>
      <top style="hair">
        <color theme="0" tint="-0.24994659260841701"/>
      </top>
      <bottom style="medium">
        <color indexed="64"/>
      </bottom>
      <diagonal/>
    </border>
    <border>
      <left style="medium">
        <color indexed="64"/>
      </left>
      <right style="hair">
        <color theme="0" tint="-0.24994659260841701"/>
      </right>
      <top/>
      <bottom style="hair">
        <color theme="0" tint="-0.24994659260841701"/>
      </bottom>
      <diagonal/>
    </border>
    <border>
      <left style="medium">
        <color indexed="64"/>
      </left>
      <right style="hair">
        <color theme="0" tint="-0.24994659260841701"/>
      </right>
      <top style="hair">
        <color theme="0" tint="-0.24994659260841701"/>
      </top>
      <bottom style="hair">
        <color theme="0" tint="-0.24994659260841701"/>
      </bottom>
      <diagonal/>
    </border>
    <border>
      <left style="medium">
        <color indexed="64"/>
      </left>
      <right style="hair">
        <color theme="0" tint="-0.24994659260841701"/>
      </right>
      <top style="hair">
        <color theme="0" tint="-0.24994659260841701"/>
      </top>
      <bottom style="medium">
        <color indexed="64"/>
      </bottom>
      <diagonal/>
    </border>
    <border>
      <left style="thin">
        <color indexed="55"/>
      </left>
      <right/>
      <top style="medium">
        <color indexed="64"/>
      </top>
      <bottom style="medium">
        <color indexed="64"/>
      </bottom>
      <diagonal/>
    </border>
    <border>
      <left style="hair">
        <color theme="0" tint="-0.24994659260841701"/>
      </left>
      <right/>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top style="hair">
        <color theme="0" tint="-0.2499465926084170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thick">
        <color rgb="FFC0C0C0"/>
      </left>
      <right style="thin">
        <color rgb="FFC0C0C0"/>
      </right>
      <top style="dotted">
        <color indexed="22"/>
      </top>
      <bottom style="dotted">
        <color indexed="22"/>
      </bottom>
      <diagonal/>
    </border>
    <border>
      <left style="thick">
        <color rgb="FFC0C0C0"/>
      </left>
      <right style="thick">
        <color indexed="22"/>
      </right>
      <top style="thick">
        <color rgb="FFC0C0C0"/>
      </top>
      <bottom style="dotted">
        <color indexed="22"/>
      </bottom>
      <diagonal/>
    </border>
    <border>
      <left style="thick">
        <color indexed="22"/>
      </left>
      <right style="thick">
        <color indexed="22"/>
      </right>
      <top style="thick">
        <color indexed="22"/>
      </top>
      <bottom style="hair">
        <color indexed="22"/>
      </bottom>
      <diagonal/>
    </border>
    <border>
      <left style="thick">
        <color indexed="22"/>
      </left>
      <right style="thick">
        <color indexed="22"/>
      </right>
      <top style="hair">
        <color indexed="22"/>
      </top>
      <bottom style="hair">
        <color indexed="22"/>
      </bottom>
      <diagonal/>
    </border>
    <border>
      <left style="thin">
        <color indexed="23"/>
      </left>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right style="thin">
        <color indexed="23"/>
      </right>
      <top style="thin">
        <color indexed="23"/>
      </top>
      <bottom style="thin">
        <color indexed="23"/>
      </bottom>
      <diagonal/>
    </border>
    <border>
      <left/>
      <right/>
      <top style="hair">
        <color indexed="23"/>
      </top>
      <bottom style="hair">
        <color indexed="23"/>
      </bottom>
      <diagonal/>
    </border>
    <border>
      <left/>
      <right/>
      <top style="hair">
        <color indexed="55"/>
      </top>
      <bottom style="hair">
        <color indexed="55"/>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style="thin">
        <color indexed="64"/>
      </left>
      <right style="thin">
        <color indexed="64"/>
      </right>
      <top style="dashDotDot">
        <color theme="0" tint="-4.9989318521683403E-2"/>
      </top>
      <bottom/>
      <diagonal/>
    </border>
    <border>
      <left style="dotted">
        <color auto="1"/>
      </left>
      <right style="hair">
        <color auto="1"/>
      </right>
      <top style="dotted">
        <color auto="1"/>
      </top>
      <bottom/>
      <diagonal/>
    </border>
    <border>
      <left style="dotted">
        <color auto="1"/>
      </left>
      <right style="hair">
        <color auto="1"/>
      </right>
      <top/>
      <bottom style="dotted">
        <color auto="1"/>
      </bottom>
      <diagonal/>
    </border>
    <border>
      <left style="hair">
        <color auto="1"/>
      </left>
      <right/>
      <top/>
      <bottom style="hair">
        <color auto="1"/>
      </bottom>
      <diagonal/>
    </border>
    <border>
      <left/>
      <right/>
      <top/>
      <bottom style="hair">
        <color auto="1"/>
      </bottom>
      <diagonal/>
    </border>
    <border>
      <left/>
      <right/>
      <top style="thin">
        <color indexed="55"/>
      </top>
      <bottom style="thin">
        <color indexed="55"/>
      </bottom>
      <diagonal/>
    </border>
    <border>
      <left style="dotted">
        <color indexed="55"/>
      </left>
      <right/>
      <top style="hair">
        <color indexed="55"/>
      </top>
      <bottom style="hair">
        <color indexed="55"/>
      </bottom>
      <diagonal/>
    </border>
    <border>
      <left style="dotted">
        <color indexed="55"/>
      </left>
      <right/>
      <top style="hair">
        <color indexed="55"/>
      </top>
      <bottom style="thin">
        <color indexed="55"/>
      </bottom>
      <diagonal/>
    </border>
    <border>
      <left style="thin">
        <color indexed="64"/>
      </left>
      <right style="thin">
        <color indexed="64"/>
      </right>
      <top style="thin">
        <color indexed="64"/>
      </top>
      <bottom style="hair">
        <color indexed="63"/>
      </bottom>
      <diagonal/>
    </border>
    <border>
      <left style="thin">
        <color indexed="64"/>
      </left>
      <right/>
      <top style="hair">
        <color indexed="55"/>
      </top>
      <bottom style="hair">
        <color indexed="55"/>
      </bottom>
      <diagonal/>
    </border>
    <border>
      <left/>
      <right style="thin">
        <color indexed="64"/>
      </right>
      <top style="hair">
        <color indexed="55"/>
      </top>
      <bottom style="hair">
        <color indexed="55"/>
      </bottom>
      <diagonal/>
    </border>
    <border>
      <left style="thin">
        <color indexed="64"/>
      </left>
      <right style="thin">
        <color indexed="64"/>
      </right>
      <top style="hair">
        <color indexed="23"/>
      </top>
      <bottom style="hair">
        <color indexed="23"/>
      </bottom>
      <diagonal/>
    </border>
    <border>
      <left/>
      <right style="thin">
        <color indexed="64"/>
      </right>
      <top style="hair">
        <color indexed="23"/>
      </top>
      <bottom style="hair">
        <color indexed="23"/>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thin">
        <color indexed="64"/>
      </left>
      <right/>
      <top style="thin">
        <color indexed="64"/>
      </top>
      <bottom/>
      <diagonal/>
    </border>
    <border>
      <left style="thin">
        <color indexed="64"/>
      </left>
      <right/>
      <top style="hair">
        <color indexed="23"/>
      </top>
      <bottom style="hair">
        <color indexed="55"/>
      </bottom>
      <diagonal/>
    </border>
    <border>
      <left/>
      <right/>
      <top style="hair">
        <color indexed="23"/>
      </top>
      <bottom style="thin">
        <color indexed="64"/>
      </bottom>
      <diagonal/>
    </border>
    <border>
      <left style="thin">
        <color indexed="64"/>
      </left>
      <right style="thin">
        <color indexed="64"/>
      </right>
      <top/>
      <bottom style="dotted">
        <color theme="0" tint="-0.14996795556505021"/>
      </bottom>
      <diagonal/>
    </border>
    <border>
      <left style="thin">
        <color indexed="64"/>
      </left>
      <right style="thin">
        <color indexed="64"/>
      </right>
      <top style="dotted">
        <color indexed="22"/>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23"/>
      </top>
      <bottom style="thin">
        <color indexed="23"/>
      </bottom>
      <diagonal/>
    </border>
    <border>
      <left style="medium">
        <color auto="1"/>
      </left>
      <right style="medium">
        <color auto="1"/>
      </right>
      <top style="medium">
        <color auto="1"/>
      </top>
      <bottom style="medium">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237">
    <xf numFmtId="0" fontId="0" fillId="0" borderId="0"/>
    <xf numFmtId="2" fontId="30" fillId="0" borderId="1" applyNumberFormat="0" applyFont="0" applyFill="0" applyBorder="0" applyAlignment="0">
      <alignment horizontal="right"/>
    </xf>
    <xf numFmtId="44" fontId="26" fillId="0" borderId="0" applyFont="0" applyFill="0" applyBorder="0" applyAlignment="0" applyProtection="0"/>
    <xf numFmtId="164" fontId="32" fillId="0" borderId="0" applyFont="0" applyFill="0" applyBorder="0" applyAlignment="0" applyProtection="0"/>
    <xf numFmtId="164" fontId="34" fillId="0" borderId="0" applyFont="0" applyFill="0" applyBorder="0" applyAlignment="0" applyProtection="0"/>
    <xf numFmtId="164" fontId="36" fillId="0" borderId="0" applyFont="0" applyFill="0" applyBorder="0" applyAlignment="0" applyProtection="0"/>
    <xf numFmtId="164" fontId="37" fillId="0" borderId="0" applyFont="0" applyFill="0" applyBorder="0" applyAlignment="0" applyProtection="0"/>
    <xf numFmtId="164" fontId="38" fillId="0" borderId="0" applyFont="0" applyFill="0" applyBorder="0" applyAlignment="0" applyProtection="0"/>
    <xf numFmtId="164" fontId="29" fillId="0" borderId="0" applyFont="0" applyFill="0" applyBorder="0" applyAlignment="0" applyProtection="0"/>
    <xf numFmtId="164" fontId="39" fillId="0" borderId="0" applyFont="0" applyFill="0" applyBorder="0" applyAlignment="0" applyProtection="0"/>
    <xf numFmtId="164" fontId="41" fillId="0" borderId="0" applyFont="0" applyFill="0" applyBorder="0" applyAlignment="0" applyProtection="0"/>
    <xf numFmtId="164" fontId="42" fillId="0" borderId="0" applyFont="0" applyFill="0" applyBorder="0" applyAlignment="0" applyProtection="0"/>
    <xf numFmtId="164" fontId="43" fillId="0" borderId="0" applyFont="0" applyFill="0" applyBorder="0" applyAlignment="0" applyProtection="0"/>
    <xf numFmtId="164" fontId="33" fillId="0" borderId="0" applyFont="0" applyFill="0" applyBorder="0" applyAlignment="0" applyProtection="0"/>
    <xf numFmtId="164" fontId="29" fillId="0" borderId="0" applyFont="0" applyFill="0" applyBorder="0" applyAlignment="0" applyProtection="0"/>
    <xf numFmtId="0" fontId="40" fillId="0" borderId="0"/>
    <xf numFmtId="9" fontId="26" fillId="0" borderId="0" applyFont="0" applyFill="0" applyBorder="0" applyAlignment="0" applyProtection="0"/>
    <xf numFmtId="9" fontId="32" fillId="0" borderId="0" applyFont="0" applyFill="0" applyBorder="0" applyAlignment="0" applyProtection="0"/>
    <xf numFmtId="9" fontId="33" fillId="0" borderId="0" applyFont="0" applyFill="0" applyBorder="0" applyAlignment="0" applyProtection="0"/>
    <xf numFmtId="9" fontId="29" fillId="0" borderId="0" applyFont="0" applyFill="0" applyBorder="0" applyAlignment="0" applyProtection="0"/>
    <xf numFmtId="9" fontId="33" fillId="0" borderId="0" applyFont="0" applyFill="0" applyBorder="0" applyAlignment="0" applyProtection="0"/>
    <xf numFmtId="9" fontId="34" fillId="0" borderId="0" applyFont="0" applyFill="0" applyBorder="0" applyAlignment="0" applyProtection="0"/>
    <xf numFmtId="9" fontId="36" fillId="0" borderId="0" applyFont="0" applyFill="0" applyBorder="0" applyAlignment="0" applyProtection="0"/>
    <xf numFmtId="9" fontId="37" fillId="0" borderId="0" applyFont="0" applyFill="0" applyBorder="0" applyAlignment="0" applyProtection="0"/>
    <xf numFmtId="9" fontId="38"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39" fillId="0" borderId="0" applyFont="0" applyFill="0" applyBorder="0" applyAlignment="0" applyProtection="0"/>
    <xf numFmtId="9" fontId="41" fillId="0" borderId="0" applyFont="0" applyFill="0" applyBorder="0" applyAlignment="0" applyProtection="0"/>
    <xf numFmtId="9" fontId="42" fillId="0" borderId="0" applyFont="0" applyFill="0" applyBorder="0" applyAlignment="0" applyProtection="0"/>
    <xf numFmtId="9" fontId="43" fillId="0" borderId="0" applyFont="0" applyFill="0" applyBorder="0" applyAlignment="0" applyProtection="0"/>
    <xf numFmtId="4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0" fontId="35"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44" fillId="0" borderId="0"/>
    <xf numFmtId="0" fontId="25" fillId="0" borderId="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4" fillId="0" borderId="0"/>
    <xf numFmtId="164" fontId="26"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44" fontId="23" fillId="0" borderId="0" applyFont="0" applyFill="0" applyBorder="0" applyAlignment="0" applyProtection="0"/>
    <xf numFmtId="164" fontId="26" fillId="0" borderId="0" applyFont="0" applyFill="0" applyBorder="0" applyAlignment="0" applyProtection="0"/>
    <xf numFmtId="0" fontId="26" fillId="0" borderId="0"/>
    <xf numFmtId="0" fontId="26" fillId="0" borderId="0"/>
    <xf numFmtId="0" fontId="26" fillId="0" borderId="0"/>
    <xf numFmtId="9" fontId="23" fillId="0" borderId="0" applyFont="0" applyFill="0" applyBorder="0" applyAlignment="0" applyProtection="0"/>
    <xf numFmtId="9" fontId="26" fillId="0" borderId="0" applyFont="0" applyFill="0" applyBorder="0" applyAlignment="0" applyProtection="0"/>
    <xf numFmtId="44" fontId="103" fillId="0" borderId="0" applyFont="0" applyFill="0" applyBorder="0" applyAlignment="0" applyProtection="0"/>
    <xf numFmtId="2" fontId="30" fillId="0" borderId="73" applyNumberFormat="0" applyFont="0" applyFill="0" applyBorder="0" applyAlignment="0">
      <alignment horizontal="right"/>
    </xf>
    <xf numFmtId="44" fontId="26" fillId="0" borderId="0" applyFont="0" applyFill="0" applyBorder="0" applyAlignment="0" applyProtection="0"/>
    <xf numFmtId="44" fontId="26" fillId="0" borderId="0" applyFont="0" applyFill="0" applyBorder="0" applyAlignment="0" applyProtection="0"/>
    <xf numFmtId="0" fontId="22" fillId="0" borderId="0"/>
    <xf numFmtId="0" fontId="112" fillId="0" borderId="0" applyNumberFormat="0" applyFill="0" applyBorder="0" applyAlignment="0" applyProtection="0"/>
    <xf numFmtId="0" fontId="113" fillId="0" borderId="127" applyNumberFormat="0" applyFill="0" applyAlignment="0" applyProtection="0"/>
    <xf numFmtId="0" fontId="114" fillId="0" borderId="128" applyNumberFormat="0" applyFill="0" applyAlignment="0" applyProtection="0"/>
    <xf numFmtId="0" fontId="115" fillId="0" borderId="129" applyNumberFormat="0" applyFill="0" applyAlignment="0" applyProtection="0"/>
    <xf numFmtId="0" fontId="115" fillId="0" borderId="0" applyNumberFormat="0" applyFill="0" applyBorder="0" applyAlignment="0" applyProtection="0"/>
    <xf numFmtId="0" fontId="116" fillId="21" borderId="0" applyNumberFormat="0" applyBorder="0" applyAlignment="0" applyProtection="0"/>
    <xf numFmtId="0" fontId="117" fillId="22" borderId="0" applyNumberFormat="0" applyBorder="0" applyAlignment="0" applyProtection="0"/>
    <xf numFmtId="0" fontId="118" fillId="23" borderId="0" applyNumberFormat="0" applyBorder="0" applyAlignment="0" applyProtection="0"/>
    <xf numFmtId="0" fontId="119" fillId="24" borderId="130" applyNumberFormat="0" applyAlignment="0" applyProtection="0"/>
    <xf numFmtId="0" fontId="120" fillId="25" borderId="131" applyNumberFormat="0" applyAlignment="0" applyProtection="0"/>
    <xf numFmtId="0" fontId="121" fillId="25" borderId="130" applyNumberFormat="0" applyAlignment="0" applyProtection="0"/>
    <xf numFmtId="0" fontId="122" fillId="0" borderId="132" applyNumberFormat="0" applyFill="0" applyAlignment="0" applyProtection="0"/>
    <xf numFmtId="0" fontId="104" fillId="26" borderId="133" applyNumberFormat="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45" fillId="0" borderId="135" applyNumberFormat="0" applyFill="0" applyAlignment="0" applyProtection="0"/>
    <xf numFmtId="0" fontId="49"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1" borderId="0" applyNumberFormat="0" applyBorder="0" applyAlignment="0" applyProtection="0"/>
    <xf numFmtId="0" fontId="49" fillId="32"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5" borderId="0" applyNumberFormat="0" applyBorder="0" applyAlignment="0" applyProtection="0"/>
    <xf numFmtId="0" fontId="49" fillId="36" borderId="0" applyNumberFormat="0" applyBorder="0" applyAlignment="0" applyProtection="0"/>
    <xf numFmtId="0" fontId="2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9"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21" fillId="43" borderId="0" applyNumberFormat="0" applyBorder="0" applyAlignment="0" applyProtection="0"/>
    <xf numFmtId="0" fontId="49" fillId="44" borderId="0" applyNumberFormat="0" applyBorder="0" applyAlignment="0" applyProtection="0"/>
    <xf numFmtId="0" fontId="21" fillId="45" borderId="0" applyNumberFormat="0" applyBorder="0" applyAlignment="0" applyProtection="0"/>
    <xf numFmtId="0" fontId="21" fillId="46" borderId="0" applyNumberFormat="0" applyBorder="0" applyAlignment="0" applyProtection="0"/>
    <xf numFmtId="0" fontId="21" fillId="47" borderId="0" applyNumberFormat="0" applyBorder="0" applyAlignment="0" applyProtection="0"/>
    <xf numFmtId="0" fontId="49"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44" fontId="26" fillId="0" borderId="0" applyFont="0" applyFill="0" applyBorder="0" applyAlignment="0" applyProtection="0"/>
    <xf numFmtId="44" fontId="26" fillId="0" borderId="0" applyFont="0" applyFill="0" applyBorder="0" applyAlignment="0" applyProtection="0"/>
    <xf numFmtId="0" fontId="21" fillId="0" borderId="0"/>
    <xf numFmtId="0" fontId="21" fillId="0" borderId="0"/>
    <xf numFmtId="0" fontId="21" fillId="27" borderId="134" applyNumberFormat="0" applyFont="0" applyAlignment="0" applyProtection="0"/>
    <xf numFmtId="44" fontId="26" fillId="0" borderId="0" applyFont="0" applyFill="0" applyBorder="0" applyAlignment="0" applyProtection="0"/>
    <xf numFmtId="44" fontId="26" fillId="0" borderId="0" applyFont="0" applyFill="0" applyBorder="0" applyAlignment="0" applyProtection="0"/>
    <xf numFmtId="0" fontId="20" fillId="0" borderId="0"/>
    <xf numFmtId="0" fontId="20"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3" borderId="0" applyNumberFormat="0" applyBorder="0" applyAlignment="0" applyProtection="0"/>
    <xf numFmtId="0" fontId="20" fillId="34" borderId="0" applyNumberFormat="0" applyBorder="0" applyAlignment="0" applyProtection="0"/>
    <xf numFmtId="0" fontId="20" fillId="35"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0" borderId="0"/>
    <xf numFmtId="0" fontId="20" fillId="27" borderId="134" applyNumberFormat="0" applyFont="0" applyAlignment="0" applyProtection="0"/>
    <xf numFmtId="0" fontId="125" fillId="0" borderId="0" applyNumberFormat="0" applyFill="0" applyBorder="0" applyAlignment="0" applyProtection="0"/>
    <xf numFmtId="0" fontId="126" fillId="0" borderId="0"/>
    <xf numFmtId="44" fontId="26" fillId="0" borderId="0" applyFont="0" applyFill="0" applyBorder="0" applyAlignment="0" applyProtection="0"/>
    <xf numFmtId="44" fontId="26" fillId="0" borderId="0" applyFont="0" applyFill="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5" borderId="0" applyNumberFormat="0" applyBorder="0" applyAlignment="0" applyProtection="0"/>
    <xf numFmtId="0" fontId="19" fillId="46" borderId="0" applyNumberFormat="0" applyBorder="0" applyAlignment="0" applyProtection="0"/>
    <xf numFmtId="0" fontId="19" fillId="47" borderId="0" applyNumberFormat="0" applyBorder="0" applyAlignment="0" applyProtection="0"/>
    <xf numFmtId="0" fontId="19" fillId="49" borderId="0" applyNumberFormat="0" applyBorder="0" applyAlignment="0" applyProtection="0"/>
    <xf numFmtId="0" fontId="19" fillId="50" borderId="0" applyNumberFormat="0" applyBorder="0" applyAlignment="0" applyProtection="0"/>
    <xf numFmtId="0" fontId="19" fillId="51" borderId="0" applyNumberFormat="0" applyBorder="0" applyAlignment="0" applyProtection="0"/>
    <xf numFmtId="0" fontId="19" fillId="0" borderId="0"/>
    <xf numFmtId="0" fontId="19" fillId="27" borderId="134" applyNumberFormat="0" applyFont="0" applyAlignment="0" applyProtection="0"/>
    <xf numFmtId="44" fontId="26" fillId="0" borderId="0" applyFont="0" applyFill="0" applyBorder="0" applyAlignment="0" applyProtection="0"/>
    <xf numFmtId="0" fontId="18" fillId="0" borderId="0"/>
    <xf numFmtId="0" fontId="26" fillId="0" borderId="0">
      <alignment horizontal="left" wrapText="1"/>
    </xf>
    <xf numFmtId="0" fontId="17" fillId="0" borderId="0"/>
    <xf numFmtId="0" fontId="17" fillId="0" borderId="0"/>
    <xf numFmtId="0" fontId="15" fillId="0" borderId="0"/>
    <xf numFmtId="0" fontId="26" fillId="0" borderId="0"/>
    <xf numFmtId="167" fontId="26" fillId="0" borderId="0" applyFont="0" applyFill="0" applyBorder="0" applyAlignment="0" applyProtection="0"/>
    <xf numFmtId="164" fontId="15" fillId="0" borderId="0" applyFont="0" applyFill="0" applyBorder="0" applyAlignment="0" applyProtection="0"/>
    <xf numFmtId="0" fontId="26" fillId="0" borderId="0">
      <alignment horizontal="left" wrapText="1"/>
    </xf>
    <xf numFmtId="164" fontId="26" fillId="0" borderId="0" applyFont="0" applyFill="0" applyBorder="0" applyAlignment="0" applyProtection="0"/>
    <xf numFmtId="0" fontId="14" fillId="0" borderId="0"/>
    <xf numFmtId="0" fontId="26" fillId="0" borderId="0"/>
    <xf numFmtId="0" fontId="26" fillId="0" borderId="0"/>
    <xf numFmtId="0" fontId="14" fillId="0" borderId="0"/>
    <xf numFmtId="0" fontId="26" fillId="0" borderId="0"/>
    <xf numFmtId="174" fontId="14" fillId="0" borderId="0" applyFon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26"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0" fontId="26" fillId="0" borderId="0"/>
    <xf numFmtId="0" fontId="26" fillId="0" borderId="0"/>
    <xf numFmtId="0" fontId="167" fillId="0" borderId="0"/>
  </cellStyleXfs>
  <cellXfs count="1263">
    <xf numFmtId="0" fontId="0" fillId="0" borderId="0" xfId="0"/>
    <xf numFmtId="0" fontId="0" fillId="0" borderId="0" xfId="0" applyAlignment="1">
      <alignment horizontal="center"/>
    </xf>
    <xf numFmtId="0" fontId="28" fillId="0" borderId="0" xfId="0" applyFont="1"/>
    <xf numFmtId="164" fontId="0" fillId="0" borderId="0" xfId="0" applyNumberFormat="1"/>
    <xf numFmtId="0" fontId="26" fillId="0" borderId="0" xfId="0" applyFont="1"/>
    <xf numFmtId="4" fontId="0" fillId="0" borderId="0" xfId="0" applyNumberFormat="1"/>
    <xf numFmtId="0" fontId="0" fillId="0" borderId="24" xfId="0" applyBorder="1" applyAlignment="1">
      <alignment horizontal="center"/>
    </xf>
    <xf numFmtId="0" fontId="0" fillId="0" borderId="23" xfId="0" applyBorder="1" applyAlignment="1">
      <alignment horizontal="center"/>
    </xf>
    <xf numFmtId="0" fontId="23" fillId="0" borderId="0" xfId="97"/>
    <xf numFmtId="0" fontId="52" fillId="0" borderId="0" xfId="97" applyFont="1"/>
    <xf numFmtId="14" fontId="23" fillId="3" borderId="34" xfId="97" applyNumberFormat="1" applyFill="1" applyBorder="1" applyAlignment="1">
      <alignment horizontal="center" vertical="center"/>
    </xf>
    <xf numFmtId="0" fontId="23" fillId="5" borderId="0" xfId="97" applyFill="1"/>
    <xf numFmtId="0" fontId="53" fillId="5" borderId="0" xfId="97" applyFont="1" applyFill="1" applyAlignment="1">
      <alignment horizontal="right" vertical="center"/>
    </xf>
    <xf numFmtId="0" fontId="54" fillId="5" borderId="0" xfId="97" applyFont="1" applyFill="1"/>
    <xf numFmtId="0" fontId="54" fillId="0" borderId="0" xfId="97" applyFont="1"/>
    <xf numFmtId="0" fontId="55" fillId="0" borderId="0" xfId="97" applyFont="1" applyAlignment="1">
      <alignment horizontal="right"/>
    </xf>
    <xf numFmtId="14" fontId="53" fillId="0" borderId="0" xfId="97" applyNumberFormat="1" applyFont="1" applyAlignment="1">
      <alignment horizontal="right" vertical="center"/>
    </xf>
    <xf numFmtId="0" fontId="56" fillId="0" borderId="0" xfId="97" applyFont="1" applyAlignment="1">
      <alignment horizontal="left" indent="1"/>
    </xf>
    <xf numFmtId="0" fontId="56" fillId="0" borderId="0" xfId="97" applyFont="1"/>
    <xf numFmtId="0" fontId="57" fillId="0" borderId="0" xfId="97" applyFont="1" applyAlignment="1">
      <alignment vertical="center"/>
    </xf>
    <xf numFmtId="0" fontId="60" fillId="0" borderId="0" xfId="97" applyFont="1" applyAlignment="1">
      <alignment vertical="center"/>
    </xf>
    <xf numFmtId="0" fontId="61" fillId="0" borderId="40" xfId="97" applyFont="1" applyBorder="1" applyAlignment="1">
      <alignment horizontal="left" vertical="center"/>
    </xf>
    <xf numFmtId="0" fontId="61" fillId="0" borderId="41" xfId="97" applyFont="1" applyBorder="1" applyAlignment="1">
      <alignment horizontal="left" vertical="center"/>
    </xf>
    <xf numFmtId="0" fontId="62" fillId="0" borderId="0" xfId="97" applyFont="1"/>
    <xf numFmtId="0" fontId="30" fillId="0" borderId="0" xfId="97" applyFont="1" applyAlignment="1">
      <alignment horizontal="center" vertical="center"/>
    </xf>
    <xf numFmtId="0" fontId="45" fillId="0" borderId="33" xfId="97" applyFont="1" applyBorder="1" applyAlignment="1">
      <alignment horizontal="left" vertical="center" wrapText="1"/>
    </xf>
    <xf numFmtId="4" fontId="26" fillId="0" borderId="0" xfId="102" applyNumberFormat="1"/>
    <xf numFmtId="0" fontId="26" fillId="5" borderId="0" xfId="99" applyFont="1" applyFill="1"/>
    <xf numFmtId="4" fontId="63" fillId="0" borderId="0" xfId="102" applyNumberFormat="1" applyFont="1"/>
    <xf numFmtId="4" fontId="64" fillId="0" borderId="0" xfId="102" applyNumberFormat="1" applyFont="1"/>
    <xf numFmtId="4" fontId="65" fillId="0" borderId="0" xfId="102" applyNumberFormat="1" applyFont="1" applyAlignment="1">
      <alignment horizontal="center" vertical="center"/>
    </xf>
    <xf numFmtId="0" fontId="30" fillId="0" borderId="0" xfId="102" applyFont="1" applyAlignment="1">
      <alignment horizontal="center" vertical="center"/>
    </xf>
    <xf numFmtId="14" fontId="26" fillId="0" borderId="0" xfId="102" applyNumberFormat="1"/>
    <xf numFmtId="14" fontId="26" fillId="0" borderId="0" xfId="102" applyNumberFormat="1" applyAlignment="1">
      <alignment horizontal="center"/>
    </xf>
    <xf numFmtId="4" fontId="28" fillId="0" borderId="0" xfId="102" applyNumberFormat="1" applyFont="1" applyAlignment="1">
      <alignment horizontal="right"/>
    </xf>
    <xf numFmtId="3" fontId="26" fillId="0" borderId="0" xfId="102" applyNumberFormat="1"/>
    <xf numFmtId="4" fontId="67" fillId="0" borderId="0" xfId="102" applyNumberFormat="1" applyFont="1"/>
    <xf numFmtId="170" fontId="68" fillId="5" borderId="2" xfId="102" applyNumberFormat="1" applyFont="1" applyFill="1" applyBorder="1" applyAlignment="1">
      <alignment horizontal="center" vertical="center"/>
    </xf>
    <xf numFmtId="4" fontId="26" fillId="0" borderId="0" xfId="102" applyNumberFormat="1" applyAlignment="1">
      <alignment vertical="center"/>
    </xf>
    <xf numFmtId="4" fontId="69" fillId="0" borderId="0" xfId="102" applyNumberFormat="1" applyFont="1" applyAlignment="1">
      <alignment vertical="center"/>
    </xf>
    <xf numFmtId="4" fontId="70" fillId="0" borderId="43" xfId="102" applyNumberFormat="1" applyFont="1" applyBorder="1" applyAlignment="1">
      <alignment horizontal="left" vertical="center"/>
    </xf>
    <xf numFmtId="4" fontId="31" fillId="0" borderId="0" xfId="102" applyNumberFormat="1" applyFont="1" applyAlignment="1">
      <alignment horizontal="center" vertical="center"/>
    </xf>
    <xf numFmtId="164" fontId="31" fillId="0" borderId="0" xfId="98" applyFont="1" applyAlignment="1">
      <alignment horizontal="center" vertical="center"/>
    </xf>
    <xf numFmtId="164" fontId="71" fillId="0" borderId="0" xfId="98" applyFont="1" applyAlignment="1">
      <alignment horizontal="center" vertical="center"/>
    </xf>
    <xf numFmtId="4" fontId="70" fillId="0" borderId="30" xfId="102" applyNumberFormat="1" applyFont="1" applyBorder="1" applyAlignment="1">
      <alignment horizontal="left" vertical="center" indent="3"/>
    </xf>
    <xf numFmtId="4" fontId="72" fillId="0" borderId="0" xfId="102" applyNumberFormat="1" applyFont="1" applyAlignment="1">
      <alignment horizontal="center"/>
    </xf>
    <xf numFmtId="4" fontId="26" fillId="0" borderId="0" xfId="102" applyNumberFormat="1" applyAlignment="1">
      <alignment horizontal="center"/>
    </xf>
    <xf numFmtId="164" fontId="27" fillId="0" borderId="0" xfId="98" applyFont="1" applyAlignment="1">
      <alignment horizontal="center"/>
    </xf>
    <xf numFmtId="164" fontId="27" fillId="0" borderId="0" xfId="98" applyFont="1" applyBorder="1" applyAlignment="1">
      <alignment horizontal="center"/>
    </xf>
    <xf numFmtId="164" fontId="71" fillId="0" borderId="0" xfId="98" applyFont="1" applyAlignment="1">
      <alignment horizontal="center"/>
    </xf>
    <xf numFmtId="3" fontId="73" fillId="0" borderId="0" xfId="102" applyNumberFormat="1" applyFont="1" applyAlignment="1">
      <alignment horizontal="center"/>
    </xf>
    <xf numFmtId="164" fontId="26" fillId="0" borderId="0" xfId="98" applyFont="1"/>
    <xf numFmtId="4" fontId="0" fillId="0" borderId="0" xfId="102" applyNumberFormat="1" applyFont="1" applyAlignment="1">
      <alignment vertical="center"/>
    </xf>
    <xf numFmtId="164" fontId="70" fillId="0" borderId="0" xfId="98" applyFont="1" applyAlignment="1">
      <alignment horizontal="center" vertical="center"/>
    </xf>
    <xf numFmtId="164" fontId="28" fillId="0" borderId="0" xfId="98" applyFont="1" applyAlignment="1">
      <alignment horizontal="center" vertical="center"/>
    </xf>
    <xf numFmtId="4" fontId="47" fillId="0" borderId="0" xfId="102" applyNumberFormat="1" applyFont="1" applyAlignment="1">
      <alignment horizontal="left"/>
    </xf>
    <xf numFmtId="4" fontId="0" fillId="0" borderId="0" xfId="102" applyNumberFormat="1" applyFont="1"/>
    <xf numFmtId="164" fontId="0" fillId="0" borderId="0" xfId="98" applyFont="1"/>
    <xf numFmtId="4" fontId="74" fillId="0" borderId="0" xfId="104" applyNumberFormat="1" applyFont="1"/>
    <xf numFmtId="4" fontId="28" fillId="0" borderId="0" xfId="104" applyNumberFormat="1" applyFont="1"/>
    <xf numFmtId="164" fontId="31" fillId="0" borderId="0" xfId="98" applyFont="1" applyAlignment="1">
      <alignment horizontal="center"/>
    </xf>
    <xf numFmtId="164" fontId="75" fillId="0" borderId="0" xfId="98" applyFont="1" applyAlignment="1">
      <alignment horizontal="center"/>
    </xf>
    <xf numFmtId="4" fontId="0" fillId="0" borderId="0" xfId="104" applyNumberFormat="1" applyFont="1"/>
    <xf numFmtId="4" fontId="70" fillId="0" borderId="30" xfId="102" applyNumberFormat="1" applyFont="1" applyBorder="1" applyAlignment="1">
      <alignment horizontal="left" vertical="center"/>
    </xf>
    <xf numFmtId="4" fontId="70" fillId="0" borderId="44" xfId="102" applyNumberFormat="1" applyFont="1" applyBorder="1" applyAlignment="1">
      <alignment horizontal="left" vertical="center"/>
    </xf>
    <xf numFmtId="164" fontId="31" fillId="3" borderId="44" xfId="98" applyFont="1" applyFill="1" applyBorder="1" applyAlignment="1">
      <alignment horizontal="center"/>
    </xf>
    <xf numFmtId="4" fontId="0" fillId="0" borderId="0" xfId="102" applyNumberFormat="1" applyFont="1" applyAlignment="1">
      <alignment horizontal="right"/>
    </xf>
    <xf numFmtId="164" fontId="76" fillId="0" borderId="0" xfId="98" applyFont="1"/>
    <xf numFmtId="164" fontId="76" fillId="0" borderId="0" xfId="98" applyFont="1" applyAlignment="1">
      <alignment horizontal="center"/>
    </xf>
    <xf numFmtId="164" fontId="76" fillId="0" borderId="0" xfId="98" applyFont="1" applyFill="1" applyAlignment="1">
      <alignment horizontal="center"/>
    </xf>
    <xf numFmtId="164" fontId="77" fillId="0" borderId="0" xfId="98" applyFont="1" applyAlignment="1">
      <alignment horizontal="center" vertical="center"/>
    </xf>
    <xf numFmtId="164" fontId="76" fillId="0" borderId="0" xfId="98" applyFont="1" applyAlignment="1">
      <alignment vertical="center"/>
    </xf>
    <xf numFmtId="4" fontId="47" fillId="0" borderId="0" xfId="102" applyNumberFormat="1" applyFont="1"/>
    <xf numFmtId="164" fontId="46" fillId="0" borderId="0" xfId="98" applyFont="1" applyAlignment="1">
      <alignment horizontal="center"/>
    </xf>
    <xf numFmtId="4" fontId="70" fillId="0" borderId="0" xfId="102" applyNumberFormat="1" applyFont="1" applyAlignment="1">
      <alignment horizontal="left" vertical="center" indent="3"/>
    </xf>
    <xf numFmtId="4" fontId="70" fillId="0" borderId="0" xfId="102" applyNumberFormat="1" applyFont="1" applyAlignment="1">
      <alignment horizontal="left" vertical="center"/>
    </xf>
    <xf numFmtId="164" fontId="78" fillId="0" borderId="0" xfId="98" applyFont="1" applyAlignment="1">
      <alignment horizontal="center" vertical="center"/>
    </xf>
    <xf numFmtId="4" fontId="79" fillId="0" borderId="0" xfId="102" applyNumberFormat="1" applyFont="1" applyAlignment="1">
      <alignment horizontal="center" vertical="center"/>
    </xf>
    <xf numFmtId="4" fontId="0" fillId="0" borderId="0" xfId="102" applyNumberFormat="1" applyFont="1" applyAlignment="1">
      <alignment horizontal="center"/>
    </xf>
    <xf numFmtId="10" fontId="26" fillId="0" borderId="0" xfId="106" applyNumberFormat="1" applyFill="1" applyAlignment="1">
      <alignment horizontal="center"/>
    </xf>
    <xf numFmtId="164" fontId="31" fillId="3" borderId="30" xfId="106" applyNumberFormat="1" applyFont="1" applyFill="1" applyBorder="1" applyAlignment="1">
      <alignment horizontal="center"/>
    </xf>
    <xf numFmtId="10" fontId="73" fillId="0" borderId="0" xfId="106" applyNumberFormat="1" applyFont="1" applyFill="1" applyAlignment="1">
      <alignment horizontal="center"/>
    </xf>
    <xf numFmtId="10" fontId="26" fillId="0" borderId="0" xfId="106" applyNumberFormat="1" applyFont="1" applyFill="1" applyAlignment="1">
      <alignment horizontal="center"/>
    </xf>
    <xf numFmtId="164" fontId="46" fillId="3" borderId="44" xfId="102" applyNumberFormat="1" applyFont="1" applyFill="1" applyBorder="1"/>
    <xf numFmtId="4" fontId="73" fillId="0" borderId="0" xfId="102" applyNumberFormat="1" applyFont="1"/>
    <xf numFmtId="168" fontId="26" fillId="0" borderId="0" xfId="106" applyNumberFormat="1" applyFont="1"/>
    <xf numFmtId="10" fontId="26" fillId="0" borderId="0" xfId="106" applyNumberFormat="1" applyFont="1"/>
    <xf numFmtId="14" fontId="80" fillId="0" borderId="0" xfId="102" applyNumberFormat="1" applyFont="1"/>
    <xf numFmtId="168" fontId="80" fillId="0" borderId="0" xfId="106" applyNumberFormat="1" applyFont="1"/>
    <xf numFmtId="10" fontId="80" fillId="0" borderId="0" xfId="106" applyNumberFormat="1" applyFont="1"/>
    <xf numFmtId="4" fontId="80" fillId="0" borderId="0" xfId="102" applyNumberFormat="1" applyFont="1"/>
    <xf numFmtId="14" fontId="80" fillId="0" borderId="0" xfId="102" applyNumberFormat="1" applyFont="1" applyAlignment="1">
      <alignment horizontal="center" vertical="center"/>
    </xf>
    <xf numFmtId="168" fontId="80" fillId="0" borderId="0" xfId="106" applyNumberFormat="1" applyFont="1" applyAlignment="1">
      <alignment horizontal="center" vertical="center"/>
    </xf>
    <xf numFmtId="10" fontId="80" fillId="0" borderId="0" xfId="106" applyNumberFormat="1" applyFont="1" applyAlignment="1">
      <alignment horizontal="center" vertical="center"/>
    </xf>
    <xf numFmtId="4" fontId="80" fillId="0" borderId="0" xfId="102" applyNumberFormat="1" applyFont="1" applyAlignment="1">
      <alignment horizontal="center" vertical="center"/>
    </xf>
    <xf numFmtId="4" fontId="0" fillId="0" borderId="0" xfId="102" applyNumberFormat="1" applyFont="1" applyAlignment="1">
      <alignment horizontal="center" vertical="center"/>
    </xf>
    <xf numFmtId="168" fontId="80" fillId="0" borderId="0" xfId="102" applyNumberFormat="1" applyFont="1" applyAlignment="1">
      <alignment horizontal="center" vertical="center"/>
    </xf>
    <xf numFmtId="4" fontId="72" fillId="0" borderId="0" xfId="102" applyNumberFormat="1" applyFont="1"/>
    <xf numFmtId="4" fontId="26" fillId="2" borderId="0" xfId="102" applyNumberFormat="1" applyFill="1"/>
    <xf numFmtId="14" fontId="26" fillId="2" borderId="0" xfId="102" applyNumberFormat="1" applyFill="1"/>
    <xf numFmtId="4" fontId="26" fillId="0" borderId="0" xfId="102" applyNumberFormat="1" applyAlignment="1">
      <alignment horizontal="center" vertical="center"/>
    </xf>
    <xf numFmtId="14" fontId="28" fillId="0" borderId="33" xfId="103" applyNumberFormat="1" applyFont="1" applyBorder="1" applyAlignment="1">
      <alignment vertical="center"/>
    </xf>
    <xf numFmtId="4" fontId="70" fillId="0" borderId="47" xfId="102" applyNumberFormat="1" applyFont="1" applyBorder="1" applyAlignment="1">
      <alignment horizontal="left" vertical="center"/>
    </xf>
    <xf numFmtId="164" fontId="31" fillId="3" borderId="47" xfId="106" applyNumberFormat="1" applyFont="1" applyFill="1" applyBorder="1" applyAlignment="1">
      <alignment horizontal="center"/>
    </xf>
    <xf numFmtId="0" fontId="28" fillId="0" borderId="0" xfId="103" applyFont="1" applyAlignment="1">
      <alignment vertical="center"/>
    </xf>
    <xf numFmtId="0" fontId="23" fillId="0" borderId="0" xfId="99"/>
    <xf numFmtId="0" fontId="26" fillId="5" borderId="0" xfId="103" applyFill="1"/>
    <xf numFmtId="0" fontId="26" fillId="5" borderId="0" xfId="103" applyFill="1" applyAlignment="1">
      <alignment horizontal="left" vertical="center" indent="1"/>
    </xf>
    <xf numFmtId="14" fontId="28" fillId="5" borderId="0" xfId="103" applyNumberFormat="1" applyFont="1" applyFill="1" applyAlignment="1">
      <alignment horizontal="center" vertical="center"/>
    </xf>
    <xf numFmtId="4" fontId="53" fillId="0" borderId="0" xfId="103" applyNumberFormat="1" applyFont="1"/>
    <xf numFmtId="0" fontId="26" fillId="0" borderId="0" xfId="103" applyAlignment="1">
      <alignment vertical="center"/>
    </xf>
    <xf numFmtId="0" fontId="83" fillId="4" borderId="2" xfId="103" applyFont="1" applyFill="1" applyBorder="1" applyAlignment="1">
      <alignment horizontal="center" vertical="center"/>
    </xf>
    <xf numFmtId="0" fontId="28" fillId="0" borderId="0" xfId="103" applyFont="1"/>
    <xf numFmtId="49" fontId="74" fillId="13" borderId="16" xfId="103" applyNumberFormat="1" applyFont="1" applyFill="1" applyBorder="1" applyAlignment="1">
      <alignment horizontal="center" vertical="center"/>
    </xf>
    <xf numFmtId="0" fontId="85" fillId="11" borderId="48" xfId="103" applyFont="1" applyFill="1" applyBorder="1" applyAlignment="1">
      <alignment horizontal="center" vertical="center"/>
    </xf>
    <xf numFmtId="49" fontId="74" fillId="11" borderId="48" xfId="103" applyNumberFormat="1" applyFont="1" applyFill="1" applyBorder="1" applyAlignment="1">
      <alignment horizontal="center" vertical="center"/>
    </xf>
    <xf numFmtId="0" fontId="88" fillId="11" borderId="48" xfId="103" applyFont="1" applyFill="1" applyBorder="1" applyAlignment="1">
      <alignment horizontal="center" vertical="center"/>
    </xf>
    <xf numFmtId="0" fontId="28" fillId="0" borderId="0" xfId="0" applyFont="1" applyAlignment="1">
      <alignment vertical="center"/>
    </xf>
    <xf numFmtId="0" fontId="26" fillId="5" borderId="0" xfId="0" applyFont="1" applyFill="1"/>
    <xf numFmtId="0" fontId="101" fillId="5" borderId="0" xfId="0" applyFont="1" applyFill="1"/>
    <xf numFmtId="4" fontId="100" fillId="5" borderId="0" xfId="0" applyNumberFormat="1" applyFont="1" applyFill="1" applyAlignment="1">
      <alignment vertical="center"/>
    </xf>
    <xf numFmtId="0" fontId="48" fillId="0" borderId="0" xfId="0" applyFont="1" applyAlignment="1">
      <alignment vertical="center"/>
    </xf>
    <xf numFmtId="0" fontId="48" fillId="0" borderId="83" xfId="0" applyFont="1" applyBorder="1"/>
    <xf numFmtId="0" fontId="48" fillId="0" borderId="85" xfId="0" applyFont="1" applyBorder="1" applyAlignment="1">
      <alignment vertical="center"/>
    </xf>
    <xf numFmtId="0" fontId="102" fillId="0" borderId="0" xfId="0" applyFont="1" applyAlignment="1">
      <alignment vertical="center"/>
    </xf>
    <xf numFmtId="0" fontId="30" fillId="0" borderId="0" xfId="0" applyFont="1" applyAlignment="1">
      <alignment vertical="center"/>
    </xf>
    <xf numFmtId="0" fontId="102" fillId="0" borderId="90" xfId="0" applyFont="1" applyBorder="1" applyAlignment="1">
      <alignment horizontal="left" vertical="center"/>
    </xf>
    <xf numFmtId="0" fontId="0" fillId="0" borderId="91" xfId="0" applyBorder="1"/>
    <xf numFmtId="0" fontId="102" fillId="0" borderId="18" xfId="0" applyFont="1" applyBorder="1" applyAlignment="1">
      <alignment vertical="center"/>
    </xf>
    <xf numFmtId="0" fontId="56" fillId="5" borderId="73" xfId="0" applyFont="1" applyFill="1" applyBorder="1" applyAlignment="1">
      <alignment vertical="center"/>
    </xf>
    <xf numFmtId="0" fontId="30" fillId="5" borderId="74" xfId="0" applyFont="1" applyFill="1" applyBorder="1" applyAlignment="1">
      <alignment vertical="center"/>
    </xf>
    <xf numFmtId="0" fontId="48" fillId="0" borderId="96" xfId="0" applyFont="1" applyBorder="1" applyAlignment="1">
      <alignment vertical="center"/>
    </xf>
    <xf numFmtId="0" fontId="102" fillId="0" borderId="97" xfId="0" applyFont="1" applyBorder="1" applyAlignment="1">
      <alignment horizontal="left" vertical="center"/>
    </xf>
    <xf numFmtId="0" fontId="48" fillId="0" borderId="98" xfId="0" applyFont="1" applyBorder="1" applyAlignment="1">
      <alignment vertical="center"/>
    </xf>
    <xf numFmtId="167" fontId="26" fillId="0" borderId="99" xfId="0" applyNumberFormat="1" applyFont="1" applyBorder="1" applyAlignment="1">
      <alignment horizontal="right" vertical="center" indent="1"/>
    </xf>
    <xf numFmtId="0" fontId="48" fillId="0" borderId="100" xfId="0" applyFont="1" applyBorder="1" applyAlignment="1">
      <alignment vertical="center"/>
    </xf>
    <xf numFmtId="167" fontId="26" fillId="0" borderId="101" xfId="0" applyNumberFormat="1" applyFont="1" applyBorder="1" applyAlignment="1">
      <alignment horizontal="right" vertical="center" indent="1"/>
    </xf>
    <xf numFmtId="0" fontId="48" fillId="0" borderId="102" xfId="0" applyFont="1" applyBorder="1" applyAlignment="1">
      <alignment vertical="center"/>
    </xf>
    <xf numFmtId="0" fontId="48" fillId="0" borderId="103" xfId="0" applyFont="1" applyBorder="1" applyAlignment="1">
      <alignment vertical="center"/>
    </xf>
    <xf numFmtId="0" fontId="102" fillId="0" borderId="104" xfId="0" applyFont="1" applyBorder="1" applyAlignment="1">
      <alignment horizontal="left" vertical="center"/>
    </xf>
    <xf numFmtId="0" fontId="102" fillId="0" borderId="105" xfId="0" applyFont="1" applyBorder="1" applyAlignment="1">
      <alignment vertical="center"/>
    </xf>
    <xf numFmtId="167" fontId="26" fillId="0" borderId="106" xfId="0" applyNumberFormat="1" applyFont="1" applyBorder="1" applyAlignment="1">
      <alignment horizontal="right" vertical="center" indent="1"/>
    </xf>
    <xf numFmtId="0" fontId="30" fillId="5" borderId="57" xfId="0" applyFont="1" applyFill="1" applyBorder="1" applyAlignment="1">
      <alignment vertical="center"/>
    </xf>
    <xf numFmtId="0" fontId="30" fillId="5" borderId="58" xfId="0" applyFont="1" applyFill="1" applyBorder="1" applyAlignment="1">
      <alignment vertical="center"/>
    </xf>
    <xf numFmtId="14" fontId="28" fillId="0" borderId="0" xfId="103" applyNumberFormat="1" applyFont="1" applyAlignment="1">
      <alignment vertical="center"/>
    </xf>
    <xf numFmtId="0" fontId="0" fillId="0" borderId="6" xfId="0" applyBorder="1" applyAlignment="1">
      <alignment horizontal="center"/>
    </xf>
    <xf numFmtId="0" fontId="26" fillId="0" borderId="15" xfId="0" applyFont="1" applyBorder="1" applyAlignment="1">
      <alignment horizontal="center" vertical="center"/>
    </xf>
    <xf numFmtId="0" fontId="26" fillId="0" borderId="22" xfId="0" applyFont="1" applyBorder="1" applyAlignment="1">
      <alignment horizontal="center" vertical="center"/>
    </xf>
    <xf numFmtId="0" fontId="26" fillId="2" borderId="0" xfId="99" applyFont="1" applyFill="1"/>
    <xf numFmtId="0" fontId="91" fillId="0" borderId="0" xfId="0" applyFont="1"/>
    <xf numFmtId="0" fontId="91" fillId="0" borderId="0" xfId="0" applyFont="1" applyAlignment="1">
      <alignment horizontal="right"/>
    </xf>
    <xf numFmtId="0" fontId="0" fillId="0" borderId="108" xfId="0" quotePrefix="1" applyBorder="1" applyAlignment="1">
      <alignment horizontal="center" vertical="center"/>
    </xf>
    <xf numFmtId="0" fontId="0" fillId="0" borderId="109" xfId="0" quotePrefix="1" applyBorder="1" applyAlignment="1">
      <alignment horizontal="center" vertical="center"/>
    </xf>
    <xf numFmtId="4" fontId="91" fillId="0" borderId="33" xfId="0" applyNumberFormat="1" applyFont="1" applyBorder="1" applyAlignment="1">
      <alignment horizontal="right" vertical="center" wrapText="1"/>
    </xf>
    <xf numFmtId="4" fontId="91" fillId="0" borderId="55" xfId="0" applyNumberFormat="1" applyFont="1" applyBorder="1" applyAlignment="1">
      <alignment horizontal="center" vertical="center" wrapText="1"/>
    </xf>
    <xf numFmtId="4" fontId="91" fillId="3" borderId="111" xfId="0" applyNumberFormat="1" applyFont="1" applyFill="1" applyBorder="1" applyAlignment="1">
      <alignment horizontal="center" vertical="center" wrapText="1"/>
    </xf>
    <xf numFmtId="0" fontId="50" fillId="9" borderId="58" xfId="103" applyFont="1" applyFill="1" applyBorder="1" applyAlignment="1">
      <alignment vertical="center"/>
    </xf>
    <xf numFmtId="167" fontId="0" fillId="0" borderId="0" xfId="0" applyNumberFormat="1"/>
    <xf numFmtId="164" fontId="48" fillId="0" borderId="0" xfId="0" applyNumberFormat="1" applyFont="1" applyAlignment="1">
      <alignment vertical="center"/>
    </xf>
    <xf numFmtId="164" fontId="31" fillId="3" borderId="30" xfId="98" applyFont="1" applyFill="1" applyBorder="1" applyAlignment="1">
      <alignment horizontal="center"/>
    </xf>
    <xf numFmtId="164" fontId="23" fillId="0" borderId="0" xfId="99" applyNumberFormat="1"/>
    <xf numFmtId="4" fontId="77" fillId="0" borderId="119" xfId="102" applyNumberFormat="1" applyFont="1" applyBorder="1" applyAlignment="1">
      <alignment horizontal="left" vertical="center" indent="1"/>
    </xf>
    <xf numFmtId="4" fontId="77" fillId="0" borderId="30" xfId="102" applyNumberFormat="1" applyFont="1" applyBorder="1" applyAlignment="1">
      <alignment horizontal="left" vertical="center" indent="1"/>
    </xf>
    <xf numFmtId="4" fontId="77" fillId="0" borderId="118" xfId="102" applyNumberFormat="1" applyFont="1" applyBorder="1" applyAlignment="1">
      <alignment horizontal="left" vertical="center" indent="1"/>
    </xf>
    <xf numFmtId="4" fontId="77" fillId="0" borderId="44" xfId="102" applyNumberFormat="1" applyFont="1" applyBorder="1" applyAlignment="1">
      <alignment horizontal="left" vertical="center" indent="1"/>
    </xf>
    <xf numFmtId="4" fontId="26" fillId="0" borderId="33" xfId="102" applyNumberFormat="1" applyBorder="1" applyAlignment="1">
      <alignment horizontal="center"/>
    </xf>
    <xf numFmtId="4" fontId="69" fillId="0" borderId="0" xfId="102" applyNumberFormat="1" applyFont="1" applyAlignment="1">
      <alignment horizontal="center" vertical="center"/>
    </xf>
    <xf numFmtId="0" fontId="23" fillId="0" borderId="0" xfId="99" applyAlignment="1">
      <alignment horizontal="center" vertical="center"/>
    </xf>
    <xf numFmtId="0" fontId="61" fillId="0" borderId="40" xfId="97" applyFont="1" applyBorder="1" applyAlignment="1">
      <alignment vertical="center" wrapText="1"/>
    </xf>
    <xf numFmtId="0" fontId="61" fillId="0" borderId="41" xfId="97" applyFont="1" applyBorder="1" applyAlignment="1">
      <alignment vertical="center" wrapText="1"/>
    </xf>
    <xf numFmtId="0" fontId="57" fillId="0" borderId="0" xfId="97" applyFont="1" applyAlignment="1">
      <alignment horizontal="left" vertical="center" indent="2"/>
    </xf>
    <xf numFmtId="0" fontId="58" fillId="0" borderId="0" xfId="97" applyFont="1" applyAlignment="1">
      <alignment horizontal="left" indent="2"/>
    </xf>
    <xf numFmtId="0" fontId="80" fillId="0" borderId="0" xfId="0" applyFont="1"/>
    <xf numFmtId="0" fontId="61" fillId="0" borderId="40" xfId="97" applyFont="1" applyBorder="1" applyAlignment="1">
      <alignment vertical="center"/>
    </xf>
    <xf numFmtId="0" fontId="61" fillId="0" borderId="41" xfId="97" applyFont="1" applyBorder="1" applyAlignment="1">
      <alignment vertical="center"/>
    </xf>
    <xf numFmtId="164" fontId="27" fillId="0" borderId="0" xfId="98" applyFont="1"/>
    <xf numFmtId="10" fontId="27" fillId="0" borderId="0" xfId="106" applyNumberFormat="1" applyFont="1" applyFill="1" applyAlignment="1">
      <alignment horizontal="center"/>
    </xf>
    <xf numFmtId="4" fontId="27" fillId="0" borderId="0" xfId="102" applyNumberFormat="1" applyFont="1"/>
    <xf numFmtId="164" fontId="71" fillId="3" borderId="45" xfId="98" applyFont="1" applyFill="1" applyBorder="1" applyAlignment="1">
      <alignment horizontal="center" vertical="center"/>
    </xf>
    <xf numFmtId="164" fontId="31" fillId="10" borderId="33" xfId="98" applyFont="1" applyFill="1" applyBorder="1" applyAlignment="1">
      <alignment horizontal="center"/>
    </xf>
    <xf numFmtId="0" fontId="80" fillId="5" borderId="0" xfId="99" applyFont="1" applyFill="1"/>
    <xf numFmtId="14" fontId="28" fillId="0" borderId="25" xfId="0" applyNumberFormat="1" applyFont="1" applyBorder="1" applyAlignment="1">
      <alignment horizontal="center"/>
    </xf>
    <xf numFmtId="4" fontId="91" fillId="0" borderId="123" xfId="0" applyNumberFormat="1" applyFont="1" applyBorder="1" applyAlignment="1">
      <alignment horizontal="center" vertical="center" wrapText="1"/>
    </xf>
    <xf numFmtId="4" fontId="91" fillId="3" borderId="112" xfId="0" applyNumberFormat="1" applyFont="1" applyFill="1" applyBorder="1" applyAlignment="1">
      <alignment horizontal="center" vertical="center" wrapText="1"/>
    </xf>
    <xf numFmtId="4" fontId="85" fillId="3" borderId="48" xfId="103" applyNumberFormat="1" applyFont="1" applyFill="1" applyBorder="1" applyAlignment="1">
      <alignment horizontal="right" vertical="center" indent="1"/>
    </xf>
    <xf numFmtId="167" fontId="87" fillId="3" borderId="48" xfId="103" applyNumberFormat="1" applyFont="1" applyFill="1" applyBorder="1" applyAlignment="1">
      <alignment horizontal="right" vertical="center" indent="1"/>
    </xf>
    <xf numFmtId="4" fontId="88" fillId="3" borderId="48" xfId="103" applyNumberFormat="1" applyFont="1" applyFill="1" applyBorder="1" applyAlignment="1">
      <alignment horizontal="right" vertical="center" indent="1"/>
    </xf>
    <xf numFmtId="167" fontId="94" fillId="4" borderId="2" xfId="103" applyNumberFormat="1" applyFont="1" applyFill="1" applyBorder="1" applyAlignment="1">
      <alignment horizontal="right" vertical="center" indent="1"/>
    </xf>
    <xf numFmtId="167" fontId="84" fillId="4" borderId="2" xfId="103" applyNumberFormat="1" applyFont="1" applyFill="1" applyBorder="1" applyAlignment="1">
      <alignment horizontal="right" vertical="center" indent="1"/>
    </xf>
    <xf numFmtId="0" fontId="26" fillId="4" borderId="19" xfId="103" applyFill="1" applyBorder="1"/>
    <xf numFmtId="0" fontId="26" fillId="4" borderId="23" xfId="103" applyFill="1" applyBorder="1" applyAlignment="1">
      <alignment vertical="center"/>
    </xf>
    <xf numFmtId="0" fontId="26" fillId="4" borderId="23" xfId="103" applyFill="1" applyBorder="1"/>
    <xf numFmtId="0" fontId="28" fillId="4" borderId="23" xfId="103" applyFont="1" applyFill="1" applyBorder="1"/>
    <xf numFmtId="0" fontId="26" fillId="4" borderId="15" xfId="103" applyFill="1" applyBorder="1"/>
    <xf numFmtId="0" fontId="28" fillId="4" borderId="0" xfId="103" applyFont="1" applyFill="1" applyAlignment="1">
      <alignment vertical="center"/>
    </xf>
    <xf numFmtId="0" fontId="28" fillId="4" borderId="0" xfId="103" applyFont="1" applyFill="1"/>
    <xf numFmtId="0" fontId="26" fillId="4" borderId="12" xfId="103" applyFill="1" applyBorder="1"/>
    <xf numFmtId="0" fontId="74" fillId="4" borderId="12" xfId="103" applyFont="1" applyFill="1" applyBorder="1" applyAlignment="1">
      <alignment horizontal="center" vertical="center"/>
    </xf>
    <xf numFmtId="0" fontId="85" fillId="4" borderId="12" xfId="103" applyFont="1" applyFill="1" applyBorder="1" applyAlignment="1">
      <alignment horizontal="center" vertical="center"/>
    </xf>
    <xf numFmtId="0" fontId="90" fillId="4" borderId="12" xfId="103" applyFont="1" applyFill="1" applyBorder="1" applyAlignment="1">
      <alignment horizontal="left" vertical="center" indent="1"/>
    </xf>
    <xf numFmtId="0" fontId="53" fillId="4" borderId="12" xfId="103" applyFont="1" applyFill="1" applyBorder="1"/>
    <xf numFmtId="0" fontId="26" fillId="4" borderId="29" xfId="103" applyFill="1" applyBorder="1"/>
    <xf numFmtId="0" fontId="51" fillId="4" borderId="20" xfId="103" applyFont="1" applyFill="1" applyBorder="1" applyAlignment="1">
      <alignment horizontal="center" vertical="center"/>
    </xf>
    <xf numFmtId="0" fontId="26" fillId="4" borderId="28" xfId="103" applyFill="1" applyBorder="1" applyAlignment="1">
      <alignment vertical="center"/>
    </xf>
    <xf numFmtId="0" fontId="28" fillId="4" borderId="28" xfId="103" applyFont="1" applyFill="1" applyBorder="1" applyAlignment="1">
      <alignment vertical="center"/>
    </xf>
    <xf numFmtId="0" fontId="26" fillId="4" borderId="28" xfId="103" applyFill="1" applyBorder="1"/>
    <xf numFmtId="0" fontId="28" fillId="4" borderId="28" xfId="103" applyFont="1" applyFill="1" applyBorder="1"/>
    <xf numFmtId="0" fontId="51" fillId="4" borderId="21" xfId="103" applyFont="1" applyFill="1" applyBorder="1" applyAlignment="1">
      <alignment horizontal="center" vertical="center"/>
    </xf>
    <xf numFmtId="4" fontId="66" fillId="16" borderId="31" xfId="102" applyNumberFormat="1" applyFont="1" applyFill="1" applyBorder="1" applyAlignment="1">
      <alignment vertical="center"/>
    </xf>
    <xf numFmtId="4" fontId="66" fillId="16" borderId="31" xfId="102" applyNumberFormat="1" applyFont="1" applyFill="1" applyBorder="1" applyAlignment="1">
      <alignment horizontal="left" vertical="center"/>
    </xf>
    <xf numFmtId="4" fontId="28" fillId="10" borderId="47" xfId="102" applyNumberFormat="1" applyFont="1" applyFill="1" applyBorder="1" applyAlignment="1">
      <alignment horizontal="left" vertical="center"/>
    </xf>
    <xf numFmtId="4" fontId="28" fillId="10" borderId="30" xfId="102" applyNumberFormat="1" applyFont="1" applyFill="1" applyBorder="1" applyAlignment="1">
      <alignment horizontal="left" vertical="center"/>
    </xf>
    <xf numFmtId="4" fontId="28" fillId="10" borderId="44" xfId="102" applyNumberFormat="1" applyFont="1" applyFill="1" applyBorder="1" applyAlignment="1">
      <alignment horizontal="left" vertical="center"/>
    </xf>
    <xf numFmtId="4" fontId="28" fillId="10" borderId="45" xfId="102" applyNumberFormat="1" applyFont="1" applyFill="1" applyBorder="1" applyAlignment="1">
      <alignment horizontal="left" vertical="center"/>
    </xf>
    <xf numFmtId="4" fontId="28" fillId="10" borderId="120" xfId="102" applyNumberFormat="1" applyFont="1" applyFill="1" applyBorder="1" applyAlignment="1">
      <alignment horizontal="left" vertical="center"/>
    </xf>
    <xf numFmtId="4" fontId="26" fillId="5" borderId="0" xfId="99" applyNumberFormat="1" applyFont="1" applyFill="1"/>
    <xf numFmtId="14" fontId="0" fillId="0" borderId="0" xfId="0" applyNumberFormat="1"/>
    <xf numFmtId="14" fontId="28" fillId="18" borderId="33" xfId="103" applyNumberFormat="1" applyFont="1" applyFill="1" applyBorder="1" applyAlignment="1">
      <alignment vertical="center"/>
    </xf>
    <xf numFmtId="14" fontId="26" fillId="5" borderId="0" xfId="99" applyNumberFormat="1" applyFont="1" applyFill="1"/>
    <xf numFmtId="0" fontId="48" fillId="0" borderId="0" xfId="0" applyFont="1" applyAlignment="1">
      <alignment horizontal="left" vertical="center"/>
    </xf>
    <xf numFmtId="0" fontId="45" fillId="0" borderId="0" xfId="0" applyFont="1" applyAlignment="1">
      <alignment horizontal="left" vertical="center"/>
    </xf>
    <xf numFmtId="4" fontId="48" fillId="0" borderId="0" xfId="102" applyNumberFormat="1" applyFont="1" applyAlignment="1">
      <alignment horizontal="left" vertical="center"/>
    </xf>
    <xf numFmtId="0" fontId="110" fillId="0" borderId="0" xfId="0" applyFont="1"/>
    <xf numFmtId="14" fontId="0" fillId="20" borderId="0" xfId="0" applyNumberFormat="1" applyFill="1" applyAlignment="1">
      <alignment horizontal="left"/>
    </xf>
    <xf numFmtId="14" fontId="0" fillId="20" borderId="0" xfId="0" applyNumberFormat="1" applyFill="1"/>
    <xf numFmtId="49" fontId="108" fillId="20" borderId="0" xfId="0" applyNumberFormat="1" applyFont="1" applyFill="1"/>
    <xf numFmtId="49" fontId="109" fillId="20" borderId="0" xfId="0" applyNumberFormat="1" applyFont="1" applyFill="1"/>
    <xf numFmtId="44" fontId="26" fillId="20" borderId="0" xfId="107" applyFont="1" applyFill="1"/>
    <xf numFmtId="14" fontId="0" fillId="19" borderId="0" xfId="0" applyNumberFormat="1" applyFill="1" applyAlignment="1">
      <alignment horizontal="left"/>
    </xf>
    <xf numFmtId="14" fontId="0" fillId="19" borderId="0" xfId="0" applyNumberFormat="1" applyFill="1"/>
    <xf numFmtId="49" fontId="108" fillId="19" borderId="0" xfId="0" applyNumberFormat="1" applyFont="1" applyFill="1"/>
    <xf numFmtId="49" fontId="109" fillId="19" borderId="0" xfId="0" applyNumberFormat="1" applyFont="1" applyFill="1"/>
    <xf numFmtId="44" fontId="26" fillId="19" borderId="0" xfId="107" applyFont="1" applyFill="1"/>
    <xf numFmtId="14" fontId="0" fillId="5" borderId="0" xfId="0" applyNumberFormat="1" applyFill="1" applyAlignment="1">
      <alignment horizontal="left"/>
    </xf>
    <xf numFmtId="14" fontId="0" fillId="5" borderId="0" xfId="0" applyNumberFormat="1" applyFill="1"/>
    <xf numFmtId="49" fontId="108" fillId="5" borderId="0" xfId="0" applyNumberFormat="1" applyFont="1" applyFill="1"/>
    <xf numFmtId="49" fontId="109" fillId="5" borderId="0" xfId="0" applyNumberFormat="1" applyFont="1" applyFill="1"/>
    <xf numFmtId="44" fontId="26" fillId="5" borderId="0" xfId="107" applyFont="1" applyFill="1"/>
    <xf numFmtId="4" fontId="26" fillId="19" borderId="0" xfId="102" applyNumberFormat="1" applyFill="1"/>
    <xf numFmtId="4" fontId="26" fillId="20" borderId="0" xfId="102" applyNumberFormat="1" applyFill="1"/>
    <xf numFmtId="10" fontId="26" fillId="0" borderId="0" xfId="106" applyNumberFormat="1" applyFont="1" applyAlignment="1">
      <alignment horizontal="center" vertical="center"/>
    </xf>
    <xf numFmtId="14" fontId="0" fillId="19" borderId="126" xfId="0" applyNumberFormat="1" applyFill="1" applyBorder="1" applyAlignment="1">
      <alignment horizontal="left"/>
    </xf>
    <xf numFmtId="14" fontId="0" fillId="19" borderId="126" xfId="0" applyNumberFormat="1" applyFill="1" applyBorder="1"/>
    <xf numFmtId="49" fontId="108" fillId="19" borderId="126" xfId="0" applyNumberFormat="1" applyFont="1" applyFill="1" applyBorder="1"/>
    <xf numFmtId="49" fontId="109" fillId="19" borderId="126" xfId="0" applyNumberFormat="1" applyFont="1" applyFill="1" applyBorder="1"/>
    <xf numFmtId="44" fontId="26" fillId="19" borderId="126" xfId="107" applyFont="1" applyFill="1" applyBorder="1"/>
    <xf numFmtId="4" fontId="26" fillId="0" borderId="126" xfId="102" applyNumberFormat="1" applyBorder="1"/>
    <xf numFmtId="10" fontId="26" fillId="0" borderId="126" xfId="106" applyNumberFormat="1" applyFont="1" applyBorder="1" applyAlignment="1">
      <alignment horizontal="center" vertical="center"/>
    </xf>
    <xf numFmtId="4" fontId="26" fillId="19" borderId="126" xfId="102" applyNumberFormat="1" applyFill="1" applyBorder="1"/>
    <xf numFmtId="44" fontId="0" fillId="0" borderId="0" xfId="107" applyFont="1" applyFill="1" applyBorder="1"/>
    <xf numFmtId="14" fontId="0" fillId="0" borderId="0" xfId="0" applyNumberFormat="1" applyAlignment="1">
      <alignment horizontal="left"/>
    </xf>
    <xf numFmtId="49" fontId="108" fillId="0" borderId="0" xfId="0" applyNumberFormat="1" applyFont="1"/>
    <xf numFmtId="49" fontId="109" fillId="0" borderId="0" xfId="0" applyNumberFormat="1" applyFont="1"/>
    <xf numFmtId="44" fontId="26" fillId="0" borderId="0" xfId="107" applyFont="1" applyFill="1"/>
    <xf numFmtId="168" fontId="26" fillId="0" borderId="0" xfId="102" applyNumberFormat="1" applyAlignment="1">
      <alignment horizontal="center" vertical="center"/>
    </xf>
    <xf numFmtId="44" fontId="26" fillId="0" borderId="0" xfId="107" applyFont="1" applyAlignment="1">
      <alignment horizontal="center" vertical="center"/>
    </xf>
    <xf numFmtId="0" fontId="45" fillId="0" borderId="0" xfId="103" applyFont="1" applyAlignment="1">
      <alignment horizontal="left" vertical="center"/>
    </xf>
    <xf numFmtId="4" fontId="53" fillId="0" borderId="0" xfId="0" applyNumberFormat="1" applyFont="1"/>
    <xf numFmtId="171" fontId="28" fillId="5" borderId="138" xfId="0" applyNumberFormat="1" applyFont="1" applyFill="1" applyBorder="1" applyAlignment="1">
      <alignment horizontal="left" vertical="center" indent="1"/>
    </xf>
    <xf numFmtId="167" fontId="100" fillId="0" borderId="139" xfId="0" applyNumberFormat="1" applyFont="1" applyBorder="1" applyAlignment="1">
      <alignment horizontal="center" vertical="center" wrapText="1"/>
    </xf>
    <xf numFmtId="10" fontId="74" fillId="5" borderId="140" xfId="0" applyNumberFormat="1" applyFont="1" applyFill="1" applyBorder="1" applyAlignment="1">
      <alignment horizontal="center" vertical="center"/>
    </xf>
    <xf numFmtId="4" fontId="128" fillId="5" borderId="139" xfId="0" applyNumberFormat="1" applyFont="1" applyFill="1" applyBorder="1" applyAlignment="1">
      <alignment horizontal="center" vertical="center"/>
    </xf>
    <xf numFmtId="167" fontId="28" fillId="3" borderId="141" xfId="0" applyNumberFormat="1" applyFont="1" applyFill="1" applyBorder="1" applyAlignment="1">
      <alignment horizontal="right" vertical="center" indent="2"/>
    </xf>
    <xf numFmtId="171" fontId="26" fillId="5" borderId="138" xfId="0" applyNumberFormat="1" applyFont="1" applyFill="1" applyBorder="1" applyAlignment="1">
      <alignment horizontal="left" vertical="center" indent="4"/>
    </xf>
    <xf numFmtId="44" fontId="100" fillId="0" borderId="139" xfId="205" applyFont="1" applyBorder="1" applyAlignment="1">
      <alignment horizontal="center" vertical="center" wrapText="1"/>
    </xf>
    <xf numFmtId="0" fontId="26" fillId="5" borderId="138" xfId="0" applyFont="1" applyFill="1" applyBorder="1" applyAlignment="1">
      <alignment horizontal="left" vertical="center" indent="4"/>
    </xf>
    <xf numFmtId="0" fontId="28" fillId="5" borderId="138" xfId="0" applyFont="1" applyFill="1" applyBorder="1" applyAlignment="1">
      <alignment horizontal="left" vertical="center" indent="1"/>
    </xf>
    <xf numFmtId="167" fontId="100" fillId="54" borderId="139" xfId="0" applyNumberFormat="1" applyFont="1" applyFill="1" applyBorder="1" applyAlignment="1">
      <alignment vertical="center" wrapText="1"/>
    </xf>
    <xf numFmtId="9" fontId="74" fillId="55" borderId="140" xfId="0" applyNumberFormat="1" applyFont="1" applyFill="1" applyBorder="1" applyAlignment="1">
      <alignment horizontal="center" vertical="center"/>
    </xf>
    <xf numFmtId="172" fontId="74" fillId="55" borderId="140" xfId="0" applyNumberFormat="1" applyFont="1" applyFill="1" applyBorder="1" applyAlignment="1">
      <alignment horizontal="center" vertical="center"/>
    </xf>
    <xf numFmtId="4" fontId="129" fillId="55" borderId="48" xfId="0" applyNumberFormat="1" applyFont="1" applyFill="1" applyBorder="1" applyAlignment="1">
      <alignment horizontal="center" vertical="center"/>
    </xf>
    <xf numFmtId="167" fontId="28" fillId="56" borderId="141" xfId="0" applyNumberFormat="1" applyFont="1" applyFill="1" applyBorder="1" applyAlignment="1">
      <alignment horizontal="right" vertical="center" indent="2"/>
    </xf>
    <xf numFmtId="0" fontId="26" fillId="5" borderId="138" xfId="0" applyFont="1" applyFill="1" applyBorder="1" applyAlignment="1">
      <alignment horizontal="left" vertical="center" wrapText="1" indent="4"/>
    </xf>
    <xf numFmtId="166" fontId="74" fillId="0" borderId="140" xfId="0" applyNumberFormat="1" applyFont="1" applyBorder="1" applyAlignment="1">
      <alignment horizontal="center" vertical="center"/>
    </xf>
    <xf numFmtId="0" fontId="97" fillId="0" borderId="143" xfId="0" applyFont="1" applyBorder="1" applyAlignment="1">
      <alignment horizontal="left" vertical="center" wrapText="1" indent="1"/>
    </xf>
    <xf numFmtId="0" fontId="26" fillId="0" borderId="138" xfId="0" applyFont="1" applyBorder="1" applyAlignment="1">
      <alignment horizontal="left" vertical="center" indent="4"/>
    </xf>
    <xf numFmtId="167" fontId="100" fillId="0" borderId="139" xfId="0" applyNumberFormat="1" applyFont="1" applyBorder="1" applyAlignment="1">
      <alignment vertical="center" wrapText="1"/>
    </xf>
    <xf numFmtId="4" fontId="128" fillId="55" borderId="139" xfId="0" applyNumberFormat="1" applyFont="1" applyFill="1" applyBorder="1" applyAlignment="1">
      <alignment horizontal="center" vertical="center"/>
    </xf>
    <xf numFmtId="167" fontId="100" fillId="5" borderId="139" xfId="0" applyNumberFormat="1" applyFont="1" applyFill="1" applyBorder="1" applyAlignment="1">
      <alignment vertical="center" wrapText="1"/>
    </xf>
    <xf numFmtId="0" fontId="28" fillId="5" borderId="143" xfId="0" applyFont="1" applyFill="1" applyBorder="1" applyAlignment="1">
      <alignment horizontal="left" vertical="center" indent="1"/>
    </xf>
    <xf numFmtId="3" fontId="83" fillId="3" borderId="8" xfId="0" applyNumberFormat="1" applyFont="1" applyFill="1" applyBorder="1" applyAlignment="1">
      <alignment horizontal="center" vertical="center"/>
    </xf>
    <xf numFmtId="4" fontId="83" fillId="3" borderId="8" xfId="0" applyNumberFormat="1" applyFont="1" applyFill="1" applyBorder="1" applyAlignment="1">
      <alignment horizontal="center" vertical="center"/>
    </xf>
    <xf numFmtId="4" fontId="85" fillId="3" borderId="8" xfId="0" applyNumberFormat="1" applyFont="1" applyFill="1" applyBorder="1" applyAlignment="1">
      <alignment horizontal="right" vertical="center"/>
    </xf>
    <xf numFmtId="167" fontId="28" fillId="3" borderId="22" xfId="0" applyNumberFormat="1" applyFont="1" applyFill="1" applyBorder="1" applyAlignment="1">
      <alignment horizontal="right" vertical="center" indent="2"/>
    </xf>
    <xf numFmtId="10" fontId="74" fillId="0" borderId="140" xfId="0" applyNumberFormat="1" applyFont="1" applyBorder="1" applyAlignment="1">
      <alignment horizontal="center" vertical="center"/>
    </xf>
    <xf numFmtId="14" fontId="23" fillId="3" borderId="146" xfId="97" applyNumberFormat="1" applyFill="1" applyBorder="1" applyAlignment="1">
      <alignment horizontal="center" vertical="center"/>
    </xf>
    <xf numFmtId="0" fontId="26" fillId="5" borderId="23" xfId="0" applyFont="1" applyFill="1" applyBorder="1" applyAlignment="1">
      <alignment horizontal="left" vertical="center" indent="4"/>
    </xf>
    <xf numFmtId="10" fontId="74" fillId="55" borderId="140" xfId="0" applyNumberFormat="1" applyFont="1" applyFill="1" applyBorder="1" applyAlignment="1">
      <alignment horizontal="center" vertical="center"/>
    </xf>
    <xf numFmtId="167" fontId="83" fillId="57" borderId="139" xfId="0" applyNumberFormat="1" applyFont="1" applyFill="1" applyBorder="1" applyAlignment="1">
      <alignment horizontal="center" vertical="center" wrapText="1"/>
    </xf>
    <xf numFmtId="0" fontId="45" fillId="0" borderId="0" xfId="208" applyFont="1" applyAlignment="1">
      <alignment horizontal="left" vertical="center" wrapText="1"/>
    </xf>
    <xf numFmtId="0" fontId="16" fillId="0" borderId="0" xfId="97" applyFont="1" applyAlignment="1">
      <alignment vertical="center" wrapText="1"/>
    </xf>
    <xf numFmtId="0" fontId="45" fillId="0" borderId="0" xfId="97" applyFont="1" applyAlignment="1">
      <alignment horizontal="center" vertical="center"/>
    </xf>
    <xf numFmtId="0" fontId="45" fillId="0" borderId="0" xfId="97" applyFont="1" applyAlignment="1">
      <alignment horizontal="center"/>
    </xf>
    <xf numFmtId="14" fontId="23" fillId="3" borderId="46" xfId="97" applyNumberFormat="1" applyFill="1" applyBorder="1" applyAlignment="1">
      <alignment horizontal="center" vertical="center"/>
    </xf>
    <xf numFmtId="0" fontId="26" fillId="59" borderId="107" xfId="103" applyFill="1" applyBorder="1" applyAlignment="1">
      <alignment horizontal="center" vertical="center"/>
    </xf>
    <xf numFmtId="4" fontId="26" fillId="59" borderId="107" xfId="103" applyNumberFormat="1" applyFill="1" applyBorder="1" applyAlignment="1">
      <alignment horizontal="center" vertical="center"/>
    </xf>
    <xf numFmtId="0" fontId="26" fillId="53" borderId="107" xfId="103" applyFill="1" applyBorder="1" applyAlignment="1">
      <alignment horizontal="center" vertical="center"/>
    </xf>
    <xf numFmtId="0" fontId="26" fillId="53" borderId="107" xfId="103" applyFill="1" applyBorder="1" applyAlignment="1">
      <alignment horizontal="center" vertical="center" wrapText="1"/>
    </xf>
    <xf numFmtId="0" fontId="26" fillId="60" borderId="107" xfId="103" applyFill="1" applyBorder="1" applyAlignment="1">
      <alignment horizontal="center" vertical="center"/>
    </xf>
    <xf numFmtId="0" fontId="26" fillId="61" borderId="107" xfId="103" applyFill="1" applyBorder="1" applyAlignment="1">
      <alignment horizontal="center" vertical="center"/>
    </xf>
    <xf numFmtId="0" fontId="26" fillId="0" borderId="0" xfId="103"/>
    <xf numFmtId="0" fontId="26" fillId="0" borderId="107" xfId="103" applyBorder="1" applyAlignment="1">
      <alignment vertical="center"/>
    </xf>
    <xf numFmtId="0" fontId="26" fillId="0" borderId="107" xfId="103" quotePrefix="1" applyBorder="1" applyAlignment="1">
      <alignment vertical="center"/>
    </xf>
    <xf numFmtId="4" fontId="26" fillId="0" borderId="107" xfId="103" applyNumberFormat="1" applyBorder="1" applyAlignment="1">
      <alignment horizontal="center" vertical="center"/>
    </xf>
    <xf numFmtId="0" fontId="26" fillId="0" borderId="107" xfId="103" applyBorder="1" applyAlignment="1">
      <alignment horizontal="left" vertical="center"/>
    </xf>
    <xf numFmtId="14" fontId="26" fillId="57" borderId="107" xfId="103" applyNumberFormat="1" applyFill="1" applyBorder="1" applyAlignment="1">
      <alignment vertical="center"/>
    </xf>
    <xf numFmtId="0" fontId="26" fillId="0" borderId="107" xfId="103" applyBorder="1" applyAlignment="1">
      <alignment horizontal="center"/>
    </xf>
    <xf numFmtId="0" fontId="125" fillId="0" borderId="107" xfId="180" applyBorder="1" applyAlignment="1">
      <alignment vertical="center"/>
    </xf>
    <xf numFmtId="0" fontId="26" fillId="0" borderId="107" xfId="103" applyBorder="1"/>
    <xf numFmtId="0" fontId="26" fillId="0" borderId="107" xfId="103" applyBorder="1" applyAlignment="1">
      <alignment horizontal="left"/>
    </xf>
    <xf numFmtId="0" fontId="26" fillId="0" borderId="0" xfId="103" applyAlignment="1">
      <alignment horizontal="center"/>
    </xf>
    <xf numFmtId="4" fontId="26" fillId="0" borderId="0" xfId="103" applyNumberFormat="1"/>
    <xf numFmtId="4" fontId="91" fillId="0" borderId="56" xfId="0" applyNumberFormat="1" applyFont="1" applyBorder="1" applyAlignment="1">
      <alignment horizontal="right" vertical="center" wrapText="1"/>
    </xf>
    <xf numFmtId="4" fontId="91" fillId="0" borderId="46" xfId="0" applyNumberFormat="1" applyFont="1" applyBorder="1" applyAlignment="1">
      <alignment horizontal="right" vertical="center" wrapText="1"/>
    </xf>
    <xf numFmtId="164" fontId="66" fillId="8" borderId="22" xfId="79" applyFont="1" applyFill="1" applyBorder="1" applyAlignment="1">
      <alignment horizontal="center" vertical="center" wrapText="1"/>
    </xf>
    <xf numFmtId="4" fontId="68" fillId="4" borderId="55" xfId="0" applyNumberFormat="1" applyFont="1" applyFill="1" applyBorder="1" applyAlignment="1">
      <alignment horizontal="center" vertical="center" wrapText="1"/>
    </xf>
    <xf numFmtId="0" fontId="26" fillId="0" borderId="0" xfId="211"/>
    <xf numFmtId="0" fontId="95" fillId="0" borderId="0" xfId="211" applyFont="1" applyAlignment="1">
      <alignment horizontal="left"/>
    </xf>
    <xf numFmtId="49" fontId="66" fillId="0" borderId="0" xfId="211" applyNumberFormat="1" applyFont="1" applyAlignment="1">
      <alignment horizontal="center" vertical="center" wrapText="1"/>
    </xf>
    <xf numFmtId="14" fontId="28" fillId="0" borderId="155" xfId="211" applyNumberFormat="1" applyFont="1" applyBorder="1" applyAlignment="1">
      <alignment horizontal="left" vertical="center" indent="1"/>
    </xf>
    <xf numFmtId="14" fontId="26" fillId="0" borderId="0" xfId="211" applyNumberFormat="1" applyAlignment="1">
      <alignment horizontal="center"/>
    </xf>
    <xf numFmtId="167" fontId="26" fillId="0" borderId="156" xfId="212" applyFont="1" applyFill="1" applyBorder="1"/>
    <xf numFmtId="167" fontId="26" fillId="0" borderId="157" xfId="212" applyFont="1" applyFill="1" applyBorder="1"/>
    <xf numFmtId="164" fontId="26" fillId="0" borderId="0" xfId="213" applyFont="1" applyBorder="1" applyAlignment="1">
      <alignment horizontal="left" vertical="center" indent="1"/>
    </xf>
    <xf numFmtId="14" fontId="28" fillId="0" borderId="158" xfId="211" applyNumberFormat="1" applyFont="1" applyBorder="1" applyAlignment="1">
      <alignment horizontal="left" vertical="center" indent="1"/>
    </xf>
    <xf numFmtId="167" fontId="26" fillId="0" borderId="159" xfId="212" applyFont="1" applyFill="1" applyBorder="1"/>
    <xf numFmtId="167" fontId="26" fillId="0" borderId="160" xfId="212" applyFont="1" applyFill="1" applyBorder="1"/>
    <xf numFmtId="0" fontId="66" fillId="52" borderId="7" xfId="0" applyFont="1" applyFill="1" applyBorder="1" applyAlignment="1">
      <alignment horizontal="centerContinuous" vertical="center" wrapText="1"/>
    </xf>
    <xf numFmtId="0" fontId="66" fillId="52" borderId="8" xfId="0" applyFont="1" applyFill="1" applyBorder="1" applyAlignment="1">
      <alignment horizontal="centerContinuous" vertical="center" wrapText="1"/>
    </xf>
    <xf numFmtId="0" fontId="66" fillId="52" borderId="11" xfId="0" applyFont="1" applyFill="1" applyBorder="1" applyAlignment="1">
      <alignment horizontal="centerContinuous" vertical="center" wrapText="1"/>
    </xf>
    <xf numFmtId="164" fontId="80" fillId="17" borderId="3" xfId="79" applyFont="1" applyFill="1" applyBorder="1" applyAlignment="1">
      <alignment horizontal="center" vertical="center" wrapText="1"/>
    </xf>
    <xf numFmtId="164" fontId="80" fillId="17" borderId="13" xfId="79" applyFont="1" applyFill="1" applyBorder="1" applyAlignment="1">
      <alignment horizontal="center" vertical="center" wrapText="1"/>
    </xf>
    <xf numFmtId="164" fontId="80" fillId="17" borderId="26" xfId="79" applyFont="1" applyFill="1" applyBorder="1" applyAlignment="1">
      <alignment horizontal="center" vertical="center" wrapText="1"/>
    </xf>
    <xf numFmtId="0" fontId="66" fillId="52" borderId="7" xfId="0" applyFont="1" applyFill="1" applyBorder="1" applyAlignment="1">
      <alignment horizontal="centerContinuous" vertical="center"/>
    </xf>
    <xf numFmtId="0" fontId="66" fillId="52" borderId="8" xfId="0" applyFont="1" applyFill="1" applyBorder="1" applyAlignment="1">
      <alignment horizontal="centerContinuous" vertical="center"/>
    </xf>
    <xf numFmtId="0" fontId="66" fillId="52" borderId="11" xfId="0" applyFont="1" applyFill="1" applyBorder="1" applyAlignment="1">
      <alignment horizontal="centerContinuous" vertical="center"/>
    </xf>
    <xf numFmtId="0" fontId="45" fillId="62" borderId="111" xfId="98" applyNumberFormat="1" applyFont="1" applyFill="1" applyBorder="1" applyAlignment="1">
      <alignment horizontal="center" vertical="center"/>
    </xf>
    <xf numFmtId="0" fontId="105" fillId="0" borderId="22" xfId="97" applyFont="1" applyBorder="1" applyAlignment="1">
      <alignment horizontal="center" vertical="center" wrapText="1"/>
    </xf>
    <xf numFmtId="0" fontId="134" fillId="0" borderId="0" xfId="97" applyFont="1" applyAlignment="1">
      <alignment vertical="center"/>
    </xf>
    <xf numFmtId="0" fontId="135" fillId="0" borderId="0" xfId="97" applyFont="1" applyAlignment="1">
      <alignment vertical="center"/>
    </xf>
    <xf numFmtId="0" fontId="136" fillId="0" borderId="0" xfId="97" applyFont="1" applyAlignment="1">
      <alignment vertical="center"/>
    </xf>
    <xf numFmtId="0" fontId="56" fillId="0" borderId="0" xfId="97" applyFont="1" applyAlignment="1">
      <alignment horizontal="centerContinuous"/>
    </xf>
    <xf numFmtId="0" fontId="109" fillId="0" borderId="0" xfId="97" quotePrefix="1" applyFont="1"/>
    <xf numFmtId="0" fontId="109" fillId="0" borderId="0" xfId="97" applyFont="1"/>
    <xf numFmtId="0" fontId="100" fillId="0" borderId="0" xfId="97" applyFont="1"/>
    <xf numFmtId="0" fontId="138" fillId="0" borderId="22" xfId="97" applyFont="1" applyBorder="1"/>
    <xf numFmtId="164" fontId="80" fillId="62" borderId="26" xfId="79" applyFont="1" applyFill="1" applyBorder="1" applyAlignment="1">
      <alignment horizontal="centerContinuous" vertical="center" wrapText="1"/>
    </xf>
    <xf numFmtId="164" fontId="80" fillId="62" borderId="26" xfId="79" applyFont="1" applyFill="1" applyBorder="1" applyAlignment="1">
      <alignment horizontal="center" vertical="center" wrapText="1"/>
    </xf>
    <xf numFmtId="164" fontId="80" fillId="62" borderId="3" xfId="79" applyFont="1" applyFill="1" applyBorder="1" applyAlignment="1">
      <alignment horizontal="center" vertical="center" wrapText="1"/>
    </xf>
    <xf numFmtId="164" fontId="80" fillId="62" borderId="13" xfId="79" applyFont="1" applyFill="1" applyBorder="1" applyAlignment="1">
      <alignment horizontal="center" vertical="center" wrapText="1"/>
    </xf>
    <xf numFmtId="0" fontId="45" fillId="0" borderId="0" xfId="97" applyFont="1" applyAlignment="1">
      <alignment horizontal="left" vertical="center" wrapText="1"/>
    </xf>
    <xf numFmtId="0" fontId="45" fillId="0" borderId="0" xfId="210" applyFont="1" applyAlignment="1">
      <alignment horizontal="left" vertical="center" wrapText="1"/>
    </xf>
    <xf numFmtId="0" fontId="50" fillId="0" borderId="0" xfId="103" applyFont="1" applyAlignment="1">
      <alignment vertical="center"/>
    </xf>
    <xf numFmtId="4" fontId="91" fillId="0" borderId="163" xfId="0" applyNumberFormat="1" applyFont="1" applyBorder="1" applyAlignment="1">
      <alignment horizontal="right" vertical="center" wrapText="1"/>
    </xf>
    <xf numFmtId="0" fontId="66" fillId="14" borderId="22" xfId="0" applyFont="1" applyFill="1" applyBorder="1" applyAlignment="1">
      <alignment horizontal="centerContinuous" vertical="center" wrapText="1"/>
    </xf>
    <xf numFmtId="4" fontId="68" fillId="3" borderId="111" xfId="0" applyNumberFormat="1" applyFont="1" applyFill="1" applyBorder="1" applyAlignment="1">
      <alignment horizontal="center" vertical="center" wrapText="1"/>
    </xf>
    <xf numFmtId="4" fontId="26" fillId="57" borderId="107" xfId="103" applyNumberFormat="1" applyFill="1" applyBorder="1" applyAlignment="1">
      <alignment vertical="center"/>
    </xf>
    <xf numFmtId="4" fontId="102" fillId="0" borderId="0" xfId="103" applyNumberFormat="1" applyFont="1" applyAlignment="1">
      <alignment horizontal="center"/>
    </xf>
    <xf numFmtId="3" fontId="83" fillId="0" borderId="142" xfId="0" applyNumberFormat="1" applyFont="1" applyBorder="1" applyAlignment="1">
      <alignment horizontal="center" vertical="center" wrapText="1"/>
    </xf>
    <xf numFmtId="4" fontId="26" fillId="2" borderId="0" xfId="99" applyNumberFormat="1" applyFont="1" applyFill="1"/>
    <xf numFmtId="4" fontId="0" fillId="0" borderId="0" xfId="107" applyNumberFormat="1" applyFont="1"/>
    <xf numFmtId="4" fontId="80" fillId="62" borderId="26" xfId="79" applyNumberFormat="1" applyFont="1" applyFill="1" applyBorder="1" applyAlignment="1">
      <alignment horizontal="centerContinuous" vertical="center" wrapText="1"/>
    </xf>
    <xf numFmtId="4" fontId="80" fillId="62" borderId="5" xfId="79" applyNumberFormat="1" applyFont="1" applyFill="1" applyBorder="1" applyAlignment="1">
      <alignment horizontal="centerContinuous" vertical="center" wrapText="1"/>
    </xf>
    <xf numFmtId="4" fontId="80" fillId="62" borderId="26" xfId="79" applyNumberFormat="1" applyFont="1" applyFill="1" applyBorder="1" applyAlignment="1">
      <alignment horizontal="center" vertical="center" wrapText="1"/>
    </xf>
    <xf numFmtId="4" fontId="80" fillId="62" borderId="5" xfId="79" applyNumberFormat="1" applyFont="1" applyFill="1" applyBorder="1" applyAlignment="1">
      <alignment horizontal="center" vertical="center" wrapText="1"/>
    </xf>
    <xf numFmtId="4" fontId="0" fillId="0" borderId="109" xfId="0" quotePrefix="1" applyNumberFormat="1" applyBorder="1" applyAlignment="1">
      <alignment horizontal="center" vertical="center"/>
    </xf>
    <xf numFmtId="4" fontId="0" fillId="0" borderId="110" xfId="0" quotePrefix="1" applyNumberFormat="1" applyBorder="1" applyAlignment="1">
      <alignment horizontal="center" vertical="center"/>
    </xf>
    <xf numFmtId="4" fontId="91" fillId="4" borderId="163" xfId="0" applyNumberFormat="1" applyFont="1" applyFill="1" applyBorder="1" applyAlignment="1">
      <alignment horizontal="right" vertical="center" wrapText="1"/>
    </xf>
    <xf numFmtId="0" fontId="0" fillId="0" borderId="110" xfId="0" applyBorder="1" applyAlignment="1">
      <alignment horizontal="center"/>
    </xf>
    <xf numFmtId="4" fontId="28" fillId="3" borderId="111" xfId="0" applyNumberFormat="1" applyFont="1" applyFill="1" applyBorder="1" applyAlignment="1">
      <alignment horizontal="center" vertical="center" wrapText="1"/>
    </xf>
    <xf numFmtId="4" fontId="28" fillId="0" borderId="0" xfId="0" applyNumberFormat="1" applyFont="1"/>
    <xf numFmtId="4" fontId="28" fillId="4" borderId="163" xfId="79" applyNumberFormat="1" applyFont="1" applyFill="1" applyBorder="1" applyAlignment="1">
      <alignment horizontal="center" vertical="center" wrapText="1"/>
    </xf>
    <xf numFmtId="4" fontId="28" fillId="0" borderId="33" xfId="0" applyNumberFormat="1" applyFont="1" applyBorder="1" applyAlignment="1">
      <alignment horizontal="center" vertical="center" wrapText="1"/>
    </xf>
    <xf numFmtId="4" fontId="28" fillId="4" borderId="33" xfId="0" applyNumberFormat="1" applyFont="1" applyFill="1" applyBorder="1" applyAlignment="1">
      <alignment horizontal="center" vertical="center" wrapText="1"/>
    </xf>
    <xf numFmtId="4" fontId="28" fillId="4" borderId="34" xfId="0" applyNumberFormat="1" applyFont="1" applyFill="1" applyBorder="1" applyAlignment="1">
      <alignment horizontal="center" vertical="center" wrapText="1"/>
    </xf>
    <xf numFmtId="4" fontId="28" fillId="4" borderId="35" xfId="0" applyNumberFormat="1" applyFont="1" applyFill="1" applyBorder="1" applyAlignment="1">
      <alignment horizontal="right" vertical="center" wrapText="1"/>
    </xf>
    <xf numFmtId="4" fontId="28" fillId="0" borderId="33" xfId="0" applyNumberFormat="1" applyFont="1" applyBorder="1" applyAlignment="1">
      <alignment horizontal="right" vertical="center" wrapText="1"/>
    </xf>
    <xf numFmtId="165" fontId="28" fillId="4" borderId="46" xfId="0" applyNumberFormat="1" applyFont="1" applyFill="1" applyBorder="1" applyAlignment="1">
      <alignment horizontal="right" vertical="center" wrapText="1"/>
    </xf>
    <xf numFmtId="165" fontId="28" fillId="4" borderId="34" xfId="0" applyNumberFormat="1" applyFont="1" applyFill="1" applyBorder="1" applyAlignment="1">
      <alignment horizontal="right" vertical="center" wrapText="1"/>
    </xf>
    <xf numFmtId="4" fontId="28" fillId="0" borderId="46" xfId="0" applyNumberFormat="1" applyFont="1" applyBorder="1" applyAlignment="1">
      <alignment horizontal="right" vertical="center" wrapText="1"/>
    </xf>
    <xf numFmtId="4" fontId="28" fillId="4" borderId="46" xfId="0" applyNumberFormat="1" applyFont="1" applyFill="1" applyBorder="1" applyAlignment="1">
      <alignment horizontal="right" vertical="center" wrapText="1"/>
    </xf>
    <xf numFmtId="4" fontId="28" fillId="4" borderId="33" xfId="0" applyNumberFormat="1" applyFont="1" applyFill="1" applyBorder="1" applyAlignment="1">
      <alignment horizontal="right" vertical="center" wrapText="1"/>
    </xf>
    <xf numFmtId="4" fontId="28" fillId="4" borderId="154" xfId="0" applyNumberFormat="1" applyFont="1" applyFill="1" applyBorder="1" applyAlignment="1">
      <alignment horizontal="right" vertical="center" wrapText="1"/>
    </xf>
    <xf numFmtId="0" fontId="28" fillId="0" borderId="0" xfId="0" applyFont="1" applyAlignment="1">
      <alignment horizontal="right"/>
    </xf>
    <xf numFmtId="4" fontId="28" fillId="4" borderId="161" xfId="0" applyNumberFormat="1" applyFont="1" applyFill="1" applyBorder="1" applyAlignment="1">
      <alignment horizontal="right" vertical="center" wrapText="1"/>
    </xf>
    <xf numFmtId="4" fontId="28" fillId="4" borderId="56" xfId="0" applyNumberFormat="1" applyFont="1" applyFill="1" applyBorder="1" applyAlignment="1">
      <alignment horizontal="right" vertical="center" wrapText="1"/>
    </xf>
    <xf numFmtId="4" fontId="28" fillId="4" borderId="163" xfId="0" applyNumberFormat="1" applyFont="1" applyFill="1" applyBorder="1" applyAlignment="1">
      <alignment horizontal="right" vertical="center" wrapText="1"/>
    </xf>
    <xf numFmtId="4" fontId="28" fillId="4" borderId="34" xfId="0" applyNumberFormat="1" applyFont="1" applyFill="1" applyBorder="1" applyAlignment="1">
      <alignment horizontal="right" vertical="center" wrapText="1"/>
    </xf>
    <xf numFmtId="0" fontId="26" fillId="0" borderId="0" xfId="0" applyFont="1" applyAlignment="1">
      <alignment horizontal="center"/>
    </xf>
    <xf numFmtId="167" fontId="84" fillId="4" borderId="107" xfId="103" applyNumberFormat="1" applyFont="1" applyFill="1" applyBorder="1" applyAlignment="1">
      <alignment horizontal="right" vertical="center" indent="1"/>
    </xf>
    <xf numFmtId="0" fontId="26" fillId="0" borderId="107" xfId="0" applyFont="1" applyBorder="1"/>
    <xf numFmtId="4" fontId="28" fillId="58" borderId="107" xfId="0" applyNumberFormat="1" applyFont="1" applyFill="1" applyBorder="1"/>
    <xf numFmtId="0" fontId="80" fillId="0" borderId="0" xfId="103" applyFont="1"/>
    <xf numFmtId="0" fontId="80" fillId="0" borderId="0" xfId="211" applyFont="1"/>
    <xf numFmtId="4" fontId="0" fillId="0" borderId="0" xfId="0" applyNumberFormat="1" applyAlignment="1">
      <alignment horizontal="center"/>
    </xf>
    <xf numFmtId="164" fontId="0" fillId="0" borderId="0" xfId="0" applyNumberFormat="1" applyAlignment="1">
      <alignment horizontal="center"/>
    </xf>
    <xf numFmtId="164" fontId="139" fillId="17" borderId="26" xfId="79" applyFont="1" applyFill="1" applyBorder="1" applyAlignment="1">
      <alignment horizontal="centerContinuous" vertical="center" wrapText="1"/>
    </xf>
    <xf numFmtId="164" fontId="139" fillId="17" borderId="4" xfId="79" applyFont="1" applyFill="1" applyBorder="1" applyAlignment="1">
      <alignment horizontal="centerContinuous" vertical="center" wrapText="1"/>
    </xf>
    <xf numFmtId="164" fontId="139" fillId="17" borderId="8" xfId="79" applyFont="1" applyFill="1" applyBorder="1" applyAlignment="1">
      <alignment horizontal="centerContinuous" vertical="center" wrapText="1"/>
    </xf>
    <xf numFmtId="164" fontId="139" fillId="17" borderId="5" xfId="79" applyFont="1" applyFill="1" applyBorder="1" applyAlignment="1">
      <alignment horizontal="centerContinuous" vertical="center" wrapText="1"/>
    </xf>
    <xf numFmtId="164" fontId="139" fillId="17" borderId="26" xfId="79" applyFont="1" applyFill="1" applyBorder="1" applyAlignment="1">
      <alignment horizontal="center" vertical="center" wrapText="1"/>
    </xf>
    <xf numFmtId="164" fontId="139" fillId="17" borderId="4"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5" xfId="79" applyFont="1" applyFill="1" applyBorder="1" applyAlignment="1">
      <alignment horizontal="center" vertical="center" wrapText="1"/>
    </xf>
    <xf numFmtId="164" fontId="80" fillId="63" borderId="22" xfId="79" applyFont="1" applyFill="1" applyBorder="1" applyAlignment="1">
      <alignment horizontal="center" vertical="center" wrapText="1"/>
    </xf>
    <xf numFmtId="0" fontId="66" fillId="63" borderId="22" xfId="0" applyFont="1" applyFill="1" applyBorder="1" applyAlignment="1">
      <alignment horizontal="centerContinuous" vertical="center" wrapText="1"/>
    </xf>
    <xf numFmtId="0" fontId="26" fillId="0" borderId="168" xfId="103" applyBorder="1" applyAlignment="1">
      <alignment vertical="center"/>
    </xf>
    <xf numFmtId="0" fontId="26" fillId="64" borderId="0" xfId="103" applyFill="1"/>
    <xf numFmtId="4" fontId="26" fillId="57" borderId="168" xfId="103" applyNumberFormat="1" applyFill="1" applyBorder="1" applyAlignment="1">
      <alignment vertical="center"/>
    </xf>
    <xf numFmtId="0" fontId="26" fillId="0" borderId="168" xfId="103" applyBorder="1" applyAlignment="1">
      <alignment horizontal="left"/>
    </xf>
    <xf numFmtId="0" fontId="93" fillId="12" borderId="76" xfId="0" applyFont="1" applyFill="1" applyBorder="1" applyAlignment="1">
      <alignment horizontal="center" vertical="center" wrapText="1"/>
    </xf>
    <xf numFmtId="0" fontId="125" fillId="0" borderId="0" xfId="180" applyAlignment="1">
      <alignment vertical="center"/>
    </xf>
    <xf numFmtId="49" fontId="14" fillId="0" borderId="0" xfId="216" applyNumberFormat="1"/>
    <xf numFmtId="0" fontId="14" fillId="0" borderId="0" xfId="216"/>
    <xf numFmtId="0" fontId="142" fillId="0" borderId="27" xfId="216" applyFont="1" applyBorder="1" applyAlignment="1">
      <alignment horizontal="justify" vertical="center" wrapText="1"/>
    </xf>
    <xf numFmtId="4" fontId="142" fillId="0" borderId="29" xfId="216" applyNumberFormat="1" applyFont="1" applyBorder="1" applyAlignment="1">
      <alignment vertical="center" wrapText="1"/>
    </xf>
    <xf numFmtId="3" fontId="142" fillId="0" borderId="29" xfId="216" applyNumberFormat="1" applyFont="1" applyBorder="1" applyAlignment="1">
      <alignment vertical="center" wrapText="1"/>
    </xf>
    <xf numFmtId="0" fontId="142" fillId="0" borderId="0" xfId="216" applyFont="1" applyAlignment="1">
      <alignment horizontal="justify" vertical="center" wrapText="1"/>
    </xf>
    <xf numFmtId="0" fontId="142" fillId="0" borderId="0" xfId="216" applyFont="1" applyAlignment="1">
      <alignment vertical="center" wrapText="1"/>
    </xf>
    <xf numFmtId="0" fontId="141" fillId="0" borderId="0" xfId="216" applyFont="1" applyAlignment="1">
      <alignment vertical="center"/>
    </xf>
    <xf numFmtId="0" fontId="141" fillId="0" borderId="0" xfId="216" applyFont="1" applyAlignment="1">
      <alignment horizontal="justify" vertical="center"/>
    </xf>
    <xf numFmtId="0" fontId="141" fillId="0" borderId="0" xfId="216" applyFont="1" applyAlignment="1">
      <alignment horizontal="center" vertical="center" wrapText="1"/>
    </xf>
    <xf numFmtId="0" fontId="142" fillId="0" borderId="0" xfId="216" applyFont="1" applyAlignment="1">
      <alignment horizontal="justify" vertical="center"/>
    </xf>
    <xf numFmtId="4" fontId="142" fillId="0" borderId="0" xfId="216" applyNumberFormat="1" applyFont="1" applyAlignment="1">
      <alignment horizontal="right" vertical="center"/>
    </xf>
    <xf numFmtId="10" fontId="14" fillId="0" borderId="0" xfId="216" applyNumberFormat="1" applyAlignment="1">
      <alignment horizontal="center" vertical="center"/>
    </xf>
    <xf numFmtId="3" fontId="14" fillId="0" borderId="0" xfId="216" applyNumberFormat="1" applyAlignment="1">
      <alignment horizontal="center" vertical="center"/>
    </xf>
    <xf numFmtId="0" fontId="141" fillId="0" borderId="0" xfId="216" applyFont="1" applyAlignment="1">
      <alignment horizontal="right" vertical="center"/>
    </xf>
    <xf numFmtId="49" fontId="49" fillId="0" borderId="0" xfId="216" applyNumberFormat="1" applyFont="1"/>
    <xf numFmtId="49" fontId="80" fillId="0" borderId="0" xfId="207" applyNumberFormat="1" applyFont="1" applyAlignment="1"/>
    <xf numFmtId="0" fontId="26" fillId="0" borderId="0" xfId="217"/>
    <xf numFmtId="4" fontId="73" fillId="0" borderId="169" xfId="218" applyNumberFormat="1" applyFont="1" applyBorder="1" applyAlignment="1">
      <alignment horizontal="right" vertical="center" indent="1"/>
    </xf>
    <xf numFmtId="4" fontId="73" fillId="0" borderId="170" xfId="218" applyNumberFormat="1" applyFont="1" applyBorder="1" applyAlignment="1">
      <alignment horizontal="right" vertical="center" indent="1"/>
    </xf>
    <xf numFmtId="4" fontId="73" fillId="0" borderId="171" xfId="218" applyNumberFormat="1" applyFont="1" applyBorder="1" applyAlignment="1">
      <alignment horizontal="right" vertical="center" indent="1"/>
    </xf>
    <xf numFmtId="4" fontId="26" fillId="0" borderId="171" xfId="218" applyNumberFormat="1" applyBorder="1" applyAlignment="1">
      <alignment horizontal="right" vertical="center" indent="1"/>
    </xf>
    <xf numFmtId="4" fontId="26" fillId="0" borderId="172" xfId="218" applyNumberFormat="1" applyBorder="1" applyAlignment="1">
      <alignment horizontal="right" vertical="center" indent="1"/>
    </xf>
    <xf numFmtId="4" fontId="14" fillId="0" borderId="0" xfId="216" applyNumberFormat="1"/>
    <xf numFmtId="173" fontId="143" fillId="0" borderId="0" xfId="220" applyNumberFormat="1" applyFont="1" applyAlignment="1" applyProtection="1">
      <alignment horizontal="left" vertical="center"/>
      <protection locked="0"/>
    </xf>
    <xf numFmtId="173" fontId="144" fillId="0" borderId="0" xfId="220" applyNumberFormat="1" applyFont="1" applyAlignment="1" applyProtection="1">
      <alignment horizontal="left" vertical="center"/>
      <protection locked="0"/>
    </xf>
    <xf numFmtId="0" fontId="74" fillId="0" borderId="176" xfId="220" applyFont="1" applyBorder="1" applyAlignment="1" applyProtection="1">
      <alignment horizontal="center" vertical="center" wrapText="1"/>
      <protection locked="0"/>
    </xf>
    <xf numFmtId="0" fontId="74" fillId="0" borderId="177" xfId="216" applyFont="1" applyBorder="1" applyAlignment="1">
      <alignment horizontal="center" vertical="center" wrapText="1"/>
    </xf>
    <xf numFmtId="173" fontId="30" fillId="0" borderId="179" xfId="220" applyNumberFormat="1" applyFont="1" applyBorder="1" applyAlignment="1" applyProtection="1">
      <alignment horizontal="left" vertical="center"/>
      <protection locked="0"/>
    </xf>
    <xf numFmtId="173" fontId="30" fillId="0" borderId="180" xfId="220" applyNumberFormat="1" applyFont="1" applyBorder="1" applyAlignment="1" applyProtection="1">
      <alignment horizontal="left" vertical="center"/>
      <protection locked="0"/>
    </xf>
    <xf numFmtId="4" fontId="14" fillId="0" borderId="181" xfId="216" applyNumberFormat="1" applyBorder="1" applyAlignment="1">
      <alignment vertical="center"/>
    </xf>
    <xf numFmtId="3" fontId="14" fillId="0" borderId="182" xfId="216" applyNumberFormat="1" applyBorder="1" applyAlignment="1">
      <alignment vertical="center"/>
    </xf>
    <xf numFmtId="4" fontId="14" fillId="0" borderId="183" xfId="216" applyNumberFormat="1" applyBorder="1" applyAlignment="1">
      <alignment vertical="center"/>
    </xf>
    <xf numFmtId="3" fontId="14" fillId="0" borderId="184" xfId="216" applyNumberFormat="1" applyBorder="1" applyAlignment="1">
      <alignment vertical="center"/>
    </xf>
    <xf numFmtId="3" fontId="14" fillId="0" borderId="0" xfId="216" applyNumberFormat="1"/>
    <xf numFmtId="173" fontId="59" fillId="0" borderId="178" xfId="220" applyNumberFormat="1" applyFont="1" applyBorder="1" applyAlignment="1" applyProtection="1">
      <alignment horizontal="left" vertical="center"/>
      <protection locked="0"/>
    </xf>
    <xf numFmtId="4" fontId="28" fillId="3" borderId="178" xfId="221" applyNumberFormat="1" applyFont="1" applyFill="1" applyBorder="1" applyAlignment="1">
      <alignment horizontal="center" vertical="center"/>
    </xf>
    <xf numFmtId="4" fontId="28" fillId="3" borderId="177" xfId="221" applyNumberFormat="1" applyFont="1" applyFill="1" applyBorder="1" applyAlignment="1">
      <alignment horizontal="center" vertical="center"/>
    </xf>
    <xf numFmtId="0" fontId="74" fillId="0" borderId="183" xfId="220" applyFont="1" applyBorder="1" applyAlignment="1" applyProtection="1">
      <alignment horizontal="center" vertical="center" wrapText="1"/>
      <protection locked="0"/>
    </xf>
    <xf numFmtId="0" fontId="74" fillId="0" borderId="184" xfId="216" applyFont="1" applyBorder="1" applyAlignment="1">
      <alignment horizontal="center" vertical="center" wrapText="1"/>
    </xf>
    <xf numFmtId="0" fontId="26" fillId="0" borderId="0" xfId="216" applyFont="1"/>
    <xf numFmtId="0" fontId="74" fillId="0" borderId="185" xfId="220" applyFont="1" applyBorder="1" applyAlignment="1" applyProtection="1">
      <alignment horizontal="center" vertical="center"/>
      <protection locked="0"/>
    </xf>
    <xf numFmtId="4" fontId="14" fillId="1" borderId="186" xfId="216" applyNumberFormat="1" applyFill="1" applyBorder="1" applyAlignment="1">
      <alignment vertical="center"/>
    </xf>
    <xf numFmtId="4" fontId="14" fillId="1" borderId="182" xfId="216" applyNumberFormat="1" applyFill="1" applyBorder="1" applyAlignment="1">
      <alignment vertical="center"/>
    </xf>
    <xf numFmtId="0" fontId="74" fillId="0" borderId="189" xfId="220" applyFont="1" applyBorder="1" applyAlignment="1" applyProtection="1">
      <alignment horizontal="center" vertical="center"/>
      <protection locked="0"/>
    </xf>
    <xf numFmtId="3" fontId="14" fillId="0" borderId="192" xfId="216" applyNumberFormat="1" applyBorder="1" applyAlignment="1">
      <alignment vertical="center"/>
    </xf>
    <xf numFmtId="4" fontId="14" fillId="0" borderId="193" xfId="216" applyNumberFormat="1" applyBorder="1" applyAlignment="1">
      <alignment vertical="center"/>
    </xf>
    <xf numFmtId="3" fontId="14" fillId="0" borderId="194" xfId="216" applyNumberFormat="1" applyBorder="1" applyAlignment="1">
      <alignment vertical="center"/>
    </xf>
    <xf numFmtId="4" fontId="14" fillId="1" borderId="190" xfId="216" applyNumberFormat="1" applyFill="1" applyBorder="1" applyAlignment="1">
      <alignment vertical="center"/>
    </xf>
    <xf numFmtId="4" fontId="14" fillId="1" borderId="194" xfId="216" applyNumberFormat="1" applyFill="1" applyBorder="1" applyAlignment="1">
      <alignment vertical="center"/>
    </xf>
    <xf numFmtId="3" fontId="14" fillId="1" borderId="194" xfId="216" applyNumberFormat="1" applyFill="1" applyBorder="1" applyAlignment="1">
      <alignment vertical="center"/>
    </xf>
    <xf numFmtId="4" fontId="14" fillId="1" borderId="196" xfId="216" applyNumberFormat="1" applyFill="1" applyBorder="1" applyAlignment="1">
      <alignment vertical="center"/>
    </xf>
    <xf numFmtId="3" fontId="14" fillId="1" borderId="199" xfId="216" applyNumberFormat="1" applyFill="1" applyBorder="1" applyAlignment="1">
      <alignment vertical="center"/>
    </xf>
    <xf numFmtId="4" fontId="14" fillId="1" borderId="199" xfId="216" applyNumberFormat="1" applyFill="1" applyBorder="1" applyAlignment="1">
      <alignment vertical="center"/>
    </xf>
    <xf numFmtId="4" fontId="14" fillId="0" borderId="0" xfId="216" applyNumberFormat="1" applyAlignment="1">
      <alignment vertical="center"/>
    </xf>
    <xf numFmtId="0" fontId="74" fillId="0" borderId="200" xfId="220" quotePrefix="1" applyFont="1" applyBorder="1" applyAlignment="1">
      <alignment horizontal="center" vertical="center"/>
    </xf>
    <xf numFmtId="4" fontId="14" fillId="0" borderId="181" xfId="216" applyNumberFormat="1" applyBorder="1" applyAlignment="1">
      <alignment horizontal="right" vertical="center"/>
    </xf>
    <xf numFmtId="3" fontId="14" fillId="0" borderId="182" xfId="216" applyNumberFormat="1" applyBorder="1" applyAlignment="1">
      <alignment horizontal="right" vertical="center"/>
    </xf>
    <xf numFmtId="0" fontId="74" fillId="0" borderId="189" xfId="220" quotePrefix="1" applyFont="1" applyBorder="1" applyAlignment="1">
      <alignment horizontal="center" vertical="center"/>
    </xf>
    <xf numFmtId="0" fontId="74" fillId="0" borderId="195" xfId="220" quotePrefix="1" applyFont="1" applyBorder="1" applyAlignment="1">
      <alignment horizontal="center" vertical="center"/>
    </xf>
    <xf numFmtId="0" fontId="80" fillId="0" borderId="0" xfId="216" applyFont="1"/>
    <xf numFmtId="14" fontId="14" fillId="0" borderId="0" xfId="216" applyNumberFormat="1"/>
    <xf numFmtId="4" fontId="14" fillId="0" borderId="208" xfId="216" applyNumberFormat="1" applyBorder="1" applyAlignment="1">
      <alignment horizontal="right" vertical="center"/>
    </xf>
    <xf numFmtId="3" fontId="14" fillId="0" borderId="192" xfId="216" applyNumberFormat="1" applyBorder="1" applyAlignment="1">
      <alignment horizontal="right" vertical="center"/>
    </xf>
    <xf numFmtId="0" fontId="74" fillId="0" borderId="201" xfId="220" applyFont="1" applyBorder="1" applyAlignment="1" applyProtection="1">
      <alignment horizontal="center" vertical="center"/>
      <protection locked="0"/>
    </xf>
    <xf numFmtId="0" fontId="0" fillId="0" borderId="210" xfId="0" applyBorder="1"/>
    <xf numFmtId="0" fontId="0" fillId="0" borderId="211" xfId="0" applyBorder="1"/>
    <xf numFmtId="0" fontId="0" fillId="0" borderId="212" xfId="0" applyBorder="1"/>
    <xf numFmtId="0" fontId="146" fillId="0" borderId="0" xfId="0" applyFont="1"/>
    <xf numFmtId="0" fontId="0" fillId="0" borderId="214" xfId="0" applyBorder="1"/>
    <xf numFmtId="0" fontId="146" fillId="0" borderId="215" xfId="0" applyFont="1" applyBorder="1"/>
    <xf numFmtId="0" fontId="146" fillId="0" borderId="216" xfId="0" applyFont="1" applyBorder="1"/>
    <xf numFmtId="0" fontId="0" fillId="0" borderId="217" xfId="0" applyBorder="1"/>
    <xf numFmtId="0" fontId="125" fillId="0" borderId="213" xfId="180" applyBorder="1"/>
    <xf numFmtId="0" fontId="13" fillId="0" borderId="0" xfId="216" applyFont="1"/>
    <xf numFmtId="0" fontId="125" fillId="0" borderId="0" xfId="180"/>
    <xf numFmtId="0" fontId="125" fillId="0" borderId="0" xfId="180" applyBorder="1"/>
    <xf numFmtId="14" fontId="12" fillId="3" borderId="146" xfId="97" applyNumberFormat="1" applyFont="1" applyFill="1" applyBorder="1" applyAlignment="1">
      <alignment horizontal="center" vertical="center"/>
    </xf>
    <xf numFmtId="14" fontId="45" fillId="0" borderId="0" xfId="97" applyNumberFormat="1" applyFont="1" applyAlignment="1">
      <alignment horizontal="center" vertical="center"/>
    </xf>
    <xf numFmtId="14" fontId="45" fillId="0" borderId="218" xfId="97" applyNumberFormat="1" applyFont="1" applyBorder="1" applyAlignment="1">
      <alignment horizontal="center" vertical="center"/>
    </xf>
    <xf numFmtId="0" fontId="48" fillId="0" borderId="89" xfId="0" applyFont="1" applyBorder="1" applyAlignment="1">
      <alignment horizontal="left" vertical="center"/>
    </xf>
    <xf numFmtId="0" fontId="48" fillId="0" borderId="0" xfId="0" applyFont="1"/>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0" fontId="28" fillId="0" borderId="0" xfId="217" applyFont="1" applyAlignment="1">
      <alignment vertical="center"/>
    </xf>
    <xf numFmtId="0" fontId="96" fillId="0" borderId="0" xfId="217" applyFont="1" applyAlignment="1">
      <alignment vertical="center"/>
    </xf>
    <xf numFmtId="0" fontId="97" fillId="7" borderId="124" xfId="217" applyFont="1" applyFill="1" applyBorder="1" applyAlignment="1">
      <alignment horizontal="left" vertical="center" indent="1"/>
    </xf>
    <xf numFmtId="3" fontId="70" fillId="5" borderId="125" xfId="217" applyNumberFormat="1" applyFont="1" applyFill="1" applyBorder="1" applyAlignment="1">
      <alignment horizontal="center" vertical="center"/>
    </xf>
    <xf numFmtId="44" fontId="28" fillId="0" borderId="0" xfId="205" applyFont="1" applyAlignment="1">
      <alignment vertical="center"/>
    </xf>
    <xf numFmtId="44" fontId="96" fillId="0" borderId="0" xfId="205" applyFont="1" applyAlignment="1">
      <alignment vertical="center"/>
    </xf>
    <xf numFmtId="0" fontId="97" fillId="7" borderId="223" xfId="205" applyNumberFormat="1" applyFont="1" applyFill="1" applyBorder="1" applyAlignment="1">
      <alignment horizontal="left" vertical="center" indent="1"/>
    </xf>
    <xf numFmtId="175" fontId="98" fillId="5" borderId="224" xfId="205" applyNumberFormat="1" applyFont="1" applyFill="1" applyBorder="1" applyAlignment="1">
      <alignment horizontal="center" vertical="center"/>
    </xf>
    <xf numFmtId="44" fontId="26" fillId="0" borderId="0" xfId="205" applyFont="1"/>
    <xf numFmtId="0" fontId="97" fillId="7" borderId="223" xfId="217" applyFont="1" applyFill="1" applyBorder="1" applyAlignment="1">
      <alignment horizontal="left" vertical="center" indent="1"/>
    </xf>
    <xf numFmtId="9" fontId="98" fillId="5" borderId="224" xfId="16" applyFont="1" applyFill="1" applyBorder="1" applyAlignment="1">
      <alignment horizontal="center" vertical="center"/>
    </xf>
    <xf numFmtId="4" fontId="28" fillId="0" borderId="0" xfId="217" applyNumberFormat="1" applyFont="1" applyAlignment="1">
      <alignment vertical="center"/>
    </xf>
    <xf numFmtId="0" fontId="97" fillId="7" borderId="225" xfId="217" applyFont="1" applyFill="1" applyBorder="1" applyAlignment="1">
      <alignment horizontal="left" vertical="center" indent="1"/>
    </xf>
    <xf numFmtId="4" fontId="96" fillId="0" borderId="0" xfId="217" applyNumberFormat="1" applyFont="1" applyAlignment="1">
      <alignment vertical="center"/>
    </xf>
    <xf numFmtId="176" fontId="28" fillId="0" borderId="0" xfId="96" applyNumberFormat="1" applyFont="1" applyAlignment="1">
      <alignment vertical="center"/>
    </xf>
    <xf numFmtId="0" fontId="28" fillId="0" borderId="0" xfId="217" applyFont="1" applyAlignment="1">
      <alignment horizontal="center" vertical="center"/>
    </xf>
    <xf numFmtId="0" fontId="51" fillId="0" borderId="0" xfId="217" applyFont="1" applyAlignment="1">
      <alignment horizontal="center"/>
    </xf>
    <xf numFmtId="0" fontId="83" fillId="0" borderId="0" xfId="217" applyFont="1" applyAlignment="1">
      <alignment horizontal="center" vertical="center" wrapText="1"/>
    </xf>
    <xf numFmtId="0" fontId="92" fillId="0" borderId="0" xfId="217" applyFont="1" applyAlignment="1">
      <alignment horizontal="center" vertical="center"/>
    </xf>
    <xf numFmtId="14" fontId="83" fillId="6" borderId="79" xfId="217" applyNumberFormat="1" applyFont="1" applyFill="1" applyBorder="1" applyAlignment="1">
      <alignment horizontal="center" vertical="center"/>
    </xf>
    <xf numFmtId="14" fontId="83" fillId="0" borderId="0" xfId="217" applyNumberFormat="1" applyFont="1" applyAlignment="1">
      <alignment horizontal="center" vertical="center"/>
    </xf>
    <xf numFmtId="4" fontId="83" fillId="6" borderId="66" xfId="217" applyNumberFormat="1" applyFont="1" applyFill="1" applyBorder="1" applyAlignment="1">
      <alignment horizontal="center" vertical="center"/>
    </xf>
    <xf numFmtId="4" fontId="83" fillId="6" borderId="67" xfId="217" applyNumberFormat="1" applyFont="1" applyFill="1" applyBorder="1" applyAlignment="1">
      <alignment horizontal="center" vertical="center"/>
    </xf>
    <xf numFmtId="3" fontId="83" fillId="6" borderId="227" xfId="217" applyNumberFormat="1" applyFont="1" applyFill="1" applyBorder="1" applyAlignment="1">
      <alignment horizontal="center" vertical="center"/>
    </xf>
    <xf numFmtId="4" fontId="83" fillId="6" borderId="68" xfId="217" applyNumberFormat="1" applyFont="1" applyFill="1" applyBorder="1" applyAlignment="1">
      <alignment horizontal="center" vertical="center"/>
    </xf>
    <xf numFmtId="3" fontId="83" fillId="6" borderId="67" xfId="217" applyNumberFormat="1" applyFont="1" applyFill="1" applyBorder="1" applyAlignment="1">
      <alignment horizontal="center" vertical="center"/>
    </xf>
    <xf numFmtId="0" fontId="74" fillId="0" borderId="0" xfId="217" applyFont="1" applyAlignment="1">
      <alignment horizontal="center" vertical="center"/>
    </xf>
    <xf numFmtId="0" fontId="107" fillId="0" borderId="0" xfId="217" applyFont="1" applyAlignment="1">
      <alignment horizontal="center" vertical="center"/>
    </xf>
    <xf numFmtId="14" fontId="99" fillId="0" borderId="80" xfId="217" applyNumberFormat="1" applyFont="1" applyBorder="1" applyAlignment="1">
      <alignment horizontal="center" vertical="center"/>
    </xf>
    <xf numFmtId="14" fontId="99" fillId="0" borderId="0" xfId="217" applyNumberFormat="1" applyFont="1" applyAlignment="1">
      <alignment horizontal="center" vertical="center"/>
    </xf>
    <xf numFmtId="4" fontId="91" fillId="0" borderId="69" xfId="217" applyNumberFormat="1" applyFont="1" applyBorder="1" applyAlignment="1">
      <alignment horizontal="center" vertical="center"/>
    </xf>
    <xf numFmtId="4" fontId="99" fillId="0" borderId="166" xfId="217" applyNumberFormat="1" applyFont="1" applyBorder="1" applyAlignment="1">
      <alignment horizontal="center" vertical="center"/>
    </xf>
    <xf numFmtId="4" fontId="91" fillId="6" borderId="166" xfId="217" applyNumberFormat="1" applyFont="1" applyFill="1" applyBorder="1" applyAlignment="1">
      <alignment horizontal="center" vertical="center"/>
    </xf>
    <xf numFmtId="3" fontId="91" fillId="0" borderId="228" xfId="217" applyNumberFormat="1" applyFont="1" applyBorder="1" applyAlignment="1">
      <alignment horizontal="center" vertical="center"/>
    </xf>
    <xf numFmtId="4" fontId="99" fillId="0" borderId="70" xfId="217" applyNumberFormat="1" applyFont="1" applyBorder="1" applyAlignment="1">
      <alignment horizontal="center" vertical="center"/>
    </xf>
    <xf numFmtId="4" fontId="99" fillId="0" borderId="0" xfId="217" applyNumberFormat="1" applyFont="1" applyAlignment="1">
      <alignment horizontal="center" vertical="center"/>
    </xf>
    <xf numFmtId="4" fontId="99" fillId="0" borderId="69" xfId="217" applyNumberFormat="1" applyFont="1" applyBorder="1" applyAlignment="1">
      <alignment horizontal="center" vertical="center"/>
    </xf>
    <xf numFmtId="0" fontId="100" fillId="0" borderId="0" xfId="217" applyFont="1" applyAlignment="1">
      <alignment horizontal="center" vertical="center"/>
    </xf>
    <xf numFmtId="0" fontId="80" fillId="0" borderId="0" xfId="217" applyFont="1"/>
    <xf numFmtId="11" fontId="99" fillId="0" borderId="65" xfId="217" applyNumberFormat="1" applyFont="1" applyBorder="1" applyAlignment="1">
      <alignment horizontal="center" vertical="center"/>
    </xf>
    <xf numFmtId="14" fontId="91" fillId="0" borderId="0" xfId="217" applyNumberFormat="1" applyFont="1" applyAlignment="1">
      <alignment horizontal="center" vertical="center"/>
    </xf>
    <xf numFmtId="4" fontId="91" fillId="0" borderId="0" xfId="217" applyNumberFormat="1" applyFont="1" applyAlignment="1">
      <alignment horizontal="center" vertical="center"/>
    </xf>
    <xf numFmtId="4" fontId="91" fillId="0" borderId="166" xfId="217" applyNumberFormat="1" applyFont="1" applyBorder="1" applyAlignment="1">
      <alignment horizontal="center" vertical="center"/>
    </xf>
    <xf numFmtId="4" fontId="91" fillId="0" borderId="70" xfId="217" applyNumberFormat="1" applyFont="1" applyBorder="1" applyAlignment="1">
      <alignment horizontal="center" vertical="center"/>
    </xf>
    <xf numFmtId="4" fontId="147" fillId="0" borderId="69" xfId="217" applyNumberFormat="1" applyFont="1" applyBorder="1" applyAlignment="1">
      <alignment horizontal="center" vertical="center"/>
    </xf>
    <xf numFmtId="14" fontId="99" fillId="0" borderId="81" xfId="217" applyNumberFormat="1" applyFont="1" applyBorder="1" applyAlignment="1">
      <alignment horizontal="center" vertical="center"/>
    </xf>
    <xf numFmtId="4" fontId="99" fillId="0" borderId="71" xfId="217" applyNumberFormat="1" applyFont="1" applyBorder="1" applyAlignment="1">
      <alignment horizontal="center" vertical="center"/>
    </xf>
    <xf numFmtId="4" fontId="91" fillId="0" borderId="167" xfId="217" applyNumberFormat="1" applyFont="1" applyBorder="1" applyAlignment="1">
      <alignment horizontal="center" vertical="center"/>
    </xf>
    <xf numFmtId="4" fontId="91" fillId="6" borderId="167" xfId="217" applyNumberFormat="1" applyFont="1" applyFill="1" applyBorder="1" applyAlignment="1">
      <alignment horizontal="center" vertical="center"/>
    </xf>
    <xf numFmtId="3" fontId="91" fillId="0" borderId="229" xfId="217" applyNumberFormat="1" applyFont="1" applyBorder="1" applyAlignment="1">
      <alignment horizontal="center" vertical="center"/>
    </xf>
    <xf numFmtId="4" fontId="91" fillId="0" borderId="72" xfId="217" applyNumberFormat="1" applyFont="1" applyBorder="1" applyAlignment="1">
      <alignment horizontal="center" vertical="center"/>
    </xf>
    <xf numFmtId="14" fontId="28" fillId="0" borderId="0" xfId="217" applyNumberFormat="1" applyFont="1" applyAlignment="1">
      <alignment vertical="center"/>
    </xf>
    <xf numFmtId="3" fontId="28" fillId="0" borderId="0" xfId="217" applyNumberFormat="1" applyFont="1" applyAlignment="1">
      <alignment vertical="center"/>
    </xf>
    <xf numFmtId="0" fontId="26" fillId="11" borderId="88" xfId="103" applyFill="1" applyBorder="1"/>
    <xf numFmtId="0" fontId="51" fillId="11" borderId="230" xfId="103" applyFont="1" applyFill="1" applyBorder="1" applyAlignment="1">
      <alignment horizontal="center" vertical="center"/>
    </xf>
    <xf numFmtId="0" fontId="51" fillId="11" borderId="231" xfId="103" applyFont="1" applyFill="1" applyBorder="1" applyAlignment="1">
      <alignment horizontal="center" vertical="center"/>
    </xf>
    <xf numFmtId="0" fontId="12" fillId="0" borderId="0" xfId="223"/>
    <xf numFmtId="0" fontId="26" fillId="11" borderId="218" xfId="103" applyFill="1" applyBorder="1" applyAlignment="1">
      <alignment vertical="center"/>
    </xf>
    <xf numFmtId="0" fontId="83" fillId="3" borderId="107" xfId="103" applyFont="1" applyFill="1" applyBorder="1" applyAlignment="1">
      <alignment horizontal="center" vertical="center"/>
    </xf>
    <xf numFmtId="0" fontId="26" fillId="11" borderId="142" xfId="103" applyFill="1" applyBorder="1" applyAlignment="1">
      <alignment vertical="center"/>
    </xf>
    <xf numFmtId="0" fontId="26" fillId="11" borderId="218" xfId="103" applyFill="1" applyBorder="1"/>
    <xf numFmtId="0" fontId="28" fillId="11" borderId="0" xfId="103" applyFont="1" applyFill="1" applyAlignment="1">
      <alignment vertical="center"/>
    </xf>
    <xf numFmtId="167" fontId="84" fillId="65" borderId="107" xfId="103" applyNumberFormat="1" applyFont="1" applyFill="1" applyBorder="1" applyAlignment="1">
      <alignment horizontal="right" vertical="center" indent="1"/>
    </xf>
    <xf numFmtId="0" fontId="28" fillId="11" borderId="142" xfId="103" applyFont="1" applyFill="1" applyBorder="1" applyAlignment="1">
      <alignment vertical="center"/>
    </xf>
    <xf numFmtId="167" fontId="26" fillId="0" borderId="0" xfId="217" applyNumberFormat="1"/>
    <xf numFmtId="0" fontId="85" fillId="5" borderId="48" xfId="103" applyFont="1" applyFill="1" applyBorder="1" applyAlignment="1">
      <alignment horizontal="center" vertical="center"/>
    </xf>
    <xf numFmtId="4" fontId="148" fillId="3" borderId="48" xfId="103" applyNumberFormat="1" applyFont="1" applyFill="1" applyBorder="1" applyAlignment="1">
      <alignment horizontal="right" vertical="center" indent="1"/>
    </xf>
    <xf numFmtId="167" fontId="149" fillId="3" borderId="48" xfId="103" applyNumberFormat="1" applyFont="1" applyFill="1" applyBorder="1" applyAlignment="1">
      <alignment horizontal="right" vertical="center" indent="1"/>
    </xf>
    <xf numFmtId="0" fontId="88" fillId="5" borderId="48" xfId="103" applyFont="1" applyFill="1" applyBorder="1" applyAlignment="1">
      <alignment horizontal="center" vertical="center"/>
    </xf>
    <xf numFmtId="0" fontId="26" fillId="11" borderId="142" xfId="103" applyFill="1" applyBorder="1"/>
    <xf numFmtId="4" fontId="26" fillId="0" borderId="0" xfId="217" applyNumberFormat="1"/>
    <xf numFmtId="4" fontId="12" fillId="0" borderId="0" xfId="205" applyNumberFormat="1" applyFont="1"/>
    <xf numFmtId="0" fontId="26" fillId="11" borderId="18" xfId="103" applyFill="1" applyBorder="1"/>
    <xf numFmtId="0" fontId="28" fillId="11" borderId="126" xfId="103" applyFont="1" applyFill="1" applyBorder="1" applyAlignment="1">
      <alignment vertical="center"/>
    </xf>
    <xf numFmtId="0" fontId="28" fillId="11" borderId="114" xfId="103" applyFont="1" applyFill="1" applyBorder="1" applyAlignment="1">
      <alignment vertical="center"/>
    </xf>
    <xf numFmtId="0" fontId="26" fillId="11" borderId="232" xfId="103" applyFill="1" applyBorder="1"/>
    <xf numFmtId="0" fontId="26" fillId="6" borderId="88" xfId="103" applyFill="1" applyBorder="1"/>
    <xf numFmtId="0" fontId="51" fillId="6" borderId="230" xfId="103" applyFont="1" applyFill="1" applyBorder="1" applyAlignment="1">
      <alignment horizontal="center" vertical="center"/>
    </xf>
    <xf numFmtId="0" fontId="51" fillId="6" borderId="231" xfId="103" applyFont="1" applyFill="1" applyBorder="1" applyAlignment="1">
      <alignment horizontal="center" vertical="center"/>
    </xf>
    <xf numFmtId="0" fontId="26" fillId="6" borderId="218" xfId="103" applyFill="1" applyBorder="1" applyAlignment="1">
      <alignment vertical="center"/>
    </xf>
    <xf numFmtId="0" fontId="26" fillId="6" borderId="142" xfId="103" applyFill="1" applyBorder="1" applyAlignment="1">
      <alignment vertical="center"/>
    </xf>
    <xf numFmtId="0" fontId="26" fillId="6" borderId="218" xfId="103" applyFill="1" applyBorder="1"/>
    <xf numFmtId="0" fontId="28" fillId="6" borderId="0" xfId="103" applyFont="1" applyFill="1" applyAlignment="1">
      <alignment vertical="center"/>
    </xf>
    <xf numFmtId="0" fontId="28" fillId="6" borderId="142" xfId="103" applyFont="1" applyFill="1" applyBorder="1" applyAlignment="1">
      <alignment vertical="center"/>
    </xf>
    <xf numFmtId="0" fontId="26" fillId="6" borderId="142" xfId="103" applyFill="1" applyBorder="1"/>
    <xf numFmtId="0" fontId="26" fillId="6" borderId="18" xfId="103" applyFill="1" applyBorder="1"/>
    <xf numFmtId="0" fontId="28" fillId="6" borderId="126" xfId="103" applyFont="1" applyFill="1" applyBorder="1" applyAlignment="1">
      <alignment vertical="center"/>
    </xf>
    <xf numFmtId="0" fontId="28" fillId="6" borderId="114" xfId="103" applyFont="1" applyFill="1" applyBorder="1" applyAlignment="1">
      <alignment vertical="center"/>
    </xf>
    <xf numFmtId="0" fontId="26" fillId="6" borderId="232" xfId="103" applyFill="1" applyBorder="1"/>
    <xf numFmtId="0" fontId="23" fillId="5" borderId="0" xfId="99" applyFill="1"/>
    <xf numFmtId="0" fontId="92" fillId="5" borderId="0" xfId="103" applyFont="1" applyFill="1" applyAlignment="1">
      <alignment vertical="center"/>
    </xf>
    <xf numFmtId="167" fontId="94" fillId="5" borderId="0" xfId="103" applyNumberFormat="1" applyFont="1" applyFill="1" applyAlignment="1">
      <alignment horizontal="right" vertical="center" indent="1"/>
    </xf>
    <xf numFmtId="4" fontId="23" fillId="5" borderId="0" xfId="99" applyNumberFormat="1" applyFill="1"/>
    <xf numFmtId="0" fontId="150" fillId="66" borderId="39" xfId="97" applyFont="1" applyFill="1" applyBorder="1" applyAlignment="1">
      <alignment horizontal="left" indent="2"/>
    </xf>
    <xf numFmtId="0" fontId="150" fillId="66" borderId="162" xfId="97" applyFont="1" applyFill="1" applyBorder="1" applyAlignment="1">
      <alignment horizontal="left" indent="2"/>
    </xf>
    <xf numFmtId="0" fontId="150" fillId="66" borderId="42" xfId="97" applyFont="1" applyFill="1" applyBorder="1" applyAlignment="1">
      <alignment horizontal="left" indent="2"/>
    </xf>
    <xf numFmtId="169" fontId="150" fillId="66" borderId="42" xfId="97" applyNumberFormat="1" applyFont="1" applyFill="1" applyBorder="1" applyAlignment="1">
      <alignment horizontal="left" indent="2"/>
    </xf>
    <xf numFmtId="0" fontId="133" fillId="66" borderId="52" xfId="103" applyFont="1" applyFill="1" applyBorder="1" applyAlignment="1">
      <alignment horizontal="left" vertical="center" indent="1"/>
    </xf>
    <xf numFmtId="0" fontId="50" fillId="66" borderId="52" xfId="103" applyFont="1" applyFill="1" applyBorder="1" applyAlignment="1">
      <alignment vertical="center"/>
    </xf>
    <xf numFmtId="0" fontId="50" fillId="66" borderId="53" xfId="103" applyFont="1" applyFill="1" applyBorder="1"/>
    <xf numFmtId="0" fontId="50" fillId="66" borderId="116" xfId="103" applyFont="1" applyFill="1" applyBorder="1" applyAlignment="1">
      <alignment vertical="center"/>
    </xf>
    <xf numFmtId="0" fontId="50" fillId="66" borderId="117" xfId="103" applyFont="1" applyFill="1" applyBorder="1" applyAlignment="1">
      <alignment vertical="center"/>
    </xf>
    <xf numFmtId="0" fontId="83" fillId="67" borderId="173" xfId="0" applyFont="1" applyFill="1" applyBorder="1" applyAlignment="1">
      <alignment horizontal="center" vertical="center" wrapText="1"/>
    </xf>
    <xf numFmtId="0" fontId="97" fillId="7" borderId="233" xfId="217" applyFont="1" applyFill="1" applyBorder="1" applyAlignment="1">
      <alignment horizontal="left" vertical="center" indent="1"/>
    </xf>
    <xf numFmtId="9" fontId="98" fillId="5" borderId="234" xfId="16" applyFont="1" applyFill="1" applyBorder="1" applyAlignment="1">
      <alignment horizontal="center" vertical="center"/>
    </xf>
    <xf numFmtId="0" fontId="28" fillId="67" borderId="3" xfId="0" applyFont="1" applyFill="1" applyBorder="1" applyAlignment="1">
      <alignment horizontal="center" vertical="center" wrapText="1"/>
    </xf>
    <xf numFmtId="0" fontId="28" fillId="67" borderId="4" xfId="0" applyFont="1" applyFill="1" applyBorder="1" applyAlignment="1">
      <alignment horizontal="center" vertical="center" wrapText="1"/>
    </xf>
    <xf numFmtId="4" fontId="28" fillId="67" borderId="8" xfId="0" applyNumberFormat="1" applyFont="1" applyFill="1" applyBorder="1" applyAlignment="1">
      <alignment horizontal="center" vertical="center" wrapText="1"/>
    </xf>
    <xf numFmtId="4" fontId="28" fillId="67" borderId="4" xfId="0" applyNumberFormat="1" applyFont="1" applyFill="1" applyBorder="1" applyAlignment="1">
      <alignment horizontal="center" vertical="center" wrapText="1"/>
    </xf>
    <xf numFmtId="4" fontId="28" fillId="67" borderId="26" xfId="0" applyNumberFormat="1" applyFont="1" applyFill="1" applyBorder="1" applyAlignment="1">
      <alignment horizontal="center" vertical="center" wrapText="1"/>
    </xf>
    <xf numFmtId="0" fontId="28" fillId="67" borderId="22" xfId="0" applyFont="1" applyFill="1" applyBorder="1" applyAlignment="1">
      <alignment horizontal="center" vertical="center" wrapText="1"/>
    </xf>
    <xf numFmtId="4" fontId="129" fillId="0" borderId="48" xfId="0" applyNumberFormat="1" applyFont="1" applyBorder="1" applyAlignment="1">
      <alignment horizontal="left" vertical="center"/>
    </xf>
    <xf numFmtId="4" fontId="129" fillId="55" borderId="48" xfId="0" applyNumberFormat="1" applyFont="1" applyFill="1" applyBorder="1" applyAlignment="1">
      <alignment horizontal="left" vertical="center"/>
    </xf>
    <xf numFmtId="0" fontId="130" fillId="18" borderId="7" xfId="0" applyFont="1" applyFill="1" applyBorder="1" applyAlignment="1">
      <alignment horizontal="left" vertical="center" indent="1"/>
    </xf>
    <xf numFmtId="4" fontId="26" fillId="0" borderId="236" xfId="218" applyNumberFormat="1" applyBorder="1" applyAlignment="1">
      <alignment horizontal="right" vertical="center" indent="1"/>
    </xf>
    <xf numFmtId="4" fontId="26" fillId="0" borderId="237" xfId="218" applyNumberFormat="1" applyBorder="1" applyAlignment="1">
      <alignment horizontal="right" vertical="center" indent="1"/>
    </xf>
    <xf numFmtId="4" fontId="26" fillId="0" borderId="238" xfId="218" applyNumberFormat="1" applyBorder="1" applyAlignment="1">
      <alignment horizontal="right" vertical="center" indent="1"/>
    </xf>
    <xf numFmtId="0" fontId="153" fillId="67" borderId="239" xfId="0" applyFont="1" applyFill="1" applyBorder="1" applyAlignment="1">
      <alignment horizontal="center" vertical="center" wrapText="1"/>
    </xf>
    <xf numFmtId="0" fontId="153" fillId="67" borderId="240" xfId="0" applyFont="1" applyFill="1" applyBorder="1" applyAlignment="1">
      <alignment horizontal="center" vertical="center" wrapText="1"/>
    </xf>
    <xf numFmtId="0" fontId="153" fillId="67" borderId="241" xfId="0" applyFont="1" applyFill="1" applyBorder="1" applyAlignment="1">
      <alignment horizontal="center" vertical="center" wrapText="1"/>
    </xf>
    <xf numFmtId="0" fontId="50" fillId="66" borderId="58" xfId="103" applyFont="1" applyFill="1" applyBorder="1" applyAlignment="1">
      <alignment vertical="center"/>
    </xf>
    <xf numFmtId="4" fontId="50" fillId="66" borderId="58" xfId="103" applyNumberFormat="1" applyFont="1" applyFill="1" applyBorder="1" applyAlignment="1">
      <alignment vertical="center"/>
    </xf>
    <xf numFmtId="4" fontId="50" fillId="66" borderId="53" xfId="103" applyNumberFormat="1" applyFont="1" applyFill="1" applyBorder="1"/>
    <xf numFmtId="0" fontId="50" fillId="66" borderId="58" xfId="103" applyFont="1" applyFill="1" applyBorder="1"/>
    <xf numFmtId="0" fontId="50" fillId="66" borderId="117" xfId="103" applyFont="1" applyFill="1" applyBorder="1"/>
    <xf numFmtId="0" fontId="28" fillId="67" borderId="12" xfId="0" applyFont="1" applyFill="1" applyBorder="1" applyAlignment="1">
      <alignment horizontal="centerContinuous" vertical="center"/>
    </xf>
    <xf numFmtId="4" fontId="28" fillId="67" borderId="12" xfId="0" applyNumberFormat="1" applyFont="1" applyFill="1" applyBorder="1" applyAlignment="1">
      <alignment horizontal="centerContinuous" vertical="center"/>
    </xf>
    <xf numFmtId="0" fontId="28" fillId="67" borderId="7" xfId="0" applyFont="1" applyFill="1" applyBorder="1" applyAlignment="1">
      <alignment horizontal="centerContinuous" vertical="center"/>
    </xf>
    <xf numFmtId="0" fontId="28" fillId="67" borderId="8" xfId="0" applyFont="1" applyFill="1" applyBorder="1" applyAlignment="1">
      <alignment horizontal="centerContinuous" vertical="center"/>
    </xf>
    <xf numFmtId="0" fontId="28" fillId="67" borderId="11" xfId="0" applyFont="1" applyFill="1" applyBorder="1" applyAlignment="1">
      <alignment horizontal="centerContinuous" vertical="center"/>
    </xf>
    <xf numFmtId="4" fontId="28" fillId="67" borderId="8" xfId="0" applyNumberFormat="1" applyFont="1" applyFill="1" applyBorder="1" applyAlignment="1">
      <alignment horizontal="centerContinuous" vertical="center"/>
    </xf>
    <xf numFmtId="0" fontId="50" fillId="66" borderId="57" xfId="103" applyFont="1" applyFill="1" applyBorder="1" applyAlignment="1">
      <alignment vertical="center"/>
    </xf>
    <xf numFmtId="0" fontId="28" fillId="67" borderId="7" xfId="0" applyFont="1" applyFill="1" applyBorder="1" applyAlignment="1">
      <alignment horizontal="centerContinuous" vertical="center" wrapText="1"/>
    </xf>
    <xf numFmtId="0" fontId="28" fillId="67" borderId="8" xfId="0" applyFont="1" applyFill="1" applyBorder="1" applyAlignment="1">
      <alignment horizontal="centerContinuous" vertical="center" wrapText="1"/>
    </xf>
    <xf numFmtId="0" fontId="28" fillId="67" borderId="11" xfId="0" applyFont="1" applyFill="1" applyBorder="1" applyAlignment="1">
      <alignment horizontal="centerContinuous" vertical="center" wrapText="1"/>
    </xf>
    <xf numFmtId="0" fontId="83" fillId="67" borderId="76" xfId="0" applyFont="1" applyFill="1" applyBorder="1" applyAlignment="1">
      <alignment horizontal="center" vertical="center" wrapText="1"/>
    </xf>
    <xf numFmtId="0" fontId="28" fillId="66" borderId="0" xfId="103" applyFont="1" applyFill="1" applyAlignment="1">
      <alignment horizontal="left" vertical="center" indent="1"/>
    </xf>
    <xf numFmtId="0" fontId="48" fillId="66" borderId="0" xfId="103" applyFont="1" applyFill="1" applyAlignment="1">
      <alignment horizontal="left" vertical="center" indent="1"/>
    </xf>
    <xf numFmtId="0" fontId="30" fillId="66" borderId="0" xfId="103" applyFont="1" applyFill="1" applyAlignment="1">
      <alignment vertical="center"/>
    </xf>
    <xf numFmtId="0" fontId="30" fillId="66" borderId="0" xfId="103" applyFont="1" applyFill="1"/>
    <xf numFmtId="0" fontId="50" fillId="66" borderId="136" xfId="222" applyFont="1" applyFill="1" applyBorder="1"/>
    <xf numFmtId="0" fontId="50" fillId="66" borderId="137" xfId="222" applyFont="1" applyFill="1" applyBorder="1"/>
    <xf numFmtId="0" fontId="50" fillId="66" borderId="53" xfId="103" applyFont="1" applyFill="1" applyBorder="1" applyAlignment="1">
      <alignment vertical="center"/>
    </xf>
    <xf numFmtId="14" fontId="50" fillId="66" borderId="53" xfId="103" applyNumberFormat="1" applyFont="1" applyFill="1" applyBorder="1" applyAlignment="1">
      <alignment horizontal="center" vertical="center"/>
    </xf>
    <xf numFmtId="0" fontId="50" fillId="66" borderId="53" xfId="103" applyFont="1" applyFill="1" applyBorder="1" applyAlignment="1">
      <alignment horizontal="center" vertical="center"/>
    </xf>
    <xf numFmtId="0" fontId="50" fillId="66" borderId="54" xfId="103" applyFont="1" applyFill="1" applyBorder="1" applyAlignment="1">
      <alignment horizontal="center" vertical="center"/>
    </xf>
    <xf numFmtId="0" fontId="133" fillId="66" borderId="52" xfId="103" applyFont="1" applyFill="1" applyBorder="1" applyAlignment="1">
      <alignment vertical="center"/>
    </xf>
    <xf numFmtId="0" fontId="133" fillId="66" borderId="53" xfId="103" applyFont="1" applyFill="1" applyBorder="1"/>
    <xf numFmtId="0" fontId="133" fillId="66" borderId="82" xfId="0" applyFont="1" applyFill="1" applyBorder="1" applyAlignment="1">
      <alignment horizontal="left" vertical="center" indent="1"/>
    </xf>
    <xf numFmtId="0" fontId="102" fillId="66" borderId="93" xfId="0" applyFont="1" applyFill="1" applyBorder="1" applyAlignment="1">
      <alignment vertical="center"/>
    </xf>
    <xf numFmtId="0" fontId="56" fillId="66" borderId="94" xfId="0" applyFont="1" applyFill="1" applyBorder="1"/>
    <xf numFmtId="0" fontId="56" fillId="66" borderId="95" xfId="0" applyFont="1" applyFill="1" applyBorder="1"/>
    <xf numFmtId="0" fontId="83" fillId="67" borderId="219" xfId="97" applyFont="1" applyFill="1" applyBorder="1" applyAlignment="1">
      <alignment vertical="center"/>
    </xf>
    <xf numFmtId="0" fontId="83" fillId="67" borderId="220" xfId="97" applyFont="1" applyFill="1" applyBorder="1" applyAlignment="1">
      <alignment vertical="center"/>
    </xf>
    <xf numFmtId="0" fontId="83" fillId="67" borderId="221" xfId="97" applyFont="1" applyFill="1" applyBorder="1" applyAlignment="1">
      <alignment vertical="center"/>
    </xf>
    <xf numFmtId="0" fontId="83" fillId="67" borderId="222" xfId="97" applyFont="1" applyFill="1" applyBorder="1" applyAlignment="1">
      <alignment vertical="center"/>
    </xf>
    <xf numFmtId="0" fontId="83" fillId="67" borderId="31" xfId="97" applyFont="1" applyFill="1" applyBorder="1" applyAlignment="1">
      <alignment vertical="center"/>
    </xf>
    <xf numFmtId="0" fontId="28" fillId="67" borderId="22" xfId="97" applyFont="1" applyFill="1" applyBorder="1" applyAlignment="1">
      <alignment horizontal="center" vertical="center" wrapText="1"/>
    </xf>
    <xf numFmtId="0" fontId="28" fillId="67" borderId="5" xfId="97" applyFont="1" applyFill="1" applyBorder="1" applyAlignment="1">
      <alignment horizontal="center" vertical="center" wrapText="1"/>
    </xf>
    <xf numFmtId="0" fontId="28" fillId="67" borderId="7" xfId="97" applyFont="1" applyFill="1" applyBorder="1" applyAlignment="1">
      <alignment horizontal="center" vertical="center" wrapText="1"/>
    </xf>
    <xf numFmtId="0" fontId="83" fillId="67" borderId="107" xfId="103" applyFont="1" applyFill="1" applyBorder="1" applyAlignment="1">
      <alignment horizontal="center" vertical="center"/>
    </xf>
    <xf numFmtId="164" fontId="31" fillId="67" borderId="45" xfId="98" applyFont="1" applyFill="1" applyBorder="1" applyAlignment="1">
      <alignment horizontal="center"/>
    </xf>
    <xf numFmtId="0" fontId="81" fillId="5" borderId="0" xfId="103" applyFont="1" applyFill="1" applyAlignment="1">
      <alignment horizontal="center" vertical="center"/>
    </xf>
    <xf numFmtId="4" fontId="105" fillId="67" borderId="2" xfId="102" applyNumberFormat="1" applyFont="1" applyFill="1" applyBorder="1" applyAlignment="1">
      <alignment horizontal="left" vertical="center"/>
    </xf>
    <xf numFmtId="4" fontId="105" fillId="67" borderId="2" xfId="102" applyNumberFormat="1" applyFont="1" applyFill="1" applyBorder="1" applyAlignment="1">
      <alignment vertical="center"/>
    </xf>
    <xf numFmtId="0" fontId="155" fillId="67" borderId="2" xfId="103" applyFont="1" applyFill="1" applyBorder="1" applyAlignment="1">
      <alignment horizontal="center" vertical="center"/>
    </xf>
    <xf numFmtId="0" fontId="156" fillId="67" borderId="14" xfId="103" applyFont="1" applyFill="1" applyBorder="1" applyAlignment="1">
      <alignment horizontal="right" vertical="center"/>
    </xf>
    <xf numFmtId="0" fontId="23" fillId="0" borderId="0" xfId="97" applyAlignment="1">
      <alignment horizontal="left" vertical="center" wrapText="1"/>
    </xf>
    <xf numFmtId="0" fontId="52" fillId="0" borderId="0" xfId="97" applyFont="1" applyAlignment="1">
      <alignment horizontal="center" vertical="center"/>
    </xf>
    <xf numFmtId="9" fontId="98" fillId="5" borderId="226" xfId="16" applyFont="1" applyFill="1" applyBorder="1" applyAlignment="1">
      <alignment horizontal="center" vertical="center"/>
    </xf>
    <xf numFmtId="0" fontId="66" fillId="66" borderId="52" xfId="103" applyFont="1" applyFill="1" applyBorder="1" applyAlignment="1">
      <alignment horizontal="left" vertical="center" indent="1"/>
    </xf>
    <xf numFmtId="0" fontId="26" fillId="5" borderId="0" xfId="217" applyFill="1" applyAlignment="1">
      <alignment horizontal="center" vertical="center"/>
    </xf>
    <xf numFmtId="0" fontId="26" fillId="0" borderId="0" xfId="217" applyAlignment="1">
      <alignment horizontal="center" vertical="center"/>
    </xf>
    <xf numFmtId="0" fontId="111" fillId="2" borderId="0" xfId="217" applyFont="1" applyFill="1" applyAlignment="1">
      <alignment horizontal="center" vertical="center"/>
    </xf>
    <xf numFmtId="0" fontId="26" fillId="5" borderId="0" xfId="217" applyFill="1"/>
    <xf numFmtId="177" fontId="100" fillId="0" borderId="246" xfId="217" applyNumberFormat="1" applyFont="1" applyBorder="1" applyAlignment="1">
      <alignment horizontal="center" vertical="center"/>
    </xf>
    <xf numFmtId="4" fontId="100" fillId="0" borderId="246" xfId="217" applyNumberFormat="1" applyFont="1" applyBorder="1" applyAlignment="1">
      <alignment horizontal="center" vertical="center"/>
    </xf>
    <xf numFmtId="1" fontId="100" fillId="2" borderId="246" xfId="217" applyNumberFormat="1" applyFont="1" applyFill="1" applyBorder="1" applyAlignment="1">
      <alignment horizontal="center" vertical="center"/>
    </xf>
    <xf numFmtId="168" fontId="100" fillId="0" borderId="246" xfId="217" applyNumberFormat="1" applyFont="1" applyBorder="1" applyAlignment="1">
      <alignment horizontal="center" vertical="center"/>
    </xf>
    <xf numFmtId="4" fontId="83" fillId="5" borderId="246" xfId="217" applyNumberFormat="1" applyFont="1" applyFill="1" applyBorder="1" applyAlignment="1">
      <alignment horizontal="right" vertical="center"/>
    </xf>
    <xf numFmtId="177" fontId="26" fillId="0" borderId="0" xfId="217" applyNumberFormat="1"/>
    <xf numFmtId="0" fontId="158" fillId="0" borderId="0" xfId="217" applyFont="1"/>
    <xf numFmtId="167" fontId="26" fillId="5" borderId="0" xfId="217" applyNumberFormat="1" applyFill="1"/>
    <xf numFmtId="4" fontId="100" fillId="0" borderId="0" xfId="217" applyNumberFormat="1" applyFont="1" applyAlignment="1">
      <alignment horizontal="right" vertical="center"/>
    </xf>
    <xf numFmtId="178" fontId="157" fillId="2" borderId="0" xfId="217" applyNumberFormat="1" applyFont="1" applyFill="1" applyAlignment="1">
      <alignment horizontal="center" vertical="center"/>
    </xf>
    <xf numFmtId="1" fontId="100" fillId="2" borderId="0" xfId="217" applyNumberFormat="1" applyFont="1" applyFill="1" applyAlignment="1">
      <alignment horizontal="center" vertical="center"/>
    </xf>
    <xf numFmtId="168" fontId="83" fillId="2" borderId="0" xfId="217" applyNumberFormat="1" applyFont="1" applyFill="1" applyAlignment="1">
      <alignment horizontal="center" vertical="center"/>
    </xf>
    <xf numFmtId="0" fontId="30" fillId="67" borderId="60" xfId="217" applyFont="1" applyFill="1" applyBorder="1" applyAlignment="1">
      <alignment horizontal="left" vertical="center" indent="1"/>
    </xf>
    <xf numFmtId="0" fontId="30" fillId="67" borderId="61" xfId="217" applyFont="1" applyFill="1" applyBorder="1" applyAlignment="1">
      <alignment horizontal="left" vertical="center" indent="1"/>
    </xf>
    <xf numFmtId="49" fontId="28" fillId="67" borderId="61" xfId="217" applyNumberFormat="1" applyFont="1" applyFill="1" applyBorder="1" applyAlignment="1">
      <alignment horizontal="center" vertical="center"/>
    </xf>
    <xf numFmtId="0" fontId="28" fillId="67" borderId="61" xfId="217" applyFont="1" applyFill="1" applyBorder="1"/>
    <xf numFmtId="4" fontId="28" fillId="67" borderId="61" xfId="217" applyNumberFormat="1" applyFont="1" applyFill="1" applyBorder="1" applyAlignment="1">
      <alignment horizontal="right" vertical="center"/>
    </xf>
    <xf numFmtId="4" fontId="28" fillId="67" borderId="61" xfId="217" applyNumberFormat="1" applyFont="1" applyFill="1" applyBorder="1" applyAlignment="1">
      <alignment horizontal="center" vertical="center"/>
    </xf>
    <xf numFmtId="164" fontId="154" fillId="3" borderId="45" xfId="98" applyFont="1" applyFill="1" applyBorder="1" applyAlignment="1">
      <alignment horizontal="center"/>
    </xf>
    <xf numFmtId="0" fontId="81" fillId="5" borderId="0" xfId="103" applyFont="1" applyFill="1" applyAlignment="1">
      <alignment vertical="center"/>
    </xf>
    <xf numFmtId="14" fontId="28" fillId="0" borderId="0" xfId="217" applyNumberFormat="1" applyFont="1"/>
    <xf numFmtId="14" fontId="28" fillId="5" borderId="0" xfId="103" applyNumberFormat="1" applyFont="1" applyFill="1" applyAlignment="1">
      <alignment vertical="center"/>
    </xf>
    <xf numFmtId="0" fontId="45" fillId="0" borderId="107" xfId="97" applyFont="1" applyBorder="1" applyAlignment="1">
      <alignment horizontal="left" vertical="center" wrapText="1"/>
    </xf>
    <xf numFmtId="0" fontId="28" fillId="67" borderId="22" xfId="0" applyFont="1" applyFill="1" applyBorder="1" applyAlignment="1">
      <alignment horizontal="centerContinuous" vertical="center" wrapText="1"/>
    </xf>
    <xf numFmtId="0" fontId="81" fillId="0" borderId="0" xfId="103" applyFont="1" applyAlignment="1">
      <alignment vertical="center"/>
    </xf>
    <xf numFmtId="14" fontId="28" fillId="0" borderId="0" xfId="103" applyNumberFormat="1" applyFont="1"/>
    <xf numFmtId="4" fontId="73" fillId="0" borderId="247" xfId="218" applyNumberFormat="1" applyFont="1" applyBorder="1" applyAlignment="1">
      <alignment horizontal="right" vertical="center" indent="1"/>
    </xf>
    <xf numFmtId="4" fontId="26" fillId="0" borderId="248" xfId="218" applyNumberFormat="1" applyBorder="1" applyAlignment="1">
      <alignment horizontal="right" vertical="center" indent="1"/>
    </xf>
    <xf numFmtId="0" fontId="153" fillId="67" borderId="249" xfId="0" applyFont="1" applyFill="1" applyBorder="1" applyAlignment="1">
      <alignment horizontal="center" vertical="center" wrapText="1"/>
    </xf>
    <xf numFmtId="0" fontId="153" fillId="67" borderId="250" xfId="0" applyFont="1" applyFill="1" applyBorder="1" applyAlignment="1">
      <alignment horizontal="center" vertical="center" wrapText="1"/>
    </xf>
    <xf numFmtId="0" fontId="153" fillId="67" borderId="251" xfId="0" applyFont="1" applyFill="1" applyBorder="1" applyAlignment="1">
      <alignment horizontal="center" vertical="center" wrapText="1"/>
    </xf>
    <xf numFmtId="14" fontId="28" fillId="3" borderId="138" xfId="217" applyNumberFormat="1" applyFont="1" applyFill="1" applyBorder="1" applyAlignment="1">
      <alignment horizontal="center" vertical="center"/>
    </xf>
    <xf numFmtId="4" fontId="26" fillId="0" borderId="252" xfId="218" applyNumberFormat="1" applyBorder="1" applyAlignment="1">
      <alignment horizontal="right" vertical="center" indent="1"/>
    </xf>
    <xf numFmtId="14" fontId="68" fillId="3" borderId="143" xfId="217" applyNumberFormat="1" applyFont="1" applyFill="1" applyBorder="1" applyAlignment="1">
      <alignment horizontal="center" vertical="center"/>
    </xf>
    <xf numFmtId="4" fontId="73" fillId="0" borderId="253" xfId="218" applyNumberFormat="1" applyFont="1" applyBorder="1" applyAlignment="1">
      <alignment horizontal="right" vertical="center" indent="1"/>
    </xf>
    <xf numFmtId="14" fontId="68" fillId="3" borderId="254" xfId="217" applyNumberFormat="1" applyFont="1" applyFill="1" applyBorder="1" applyAlignment="1">
      <alignment horizontal="center" vertical="center"/>
    </xf>
    <xf numFmtId="4" fontId="73" fillId="0" borderId="255" xfId="218" applyNumberFormat="1" applyFont="1" applyBorder="1" applyAlignment="1">
      <alignment horizontal="right" vertical="center" indent="1"/>
    </xf>
    <xf numFmtId="4" fontId="73" fillId="0" borderId="256" xfId="218" applyNumberFormat="1" applyFont="1" applyBorder="1" applyAlignment="1">
      <alignment horizontal="right" vertical="center" indent="1"/>
    </xf>
    <xf numFmtId="4" fontId="26" fillId="0" borderId="257" xfId="218" applyNumberFormat="1" applyBorder="1" applyAlignment="1">
      <alignment horizontal="right" vertical="center" indent="1"/>
    </xf>
    <xf numFmtId="4" fontId="73" fillId="0" borderId="258" xfId="218" applyNumberFormat="1" applyFont="1" applyBorder="1" applyAlignment="1">
      <alignment horizontal="right" vertical="center" indent="1"/>
    </xf>
    <xf numFmtId="4" fontId="73" fillId="0" borderId="259" xfId="218" applyNumberFormat="1" applyFont="1" applyBorder="1" applyAlignment="1">
      <alignment horizontal="right" vertical="center" indent="1"/>
    </xf>
    <xf numFmtId="0" fontId="153" fillId="67" borderId="260" xfId="0" applyFont="1" applyFill="1" applyBorder="1" applyAlignment="1">
      <alignment horizontal="center" vertical="center" wrapText="1"/>
    </xf>
    <xf numFmtId="4" fontId="26" fillId="0" borderId="261" xfId="218" applyNumberFormat="1" applyBorder="1" applyAlignment="1">
      <alignment horizontal="right" vertical="center" indent="1"/>
    </xf>
    <xf numFmtId="4" fontId="73" fillId="0" borderId="262" xfId="218" applyNumberFormat="1" applyFont="1" applyBorder="1" applyAlignment="1">
      <alignment horizontal="right" vertical="center" indent="1"/>
    </xf>
    <xf numFmtId="4" fontId="73" fillId="0" borderId="263" xfId="218" applyNumberFormat="1" applyFont="1" applyBorder="1" applyAlignment="1">
      <alignment horizontal="right" vertical="center" indent="1"/>
    </xf>
    <xf numFmtId="0" fontId="153" fillId="67" borderId="7" xfId="0" applyFont="1" applyFill="1" applyBorder="1" applyAlignment="1">
      <alignment horizontal="center" vertical="center" wrapText="1"/>
    </xf>
    <xf numFmtId="0" fontId="142" fillId="0" borderId="0" xfId="0" applyFont="1" applyAlignment="1">
      <alignment horizontal="justify" vertical="center"/>
    </xf>
    <xf numFmtId="4" fontId="160" fillId="0" borderId="8" xfId="207" applyNumberFormat="1" applyFont="1" applyBorder="1" applyAlignment="1">
      <alignment horizontal="centerContinuous" vertical="center"/>
    </xf>
    <xf numFmtId="4" fontId="160" fillId="0" borderId="11" xfId="207" applyNumberFormat="1" applyFont="1" applyBorder="1" applyAlignment="1">
      <alignment horizontal="centerContinuous" vertical="center"/>
    </xf>
    <xf numFmtId="0" fontId="26" fillId="0" borderId="0" xfId="207" applyAlignment="1"/>
    <xf numFmtId="4" fontId="0" fillId="0" borderId="270" xfId="215" applyNumberFormat="1" applyFont="1" applyBorder="1" applyAlignment="1">
      <alignment horizontal="center" vertical="center" wrapText="1"/>
    </xf>
    <xf numFmtId="4" fontId="26" fillId="0" borderId="271" xfId="207" applyNumberFormat="1" applyBorder="1" applyAlignment="1">
      <alignment horizontal="center" vertical="center"/>
    </xf>
    <xf numFmtId="4" fontId="26" fillId="0" borderId="270" xfId="207" applyNumberFormat="1" applyBorder="1" applyAlignment="1">
      <alignment horizontal="center" vertical="center"/>
    </xf>
    <xf numFmtId="4" fontId="26" fillId="0" borderId="272" xfId="207" applyNumberFormat="1" applyBorder="1" applyAlignment="1">
      <alignment horizontal="center" vertical="center"/>
    </xf>
    <xf numFmtId="14" fontId="26" fillId="0" borderId="0" xfId="207" applyNumberFormat="1" applyAlignment="1"/>
    <xf numFmtId="4" fontId="0" fillId="0" borderId="0" xfId="215" applyNumberFormat="1" applyFont="1" applyAlignment="1"/>
    <xf numFmtId="4" fontId="26" fillId="0" borderId="0" xfId="207" applyNumberFormat="1" applyAlignment="1"/>
    <xf numFmtId="49" fontId="26" fillId="0" borderId="0" xfId="207" applyNumberFormat="1" applyAlignment="1"/>
    <xf numFmtId="3" fontId="26" fillId="0" borderId="0" xfId="207" applyNumberFormat="1" applyAlignment="1"/>
    <xf numFmtId="14" fontId="160" fillId="0" borderId="7" xfId="207" applyNumberFormat="1" applyFont="1" applyBorder="1" applyAlignment="1">
      <alignment horizontal="centerContinuous" vertical="center"/>
    </xf>
    <xf numFmtId="3" fontId="0" fillId="0" borderId="0" xfId="0" applyNumberFormat="1"/>
    <xf numFmtId="14" fontId="91" fillId="0" borderId="113" xfId="228" applyNumberFormat="1" applyFont="1" applyBorder="1" applyAlignment="1">
      <alignment horizontal="center" vertical="center"/>
    </xf>
    <xf numFmtId="14" fontId="91" fillId="0" borderId="274" xfId="228" applyNumberFormat="1" applyFont="1" applyBorder="1" applyAlignment="1">
      <alignment horizontal="center" vertical="center"/>
    </xf>
    <xf numFmtId="164" fontId="80" fillId="62" borderId="264"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275" xfId="79" applyFont="1" applyFill="1" applyBorder="1" applyAlignment="1">
      <alignment horizontal="center" vertical="center" wrapText="1"/>
    </xf>
    <xf numFmtId="4" fontId="68" fillId="4" borderId="35" xfId="0" applyNumberFormat="1" applyFont="1" applyFill="1" applyBorder="1" applyAlignment="1">
      <alignment horizontal="right" vertical="center" wrapText="1"/>
    </xf>
    <xf numFmtId="4" fontId="68" fillId="4" borderId="163" xfId="0" applyNumberFormat="1" applyFont="1" applyFill="1" applyBorder="1" applyAlignment="1">
      <alignment horizontal="right" vertical="center" wrapText="1"/>
    </xf>
    <xf numFmtId="4" fontId="68" fillId="0" borderId="33" xfId="0" applyNumberFormat="1" applyFont="1" applyBorder="1" applyAlignment="1">
      <alignment horizontal="right" vertical="center" wrapText="1"/>
    </xf>
    <xf numFmtId="165" fontId="68" fillId="4" borderId="46" xfId="0" applyNumberFormat="1" applyFont="1" applyFill="1" applyBorder="1" applyAlignment="1">
      <alignment horizontal="right" vertical="center" wrapText="1"/>
    </xf>
    <xf numFmtId="165" fontId="68" fillId="4" borderId="34" xfId="0" applyNumberFormat="1" applyFont="1" applyFill="1" applyBorder="1" applyAlignment="1">
      <alignment horizontal="right" vertical="center" wrapText="1"/>
    </xf>
    <xf numFmtId="4" fontId="68" fillId="4" borderId="38" xfId="0" applyNumberFormat="1" applyFont="1" applyFill="1" applyBorder="1" applyAlignment="1">
      <alignment horizontal="right" vertical="center" wrapText="1"/>
    </xf>
    <xf numFmtId="4" fontId="68" fillId="4" borderId="273" xfId="0" applyNumberFormat="1" applyFont="1" applyFill="1" applyBorder="1" applyAlignment="1">
      <alignment horizontal="right" vertical="center" wrapText="1"/>
    </xf>
    <xf numFmtId="4" fontId="68" fillId="0" borderId="36" xfId="0" applyNumberFormat="1" applyFont="1" applyBorder="1" applyAlignment="1">
      <alignment horizontal="right" vertical="center" wrapText="1"/>
    </xf>
    <xf numFmtId="165" fontId="68" fillId="4" borderId="277" xfId="0" applyNumberFormat="1" applyFont="1" applyFill="1" applyBorder="1" applyAlignment="1">
      <alignment horizontal="right" vertical="center" wrapText="1"/>
    </xf>
    <xf numFmtId="165" fontId="68" fillId="4" borderId="37" xfId="0" applyNumberFormat="1" applyFont="1" applyFill="1" applyBorder="1" applyAlignment="1">
      <alignment horizontal="right" vertical="center" wrapText="1"/>
    </xf>
    <xf numFmtId="4" fontId="68" fillId="0" borderId="46" xfId="0" applyNumberFormat="1" applyFont="1" applyBorder="1" applyAlignment="1">
      <alignment horizontal="right" vertical="center" wrapText="1"/>
    </xf>
    <xf numFmtId="4" fontId="68" fillId="4" borderId="46" xfId="0" applyNumberFormat="1" applyFont="1" applyFill="1" applyBorder="1" applyAlignment="1">
      <alignment horizontal="right" vertical="center" wrapText="1"/>
    </xf>
    <xf numFmtId="4" fontId="68" fillId="4" borderId="33" xfId="0" applyNumberFormat="1" applyFont="1" applyFill="1" applyBorder="1" applyAlignment="1">
      <alignment horizontal="right" vertical="center" wrapText="1"/>
    </xf>
    <xf numFmtId="4" fontId="68" fillId="4" borderId="154" xfId="0" applyNumberFormat="1" applyFont="1" applyFill="1" applyBorder="1" applyAlignment="1">
      <alignment horizontal="right" vertical="center" wrapText="1"/>
    </xf>
    <xf numFmtId="4" fontId="26" fillId="0" borderId="56" xfId="0" applyNumberFormat="1" applyFont="1" applyBorder="1" applyAlignment="1">
      <alignment horizontal="right" vertical="center" wrapText="1"/>
    </xf>
    <xf numFmtId="4" fontId="26" fillId="0" borderId="163" xfId="0" applyNumberFormat="1" applyFont="1" applyBorder="1" applyAlignment="1">
      <alignment horizontal="right" vertical="center" wrapText="1"/>
    </xf>
    <xf numFmtId="4" fontId="68" fillId="4" borderId="161" xfId="0" applyNumberFormat="1" applyFont="1" applyFill="1" applyBorder="1" applyAlignment="1">
      <alignment horizontal="right" vertical="center" wrapText="1"/>
    </xf>
    <xf numFmtId="4" fontId="91" fillId="0" borderId="36" xfId="0" applyNumberFormat="1" applyFont="1" applyBorder="1" applyAlignment="1">
      <alignment horizontal="right" vertical="center" wrapText="1"/>
    </xf>
    <xf numFmtId="4" fontId="91" fillId="0" borderId="273" xfId="0" applyNumberFormat="1" applyFont="1" applyBorder="1" applyAlignment="1">
      <alignment horizontal="right" vertical="center" wrapText="1"/>
    </xf>
    <xf numFmtId="4" fontId="68" fillId="4" borderId="278" xfId="0" applyNumberFormat="1" applyFont="1" applyFill="1" applyBorder="1" applyAlignment="1">
      <alignment horizontal="right" vertical="center" wrapText="1"/>
    </xf>
    <xf numFmtId="4" fontId="68" fillId="4" borderId="279" xfId="0" applyNumberFormat="1" applyFont="1" applyFill="1" applyBorder="1" applyAlignment="1">
      <alignment horizontal="right" vertical="center" wrapText="1"/>
    </xf>
    <xf numFmtId="4" fontId="26" fillId="0" borderId="33" xfId="0" applyNumberFormat="1" applyFont="1" applyBorder="1" applyAlignment="1">
      <alignment horizontal="right" vertical="center" wrapText="1"/>
    </xf>
    <xf numFmtId="4" fontId="68" fillId="4" borderId="56" xfId="0" applyNumberFormat="1" applyFont="1" applyFill="1" applyBorder="1" applyAlignment="1">
      <alignment horizontal="right" vertical="center" wrapText="1"/>
    </xf>
    <xf numFmtId="4" fontId="68" fillId="4" borderId="34" xfId="0" applyNumberFormat="1" applyFont="1" applyFill="1" applyBorder="1" applyAlignment="1">
      <alignment horizontal="right" vertical="center" wrapText="1"/>
    </xf>
    <xf numFmtId="4" fontId="91" fillId="0" borderId="35" xfId="79" applyNumberFormat="1" applyFont="1" applyFill="1" applyBorder="1" applyAlignment="1">
      <alignment horizontal="center" vertical="center" wrapText="1"/>
    </xf>
    <xf numFmtId="4" fontId="26" fillId="0" borderId="35" xfId="79" applyNumberFormat="1" applyFont="1" applyFill="1" applyBorder="1" applyAlignment="1">
      <alignment horizontal="center" vertical="center" wrapText="1"/>
    </xf>
    <xf numFmtId="4" fontId="91" fillId="0" borderId="38" xfId="79" applyNumberFormat="1" applyFont="1" applyFill="1" applyBorder="1" applyAlignment="1">
      <alignment horizontal="center" vertical="center" wrapText="1"/>
    </xf>
    <xf numFmtId="14" fontId="28" fillId="0" borderId="146" xfId="0" applyNumberFormat="1" applyFont="1" applyBorder="1" applyAlignment="1">
      <alignment horizontal="center" vertical="center"/>
    </xf>
    <xf numFmtId="14" fontId="91" fillId="0" borderId="148" xfId="228" applyNumberFormat="1" applyFont="1" applyBorder="1" applyAlignment="1">
      <alignment horizontal="center" vertical="center"/>
    </xf>
    <xf numFmtId="14" fontId="91" fillId="0" borderId="280" xfId="228" applyNumberFormat="1" applyFont="1" applyBorder="1" applyAlignment="1">
      <alignment horizontal="center" vertical="center"/>
    </xf>
    <xf numFmtId="14" fontId="28" fillId="0" borderId="32" xfId="0" applyNumberFormat="1" applyFont="1" applyBorder="1" applyAlignment="1">
      <alignment horizontal="center" vertical="center"/>
    </xf>
    <xf numFmtId="14" fontId="91" fillId="0" borderId="281" xfId="228" applyNumberFormat="1" applyFont="1" applyBorder="1" applyAlignment="1">
      <alignment horizontal="center" vertical="center"/>
    </xf>
    <xf numFmtId="14" fontId="91" fillId="0" borderId="282" xfId="228" applyNumberFormat="1" applyFont="1" applyBorder="1" applyAlignment="1">
      <alignment horizontal="center" vertical="center"/>
    </xf>
    <xf numFmtId="4" fontId="26" fillId="0" borderId="146" xfId="79" applyNumberFormat="1" applyFont="1" applyFill="1" applyBorder="1" applyAlignment="1">
      <alignment horizontal="center" vertical="center" wrapText="1"/>
    </xf>
    <xf numFmtId="4" fontId="26" fillId="0" borderId="163" xfId="79" applyNumberFormat="1" applyFont="1" applyFill="1" applyBorder="1" applyAlignment="1">
      <alignment horizontal="center" vertical="center" wrapText="1"/>
    </xf>
    <xf numFmtId="4" fontId="26" fillId="0" borderId="283" xfId="79" applyNumberFormat="1" applyFont="1" applyFill="1" applyBorder="1" applyAlignment="1">
      <alignment horizontal="center" vertical="center" wrapText="1"/>
    </xf>
    <xf numFmtId="4" fontId="91" fillId="0" borderId="163" xfId="79" applyNumberFormat="1" applyFont="1" applyFill="1" applyBorder="1" applyAlignment="1">
      <alignment horizontal="center" vertical="center" wrapText="1"/>
    </xf>
    <xf numFmtId="4" fontId="68" fillId="4" borderId="163" xfId="79" applyNumberFormat="1" applyFont="1" applyFill="1" applyBorder="1" applyAlignment="1">
      <alignment horizontal="center" vertical="center" wrapText="1"/>
    </xf>
    <xf numFmtId="4" fontId="68" fillId="4" borderId="115" xfId="79" applyNumberFormat="1" applyFont="1" applyFill="1" applyBorder="1" applyAlignment="1">
      <alignment horizontal="center" vertical="center" wrapText="1"/>
    </xf>
    <xf numFmtId="4" fontId="68" fillId="4" borderId="145" xfId="79" applyNumberFormat="1" applyFont="1" applyFill="1" applyBorder="1" applyAlignment="1">
      <alignment horizontal="center" vertical="center" wrapText="1"/>
    </xf>
    <xf numFmtId="4" fontId="91" fillId="0" borderId="36" xfId="79" applyNumberFormat="1" applyFont="1" applyFill="1" applyBorder="1" applyAlignment="1">
      <alignment horizontal="center" vertical="center" wrapText="1"/>
    </xf>
    <xf numFmtId="4" fontId="91" fillId="0" borderId="273" xfId="79" applyNumberFormat="1" applyFont="1" applyFill="1" applyBorder="1" applyAlignment="1">
      <alignment horizontal="center" vertical="center" wrapText="1"/>
    </xf>
    <xf numFmtId="4" fontId="68" fillId="4" borderId="33" xfId="0" applyNumberFormat="1" applyFont="1" applyFill="1" applyBorder="1" applyAlignment="1">
      <alignment horizontal="center" vertical="center" wrapText="1"/>
    </xf>
    <xf numFmtId="4" fontId="26" fillId="0" borderId="33" xfId="0" applyNumberFormat="1" applyFont="1" applyBorder="1" applyAlignment="1">
      <alignment horizontal="center" vertical="center" wrapText="1"/>
    </xf>
    <xf numFmtId="4" fontId="91" fillId="0" borderId="33" xfId="0" applyNumberFormat="1" applyFont="1" applyBorder="1" applyAlignment="1">
      <alignment horizontal="center" vertical="center" wrapText="1"/>
    </xf>
    <xf numFmtId="4" fontId="68" fillId="4" borderId="36" xfId="0" applyNumberFormat="1" applyFont="1" applyFill="1" applyBorder="1" applyAlignment="1">
      <alignment horizontal="center" vertical="center" wrapText="1"/>
    </xf>
    <xf numFmtId="4" fontId="91" fillId="0" borderId="36" xfId="0" applyNumberFormat="1" applyFont="1" applyBorder="1" applyAlignment="1">
      <alignment horizontal="center" vertical="center" wrapText="1"/>
    </xf>
    <xf numFmtId="4" fontId="68" fillId="4" borderId="34" xfId="0" applyNumberFormat="1" applyFont="1" applyFill="1" applyBorder="1" applyAlignment="1">
      <alignment horizontal="center" vertical="center" wrapText="1"/>
    </xf>
    <xf numFmtId="4" fontId="68" fillId="4" borderId="37" xfId="0" applyNumberFormat="1" applyFont="1" applyFill="1" applyBorder="1" applyAlignment="1">
      <alignment horizontal="center" vertical="center" wrapText="1"/>
    </xf>
    <xf numFmtId="4" fontId="68" fillId="4" borderId="36" xfId="79" applyNumberFormat="1" applyFont="1" applyFill="1" applyBorder="1" applyAlignment="1">
      <alignment horizontal="center" vertical="center" wrapText="1"/>
    </xf>
    <xf numFmtId="4" fontId="68" fillId="4" borderId="123" xfId="0" applyNumberFormat="1" applyFont="1" applyFill="1" applyBorder="1" applyAlignment="1">
      <alignment horizontal="center" vertical="center" wrapText="1"/>
    </xf>
    <xf numFmtId="4" fontId="68" fillId="3" borderId="276" xfId="0" applyNumberFormat="1" applyFont="1" applyFill="1" applyBorder="1" applyAlignment="1">
      <alignment horizontal="center" vertical="center" wrapText="1"/>
    </xf>
    <xf numFmtId="4" fontId="28" fillId="58" borderId="270" xfId="0" applyNumberFormat="1" applyFont="1" applyFill="1" applyBorder="1"/>
    <xf numFmtId="14" fontId="91" fillId="3" borderId="284" xfId="228" applyNumberFormat="1" applyFont="1" applyFill="1" applyBorder="1" applyAlignment="1">
      <alignment horizontal="center" vertical="center"/>
    </xf>
    <xf numFmtId="14" fontId="28" fillId="3" borderId="284" xfId="228" applyNumberFormat="1" applyFont="1" applyFill="1" applyBorder="1" applyAlignment="1">
      <alignment horizontal="center" vertical="center"/>
    </xf>
    <xf numFmtId="4" fontId="91" fillId="0" borderId="172" xfId="218" applyNumberFormat="1" applyFont="1" applyBorder="1" applyAlignment="1">
      <alignment horizontal="right" vertical="center" indent="1"/>
    </xf>
    <xf numFmtId="4" fontId="91" fillId="0" borderId="171" xfId="218" applyNumberFormat="1" applyFont="1" applyBorder="1" applyAlignment="1">
      <alignment horizontal="right" vertical="center" indent="1"/>
    </xf>
    <xf numFmtId="10" fontId="26" fillId="0" borderId="172" xfId="16" applyNumberFormat="1" applyBorder="1" applyAlignment="1">
      <alignment horizontal="right" vertical="center" indent="1"/>
    </xf>
    <xf numFmtId="10" fontId="91" fillId="0" borderId="172" xfId="16" applyNumberFormat="1" applyFont="1" applyBorder="1" applyAlignment="1">
      <alignment horizontal="right" vertical="center" indent="1"/>
    </xf>
    <xf numFmtId="14" fontId="132" fillId="0" borderId="0" xfId="97" applyNumberFormat="1" applyFont="1" applyAlignment="1">
      <alignment horizontal="left" vertical="center" indent="2"/>
    </xf>
    <xf numFmtId="14" fontId="68" fillId="3" borderId="284" xfId="228" applyNumberFormat="1" applyFont="1" applyFill="1" applyBorder="1" applyAlignment="1">
      <alignment horizontal="center" vertical="center"/>
    </xf>
    <xf numFmtId="14" fontId="28" fillId="0" borderId="0" xfId="103" applyNumberFormat="1" applyFont="1" applyAlignment="1">
      <alignment horizontal="left"/>
    </xf>
    <xf numFmtId="14" fontId="28" fillId="3" borderId="285" xfId="228" applyNumberFormat="1" applyFont="1" applyFill="1" applyBorder="1" applyAlignment="1">
      <alignment horizontal="center" vertical="center"/>
    </xf>
    <xf numFmtId="4" fontId="26" fillId="0" borderId="286" xfId="218" applyNumberFormat="1" applyBorder="1" applyAlignment="1">
      <alignment horizontal="right" vertical="center" indent="1"/>
    </xf>
    <xf numFmtId="4" fontId="73" fillId="0" borderId="287" xfId="218" applyNumberFormat="1" applyFont="1" applyBorder="1" applyAlignment="1">
      <alignment horizontal="right" vertical="center" indent="1"/>
    </xf>
    <xf numFmtId="0" fontId="133" fillId="66" borderId="288" xfId="103" applyFont="1" applyFill="1" applyBorder="1" applyAlignment="1">
      <alignment horizontal="left" vertical="center" indent="1"/>
    </xf>
    <xf numFmtId="4" fontId="91" fillId="0" borderId="236" xfId="218" applyNumberFormat="1" applyFont="1" applyBorder="1" applyAlignment="1">
      <alignment horizontal="right" vertical="center" indent="1"/>
    </xf>
    <xf numFmtId="4" fontId="142" fillId="0" borderId="0" xfId="0" applyNumberFormat="1" applyFont="1" applyAlignment="1">
      <alignment horizontal="right" vertical="center"/>
    </xf>
    <xf numFmtId="10" fontId="10" fillId="0" borderId="0" xfId="0" applyNumberFormat="1" applyFont="1" applyAlignment="1">
      <alignment horizontal="center" vertical="center"/>
    </xf>
    <xf numFmtId="3" fontId="10" fillId="0" borderId="0" xfId="0" applyNumberFormat="1" applyFont="1" applyAlignment="1">
      <alignment horizontal="center" vertical="center"/>
    </xf>
    <xf numFmtId="10" fontId="10" fillId="0" borderId="0" xfId="216" applyNumberFormat="1" applyFont="1" applyAlignment="1">
      <alignment horizontal="center" vertical="center"/>
    </xf>
    <xf numFmtId="3" fontId="10" fillId="0" borderId="0" xfId="216" applyNumberFormat="1" applyFont="1" applyAlignment="1">
      <alignment horizontal="center" vertical="center"/>
    </xf>
    <xf numFmtId="10" fontId="142" fillId="0" borderId="29" xfId="216" applyNumberFormat="1" applyFont="1" applyBorder="1" applyAlignment="1">
      <alignment vertical="center" wrapText="1"/>
    </xf>
    <xf numFmtId="0" fontId="125" fillId="0" borderId="0" xfId="180" applyBorder="1" applyAlignment="1"/>
    <xf numFmtId="10" fontId="9" fillId="0" borderId="0" xfId="0" applyNumberFormat="1" applyFont="1" applyAlignment="1">
      <alignment horizontal="center" vertical="center"/>
    </xf>
    <xf numFmtId="3" fontId="9" fillId="0" borderId="0" xfId="0" applyNumberFormat="1" applyFont="1" applyAlignment="1">
      <alignment horizontal="center" vertical="center"/>
    </xf>
    <xf numFmtId="0" fontId="8" fillId="0" borderId="0" xfId="229"/>
    <xf numFmtId="0" fontId="163" fillId="0" borderId="0" xfId="229" applyFont="1" applyAlignment="1">
      <alignment horizontal="left" indent="2"/>
    </xf>
    <xf numFmtId="0" fontId="97" fillId="7" borderId="290" xfId="205" applyNumberFormat="1" applyFont="1" applyFill="1" applyBorder="1" applyAlignment="1">
      <alignment horizontal="left" vertical="center" indent="1"/>
    </xf>
    <xf numFmtId="175" fontId="98" fillId="5" borderId="291" xfId="205" applyNumberFormat="1" applyFont="1" applyFill="1" applyBorder="1" applyAlignment="1">
      <alignment vertical="center"/>
    </xf>
    <xf numFmtId="175" fontId="98" fillId="5" borderId="291" xfId="205" applyNumberFormat="1" applyFont="1" applyFill="1" applyBorder="1" applyAlignment="1">
      <alignment horizontal="center" vertical="center"/>
    </xf>
    <xf numFmtId="0" fontId="97" fillId="7" borderId="290" xfId="217" applyFont="1" applyFill="1" applyBorder="1" applyAlignment="1">
      <alignment horizontal="left" vertical="center" indent="1"/>
    </xf>
    <xf numFmtId="9" fontId="98" fillId="5" borderId="291" xfId="16" applyFont="1" applyFill="1" applyBorder="1" applyAlignment="1">
      <alignment horizontal="center" vertical="center"/>
    </xf>
    <xf numFmtId="0" fontId="97" fillId="7" borderId="292" xfId="217" applyFont="1" applyFill="1" applyBorder="1" applyAlignment="1">
      <alignment horizontal="left" vertical="center" indent="1"/>
    </xf>
    <xf numFmtId="164" fontId="98" fillId="5" borderId="293" xfId="101" applyFont="1" applyFill="1" applyBorder="1" applyAlignment="1">
      <alignment horizontal="center" vertical="center"/>
    </xf>
    <xf numFmtId="164" fontId="98" fillId="0" borderId="293" xfId="101" applyFont="1" applyFill="1" applyBorder="1" applyAlignment="1">
      <alignment horizontal="center" vertical="center"/>
    </xf>
    <xf numFmtId="164" fontId="164" fillId="0" borderId="293" xfId="101" applyFont="1" applyFill="1" applyBorder="1" applyAlignment="1">
      <alignment horizontal="center" vertical="center"/>
    </xf>
    <xf numFmtId="14" fontId="28" fillId="0" borderId="295" xfId="103" applyNumberFormat="1" applyFont="1" applyBorder="1" applyAlignment="1">
      <alignment vertical="center"/>
    </xf>
    <xf numFmtId="4" fontId="105" fillId="67" borderId="294" xfId="217" applyNumberFormat="1" applyFont="1" applyFill="1" applyBorder="1" applyAlignment="1">
      <alignment horizontal="center" vertical="center"/>
    </xf>
    <xf numFmtId="14" fontId="109" fillId="2" borderId="246" xfId="217" applyNumberFormat="1" applyFont="1" applyFill="1" applyBorder="1" applyAlignment="1">
      <alignment horizontal="center" vertical="center"/>
    </xf>
    <xf numFmtId="167" fontId="84" fillId="4" borderId="289" xfId="103" applyNumberFormat="1" applyFont="1" applyFill="1" applyBorder="1" applyAlignment="1">
      <alignment horizontal="right" vertical="center" indent="1"/>
    </xf>
    <xf numFmtId="0" fontId="83" fillId="67" borderId="219" xfId="229" applyFont="1" applyFill="1" applyBorder="1" applyAlignment="1">
      <alignment vertical="center"/>
    </xf>
    <xf numFmtId="0" fontId="83" fillId="67" borderId="221" xfId="229" applyFont="1" applyFill="1" applyBorder="1" applyAlignment="1">
      <alignment vertical="center"/>
    </xf>
    <xf numFmtId="0" fontId="83" fillId="67" borderId="222" xfId="229" applyFont="1" applyFill="1" applyBorder="1" applyAlignment="1">
      <alignment vertical="center"/>
    </xf>
    <xf numFmtId="0" fontId="45" fillId="62" borderId="276" xfId="233" applyNumberFormat="1" applyFont="1" applyFill="1" applyBorder="1" applyAlignment="1">
      <alignment horizontal="center" vertical="center"/>
    </xf>
    <xf numFmtId="14" fontId="8" fillId="3" borderId="306" xfId="229" applyNumberFormat="1" applyFill="1" applyBorder="1" applyAlignment="1">
      <alignment horizontal="center" vertical="center"/>
    </xf>
    <xf numFmtId="14" fontId="8" fillId="3" borderId="277" xfId="229" applyNumberFormat="1" applyFill="1" applyBorder="1" applyAlignment="1">
      <alignment horizontal="center" vertical="center"/>
    </xf>
    <xf numFmtId="14" fontId="8" fillId="3" borderId="36" xfId="229" applyNumberFormat="1" applyFill="1" applyBorder="1" applyAlignment="1">
      <alignment horizontal="center" vertical="center"/>
    </xf>
    <xf numFmtId="0" fontId="8" fillId="3" borderId="37" xfId="229" applyFill="1" applyBorder="1" applyAlignment="1">
      <alignment horizontal="center" vertical="center"/>
    </xf>
    <xf numFmtId="10" fontId="98" fillId="5" borderId="234" xfId="16" applyNumberFormat="1" applyFont="1" applyFill="1" applyBorder="1" applyAlignment="1">
      <alignment horizontal="center" vertical="center"/>
    </xf>
    <xf numFmtId="0" fontId="48" fillId="0" borderId="297" xfId="0" applyFont="1" applyBorder="1" applyAlignment="1">
      <alignment horizontal="left" vertical="center"/>
    </xf>
    <xf numFmtId="0" fontId="48" fillId="0" borderId="298" xfId="0" applyFont="1" applyBorder="1" applyAlignment="1">
      <alignment horizontal="left" vertical="center"/>
    </xf>
    <xf numFmtId="164" fontId="48" fillId="15" borderId="296" xfId="0" applyNumberFormat="1" applyFont="1" applyFill="1" applyBorder="1" applyAlignment="1">
      <alignment vertical="center"/>
    </xf>
    <xf numFmtId="164" fontId="48" fillId="11" borderId="244" xfId="0" applyNumberFormat="1" applyFont="1" applyFill="1" applyBorder="1" applyAlignment="1">
      <alignment vertical="center"/>
    </xf>
    <xf numFmtId="0" fontId="109" fillId="0" borderId="302" xfId="229" applyFont="1" applyBorder="1" applyAlignment="1">
      <alignment horizontal="left" vertical="center" wrapText="1"/>
    </xf>
    <xf numFmtId="0" fontId="109" fillId="0" borderId="303" xfId="229" applyFont="1" applyBorder="1" applyAlignment="1">
      <alignment horizontal="left" vertical="center" wrapText="1"/>
    </xf>
    <xf numFmtId="0" fontId="109" fillId="0" borderId="306" xfId="229" applyFont="1" applyBorder="1" applyAlignment="1">
      <alignment horizontal="left" vertical="center" wrapText="1"/>
    </xf>
    <xf numFmtId="0" fontId="109" fillId="0" borderId="279" xfId="229" applyFont="1" applyBorder="1" applyAlignment="1">
      <alignment horizontal="left" vertical="center" wrapText="1"/>
    </xf>
    <xf numFmtId="14" fontId="100" fillId="0" borderId="80" xfId="217" applyNumberFormat="1" applyFont="1" applyBorder="1" applyAlignment="1">
      <alignment horizontal="center" vertical="center"/>
    </xf>
    <xf numFmtId="4" fontId="26" fillId="0" borderId="69" xfId="217" applyNumberFormat="1" applyBorder="1" applyAlignment="1">
      <alignment horizontal="center" vertical="center"/>
    </xf>
    <xf numFmtId="4" fontId="100" fillId="0" borderId="166" xfId="217" applyNumberFormat="1" applyFont="1" applyBorder="1" applyAlignment="1">
      <alignment horizontal="center" vertical="center"/>
    </xf>
    <xf numFmtId="4" fontId="26" fillId="6" borderId="166" xfId="217" applyNumberFormat="1" applyFill="1" applyBorder="1" applyAlignment="1">
      <alignment horizontal="center" vertical="center"/>
    </xf>
    <xf numFmtId="3" fontId="26" fillId="0" borderId="228" xfId="217" applyNumberFormat="1" applyBorder="1" applyAlignment="1">
      <alignment horizontal="center" vertical="center"/>
    </xf>
    <xf numFmtId="4" fontId="100" fillId="0" borderId="70" xfId="217" applyNumberFormat="1" applyFont="1" applyBorder="1" applyAlignment="1">
      <alignment horizontal="center" vertical="center"/>
    </xf>
    <xf numFmtId="4" fontId="26" fillId="0" borderId="166" xfId="217" applyNumberFormat="1" applyBorder="1" applyAlignment="1">
      <alignment horizontal="center" vertical="center"/>
    </xf>
    <xf numFmtId="4" fontId="26" fillId="0" borderId="70" xfId="217" applyNumberFormat="1" applyBorder="1" applyAlignment="1">
      <alignment horizontal="center" vertical="center"/>
    </xf>
    <xf numFmtId="4" fontId="100" fillId="0" borderId="69" xfId="217" applyNumberFormat="1" applyFont="1" applyBorder="1" applyAlignment="1">
      <alignment horizontal="center" vertical="center"/>
    </xf>
    <xf numFmtId="4" fontId="100" fillId="0" borderId="71" xfId="217" applyNumberFormat="1" applyFont="1" applyBorder="1" applyAlignment="1">
      <alignment horizontal="center" vertical="center"/>
    </xf>
    <xf numFmtId="4" fontId="26" fillId="0" borderId="167" xfId="217" applyNumberFormat="1" applyBorder="1" applyAlignment="1">
      <alignment horizontal="center" vertical="center"/>
    </xf>
    <xf numFmtId="4" fontId="26" fillId="6" borderId="167" xfId="217" applyNumberFormat="1" applyFill="1" applyBorder="1" applyAlignment="1">
      <alignment horizontal="center" vertical="center"/>
    </xf>
    <xf numFmtId="3" fontId="26" fillId="0" borderId="229" xfId="217" applyNumberFormat="1" applyBorder="1" applyAlignment="1">
      <alignment horizontal="center" vertical="center"/>
    </xf>
    <xf numFmtId="4" fontId="26" fillId="0" borderId="72" xfId="217" applyNumberFormat="1" applyBorder="1" applyAlignment="1">
      <alignment horizontal="center" vertical="center"/>
    </xf>
    <xf numFmtId="4" fontId="85" fillId="56" borderId="48" xfId="103" applyNumberFormat="1" applyFont="1" applyFill="1" applyBorder="1" applyAlignment="1">
      <alignment horizontal="right" vertical="center" indent="1"/>
    </xf>
    <xf numFmtId="0" fontId="83" fillId="59" borderId="246" xfId="217" applyFont="1" applyFill="1" applyBorder="1" applyAlignment="1">
      <alignment horizontal="center" vertical="center" wrapText="1"/>
    </xf>
    <xf numFmtId="164" fontId="164" fillId="0" borderId="0" xfId="101" applyFont="1" applyFill="1" applyBorder="1" applyAlignment="1">
      <alignment horizontal="center" vertical="center"/>
    </xf>
    <xf numFmtId="0" fontId="45" fillId="0" borderId="289" xfId="97" applyFont="1" applyBorder="1" applyAlignment="1">
      <alignment horizontal="left" vertical="center" wrapText="1"/>
    </xf>
    <xf numFmtId="0" fontId="83" fillId="68" borderId="246" xfId="217" applyFont="1" applyFill="1" applyBorder="1" applyAlignment="1">
      <alignment horizontal="center" vertical="center" wrapText="1"/>
    </xf>
    <xf numFmtId="167" fontId="28" fillId="18" borderId="141" xfId="0" applyNumberFormat="1" applyFont="1" applyFill="1" applyBorder="1" applyAlignment="1">
      <alignment horizontal="right" vertical="center" indent="2"/>
    </xf>
    <xf numFmtId="0" fontId="26" fillId="4" borderId="289" xfId="103" applyFill="1" applyBorder="1"/>
    <xf numFmtId="4" fontId="88" fillId="18" borderId="48" xfId="103" applyNumberFormat="1" applyFont="1" applyFill="1" applyBorder="1" applyAlignment="1">
      <alignment horizontal="right" vertical="center" indent="1"/>
    </xf>
    <xf numFmtId="0" fontId="26" fillId="5" borderId="289" xfId="103" applyFill="1" applyBorder="1"/>
    <xf numFmtId="0" fontId="26" fillId="5" borderId="289" xfId="103" applyFill="1" applyBorder="1" applyAlignment="1">
      <alignment wrapText="1"/>
    </xf>
    <xf numFmtId="0" fontId="28" fillId="5" borderId="289" xfId="103" applyFont="1" applyFill="1" applyBorder="1"/>
    <xf numFmtId="4" fontId="26" fillId="5" borderId="289" xfId="103" applyNumberFormat="1" applyFill="1" applyBorder="1"/>
    <xf numFmtId="4" fontId="26" fillId="4" borderId="289" xfId="103" applyNumberFormat="1" applyFill="1" applyBorder="1"/>
    <xf numFmtId="14" fontId="132" fillId="0" borderId="0" xfId="97" applyNumberFormat="1" applyFont="1" applyAlignment="1">
      <alignment horizontal="left" vertical="center" indent="4"/>
    </xf>
    <xf numFmtId="10" fontId="6" fillId="0" borderId="0" xfId="216" applyNumberFormat="1" applyFont="1" applyAlignment="1">
      <alignment horizontal="center" vertical="center"/>
    </xf>
    <xf numFmtId="3" fontId="6" fillId="0" borderId="0" xfId="216" applyNumberFormat="1" applyFont="1" applyAlignment="1">
      <alignment horizontal="center" vertical="center"/>
    </xf>
    <xf numFmtId="10" fontId="6" fillId="0" borderId="0" xfId="0" applyNumberFormat="1" applyFont="1" applyAlignment="1">
      <alignment horizontal="center" vertical="center"/>
    </xf>
    <xf numFmtId="3" fontId="6" fillId="0" borderId="0" xfId="0" applyNumberFormat="1" applyFont="1" applyAlignment="1">
      <alignment horizontal="center" vertical="center"/>
    </xf>
    <xf numFmtId="4" fontId="5" fillId="0" borderId="0" xfId="205" applyNumberFormat="1" applyFont="1"/>
    <xf numFmtId="0" fontId="26" fillId="0" borderId="168" xfId="0" applyFont="1" applyBorder="1" applyAlignment="1">
      <alignment wrapText="1"/>
    </xf>
    <xf numFmtId="175" fontId="0" fillId="0" borderId="168" xfId="0" applyNumberFormat="1" applyBorder="1"/>
    <xf numFmtId="10" fontId="0" fillId="0" borderId="168" xfId="0" applyNumberFormat="1" applyBorder="1"/>
    <xf numFmtId="0" fontId="26" fillId="3" borderId="168" xfId="0" applyFont="1" applyFill="1" applyBorder="1" applyAlignment="1">
      <alignment wrapText="1"/>
    </xf>
    <xf numFmtId="175" fontId="28" fillId="3" borderId="168" xfId="0" applyNumberFormat="1" applyFont="1" applyFill="1" applyBorder="1"/>
    <xf numFmtId="0" fontId="80" fillId="69" borderId="0" xfId="217" applyFont="1" applyFill="1" applyAlignment="1">
      <alignment horizontal="center" vertical="center" wrapText="1"/>
    </xf>
    <xf numFmtId="4" fontId="26" fillId="57" borderId="289" xfId="103" applyNumberFormat="1" applyFill="1" applyBorder="1"/>
    <xf numFmtId="4" fontId="26" fillId="57" borderId="252" xfId="218" applyNumberFormat="1" applyFill="1" applyBorder="1" applyAlignment="1">
      <alignment horizontal="right" vertical="center" indent="1"/>
    </xf>
    <xf numFmtId="3" fontId="26" fillId="0" borderId="313" xfId="217" applyNumberFormat="1" applyBorder="1" applyAlignment="1">
      <alignment horizontal="center" vertical="center"/>
    </xf>
    <xf numFmtId="3" fontId="26" fillId="0" borderId="314" xfId="217" applyNumberFormat="1" applyBorder="1" applyAlignment="1">
      <alignment horizontal="center" vertical="center"/>
    </xf>
    <xf numFmtId="4" fontId="26" fillId="0" borderId="313" xfId="217" applyNumberFormat="1" applyBorder="1" applyAlignment="1">
      <alignment horizontal="center" vertical="center"/>
    </xf>
    <xf numFmtId="179" fontId="26" fillId="0" borderId="0" xfId="217" applyNumberFormat="1"/>
    <xf numFmtId="177" fontId="26" fillId="5" borderId="0" xfId="217" applyNumberFormat="1" applyFill="1"/>
    <xf numFmtId="164" fontId="26" fillId="0" borderId="0" xfId="217" applyNumberFormat="1"/>
    <xf numFmtId="4" fontId="23" fillId="0" borderId="0" xfId="99" applyNumberFormat="1"/>
    <xf numFmtId="167" fontId="26" fillId="0" borderId="315" xfId="0" applyNumberFormat="1" applyFont="1" applyBorder="1" applyAlignment="1">
      <alignment horizontal="right" vertical="center" indent="1"/>
    </xf>
    <xf numFmtId="0" fontId="48" fillId="0" borderId="317" xfId="0" applyFont="1" applyBorder="1" applyAlignment="1">
      <alignment horizontal="left" vertical="center"/>
    </xf>
    <xf numFmtId="167" fontId="26" fillId="0" borderId="318" xfId="0" applyNumberFormat="1" applyFont="1" applyBorder="1" applyAlignment="1">
      <alignment horizontal="right" vertical="center" indent="1"/>
    </xf>
    <xf numFmtId="0" fontId="102" fillId="0" borderId="319" xfId="0" applyFont="1" applyBorder="1" applyAlignment="1">
      <alignment horizontal="left" vertical="center"/>
    </xf>
    <xf numFmtId="0" fontId="102" fillId="0" borderId="320" xfId="0" applyFont="1" applyBorder="1" applyAlignment="1">
      <alignment horizontal="left" vertical="center"/>
    </xf>
    <xf numFmtId="165" fontId="26" fillId="0" borderId="321" xfId="0" applyNumberFormat="1" applyFont="1" applyBorder="1" applyAlignment="1">
      <alignment horizontal="right" vertical="center" indent="1"/>
    </xf>
    <xf numFmtId="0" fontId="48" fillId="0" borderId="322" xfId="0" applyFont="1" applyBorder="1" applyAlignment="1">
      <alignment vertical="center"/>
    </xf>
    <xf numFmtId="0" fontId="102" fillId="0" borderId="323" xfId="0" applyFont="1" applyBorder="1" applyAlignment="1">
      <alignment vertical="center"/>
    </xf>
    <xf numFmtId="0" fontId="102" fillId="0" borderId="316" xfId="0" applyFont="1" applyBorder="1" applyAlignment="1">
      <alignment vertical="center"/>
    </xf>
    <xf numFmtId="0" fontId="102" fillId="0" borderId="324" xfId="0" applyFont="1" applyBorder="1" applyAlignment="1">
      <alignment horizontal="left" vertical="center"/>
    </xf>
    <xf numFmtId="0" fontId="4" fillId="0" borderId="0" xfId="223" applyFont="1"/>
    <xf numFmtId="164" fontId="26" fillId="0" borderId="0" xfId="103" applyNumberFormat="1"/>
    <xf numFmtId="10" fontId="3" fillId="0" borderId="0" xfId="0" applyNumberFormat="1" applyFont="1" applyAlignment="1">
      <alignment horizontal="center" vertical="center"/>
    </xf>
    <xf numFmtId="3" fontId="3" fillId="0" borderId="0" xfId="0" applyNumberFormat="1" applyFont="1" applyAlignment="1">
      <alignment horizontal="center" vertical="center"/>
    </xf>
    <xf numFmtId="0" fontId="26" fillId="0" borderId="138" xfId="0" applyFont="1" applyBorder="1" applyAlignment="1">
      <alignment horizontal="left" vertical="center" wrapText="1" indent="4"/>
    </xf>
    <xf numFmtId="4" fontId="128" fillId="5" borderId="140" xfId="0" applyNumberFormat="1" applyFont="1" applyFill="1" applyBorder="1" applyAlignment="1">
      <alignment horizontal="center" vertical="center"/>
    </xf>
    <xf numFmtId="167" fontId="26" fillId="0" borderId="91" xfId="0" applyNumberFormat="1" applyFont="1" applyBorder="1" applyAlignment="1">
      <alignment horizontal="right" vertical="center" indent="1"/>
    </xf>
    <xf numFmtId="167" fontId="27" fillId="0" borderId="101" xfId="0" applyNumberFormat="1" applyFont="1" applyBorder="1" applyAlignment="1">
      <alignment horizontal="right" vertical="center" indent="1"/>
    </xf>
    <xf numFmtId="0" fontId="28" fillId="0" borderId="83" xfId="0" applyFont="1" applyBorder="1"/>
    <xf numFmtId="4" fontId="28" fillId="6" borderId="142" xfId="103" applyNumberFormat="1" applyFont="1" applyFill="1" applyBorder="1" applyAlignment="1">
      <alignment vertical="center"/>
    </xf>
    <xf numFmtId="167" fontId="12" fillId="0" borderId="0" xfId="223" applyNumberFormat="1"/>
    <xf numFmtId="0" fontId="49" fillId="0" borderId="0" xfId="223" applyFont="1"/>
    <xf numFmtId="0" fontId="86" fillId="0" borderId="51" xfId="103" applyFont="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4" fontId="12" fillId="0" borderId="0" xfId="223" applyNumberFormat="1"/>
    <xf numFmtId="4" fontId="7" fillId="0" borderId="0" xfId="223" applyNumberFormat="1" applyFont="1"/>
    <xf numFmtId="4" fontId="123" fillId="0" borderId="0" xfId="223" applyNumberFormat="1" applyFont="1"/>
    <xf numFmtId="4" fontId="2" fillId="0" borderId="0" xfId="223" applyNumberFormat="1" applyFont="1"/>
    <xf numFmtId="167" fontId="26" fillId="57" borderId="22" xfId="217" applyNumberFormat="1" applyFill="1" applyBorder="1"/>
    <xf numFmtId="164" fontId="12" fillId="0" borderId="0" xfId="223" applyNumberFormat="1"/>
    <xf numFmtId="0" fontId="1" fillId="0" borderId="0" xfId="223" applyFont="1"/>
    <xf numFmtId="4" fontId="26" fillId="5" borderId="0" xfId="103" applyNumberFormat="1" applyFill="1" applyAlignment="1">
      <alignment horizontal="left" vertical="center" indent="1"/>
    </xf>
    <xf numFmtId="43" fontId="123" fillId="0" borderId="0" xfId="223" applyNumberFormat="1" applyFont="1"/>
    <xf numFmtId="4" fontId="166" fillId="0" borderId="51" xfId="103" applyNumberFormat="1" applyFont="1" applyBorder="1" applyAlignment="1">
      <alignment horizontal="right" vertical="center" wrapText="1" indent="1"/>
    </xf>
    <xf numFmtId="4" fontId="160" fillId="0" borderId="12" xfId="207" applyNumberFormat="1" applyFont="1" applyBorder="1" applyAlignment="1">
      <alignment horizontal="centerContinuous" vertical="center"/>
    </xf>
    <xf numFmtId="4" fontId="26" fillId="0" borderId="0" xfId="0" applyNumberFormat="1" applyFont="1"/>
    <xf numFmtId="4" fontId="26" fillId="11" borderId="142" xfId="103" applyNumberFormat="1" applyFill="1" applyBorder="1"/>
    <xf numFmtId="4" fontId="166" fillId="8" borderId="51" xfId="103" applyNumberFormat="1" applyFont="1" applyFill="1" applyBorder="1" applyAlignment="1">
      <alignment horizontal="right" vertical="center" wrapText="1"/>
    </xf>
    <xf numFmtId="4" fontId="26" fillId="5" borderId="289" xfId="103" applyNumberFormat="1" applyFill="1" applyBorder="1" applyAlignment="1">
      <alignment vertical="center"/>
    </xf>
    <xf numFmtId="164" fontId="49" fillId="0" borderId="0" xfId="223" applyNumberFormat="1" applyFont="1"/>
    <xf numFmtId="0" fontId="0" fillId="0" borderId="289" xfId="0" applyBorder="1" applyAlignment="1">
      <alignment vertical="center"/>
    </xf>
    <xf numFmtId="0" fontId="26" fillId="0" borderId="289" xfId="0" applyFont="1" applyBorder="1" applyAlignment="1">
      <alignment vertical="center"/>
    </xf>
    <xf numFmtId="0" fontId="26" fillId="0" borderId="289" xfId="0" quotePrefix="1" applyFont="1" applyBorder="1" applyAlignment="1">
      <alignment vertical="center"/>
    </xf>
    <xf numFmtId="14" fontId="26" fillId="0" borderId="289" xfId="0" applyNumberFormat="1" applyFont="1" applyBorder="1" applyAlignment="1">
      <alignment vertical="center"/>
    </xf>
    <xf numFmtId="0" fontId="26" fillId="0" borderId="168" xfId="103" applyBorder="1" applyAlignment="1">
      <alignment vertical="center" wrapText="1"/>
    </xf>
    <xf numFmtId="0" fontId="26" fillId="0" borderId="289" xfId="0" applyFont="1" applyBorder="1" applyAlignment="1">
      <alignment horizontal="left" vertical="center"/>
    </xf>
    <xf numFmtId="0" fontId="26" fillId="0" borderId="289" xfId="0" applyFont="1" applyBorder="1" applyAlignment="1">
      <alignment horizontal="left"/>
    </xf>
    <xf numFmtId="167" fontId="0" fillId="0" borderId="0" xfId="0" applyNumberFormat="1" applyAlignment="1">
      <alignment horizontal="center"/>
    </xf>
    <xf numFmtId="167" fontId="45" fillId="0" borderId="0" xfId="97" applyNumberFormat="1" applyFont="1" applyAlignment="1">
      <alignment horizontal="left" vertical="center" wrapText="1"/>
    </xf>
    <xf numFmtId="167" fontId="28" fillId="0" borderId="295" xfId="103" applyNumberFormat="1" applyFont="1" applyBorder="1" applyAlignment="1">
      <alignment vertical="center"/>
    </xf>
    <xf numFmtId="167" fontId="28" fillId="0" borderId="0" xfId="103" applyNumberFormat="1" applyFont="1" applyAlignment="1">
      <alignment horizontal="right"/>
    </xf>
    <xf numFmtId="167" fontId="28" fillId="0" borderId="0" xfId="0" applyNumberFormat="1" applyFont="1" applyAlignment="1">
      <alignment vertical="center"/>
    </xf>
    <xf numFmtId="167" fontId="28" fillId="67" borderId="22" xfId="0" applyNumberFormat="1" applyFont="1" applyFill="1" applyBorder="1" applyAlignment="1">
      <alignment horizontal="center" vertical="center" wrapText="1"/>
    </xf>
    <xf numFmtId="0" fontId="26" fillId="0" borderId="0" xfId="234"/>
    <xf numFmtId="0" fontId="28" fillId="0" borderId="289" xfId="234" applyFont="1" applyBorder="1"/>
    <xf numFmtId="0" fontId="26" fillId="0" borderId="327" xfId="235" applyBorder="1" applyAlignment="1">
      <alignment horizontal="left"/>
    </xf>
    <xf numFmtId="0" fontId="26" fillId="0" borderId="327" xfId="235" applyBorder="1" applyAlignment="1">
      <alignment horizontal="center"/>
    </xf>
    <xf numFmtId="0" fontId="26" fillId="0" borderId="327" xfId="234" applyBorder="1" applyAlignment="1">
      <alignment horizontal="center"/>
    </xf>
    <xf numFmtId="14" fontId="26" fillId="0" borderId="327" xfId="234" applyNumberFormat="1" applyBorder="1" applyAlignment="1">
      <alignment horizontal="center"/>
    </xf>
    <xf numFmtId="0" fontId="26" fillId="0" borderId="327" xfId="234" applyBorder="1" applyAlignment="1">
      <alignment horizontal="left"/>
    </xf>
    <xf numFmtId="4" fontId="26" fillId="0" borderId="327" xfId="234" applyNumberFormat="1" applyBorder="1" applyAlignment="1">
      <alignment horizontal="right"/>
    </xf>
    <xf numFmtId="0" fontId="26" fillId="0" borderId="289" xfId="234" applyBorder="1" applyAlignment="1">
      <alignment horizontal="center" vertical="center"/>
    </xf>
    <xf numFmtId="0" fontId="28" fillId="0" borderId="0" xfId="234" applyFont="1"/>
    <xf numFmtId="0" fontId="26" fillId="0" borderId="327" xfId="234" applyBorder="1" applyAlignment="1">
      <alignment horizontal="right"/>
    </xf>
    <xf numFmtId="0" fontId="27" fillId="0" borderId="327" xfId="234" applyFont="1" applyBorder="1"/>
    <xf numFmtId="0" fontId="160" fillId="0" borderId="0" xfId="234" applyFont="1"/>
    <xf numFmtId="0" fontId="168" fillId="0" borderId="328" xfId="236" applyFont="1" applyBorder="1"/>
    <xf numFmtId="0" fontId="167" fillId="0" borderId="289" xfId="236" applyBorder="1" applyAlignment="1">
      <alignment horizontal="left"/>
    </xf>
    <xf numFmtId="0" fontId="26" fillId="17" borderId="289" xfId="0" applyFont="1" applyFill="1" applyBorder="1" applyAlignment="1">
      <alignment horizontal="left"/>
    </xf>
    <xf numFmtId="0" fontId="167" fillId="0" borderId="168" xfId="236" applyBorder="1" applyAlignment="1">
      <alignment horizontal="left"/>
    </xf>
    <xf numFmtId="0" fontId="105" fillId="0" borderId="329" xfId="0" applyFont="1" applyBorder="1" applyAlignment="1">
      <alignment horizontal="center" vertical="center" wrapText="1"/>
    </xf>
    <xf numFmtId="0" fontId="28" fillId="0" borderId="329" xfId="0" applyFont="1" applyBorder="1" applyAlignment="1">
      <alignment horizontal="center" vertical="center" wrapText="1"/>
    </xf>
    <xf numFmtId="0" fontId="154" fillId="0" borderId="329" xfId="0" applyFont="1" applyBorder="1" applyAlignment="1">
      <alignment horizontal="center" vertical="center" wrapText="1"/>
    </xf>
    <xf numFmtId="0" fontId="105" fillId="70" borderId="329" xfId="0" applyFont="1" applyFill="1" applyBorder="1" applyAlignment="1">
      <alignment horizontal="left" vertical="center" wrapText="1"/>
    </xf>
    <xf numFmtId="0" fontId="28" fillId="18" borderId="330" xfId="0" applyFont="1" applyFill="1" applyBorder="1" applyAlignment="1">
      <alignment vertical="center"/>
    </xf>
    <xf numFmtId="0" fontId="28" fillId="18" borderId="331" xfId="0" applyFont="1" applyFill="1" applyBorder="1" applyAlignment="1">
      <alignment vertical="center" wrapText="1"/>
    </xf>
    <xf numFmtId="0" fontId="28" fillId="18" borderId="331" xfId="0" applyFont="1" applyFill="1" applyBorder="1" applyAlignment="1">
      <alignment horizontal="left" vertical="center" wrapText="1"/>
    </xf>
    <xf numFmtId="0" fontId="26" fillId="18" borderId="331" xfId="0" applyFont="1" applyFill="1" applyBorder="1" applyAlignment="1">
      <alignment vertical="center" wrapText="1"/>
    </xf>
    <xf numFmtId="0" fontId="28" fillId="18" borderId="332" xfId="0" applyFont="1" applyFill="1" applyBorder="1" applyAlignment="1">
      <alignment vertical="center" wrapText="1"/>
    </xf>
    <xf numFmtId="0" fontId="169" fillId="18" borderId="329" xfId="0" applyFont="1" applyFill="1" applyBorder="1" applyAlignment="1">
      <alignment horizontal="center" vertical="center" wrapText="1"/>
    </xf>
    <xf numFmtId="0" fontId="139" fillId="71" borderId="329" xfId="0" applyFont="1" applyFill="1" applyBorder="1" applyAlignment="1">
      <alignment horizontal="left" vertical="center" wrapText="1"/>
    </xf>
    <xf numFmtId="0" fontId="139" fillId="0" borderId="329" xfId="0" applyFont="1" applyBorder="1" applyAlignment="1">
      <alignment horizontal="left" vertical="center" wrapText="1"/>
    </xf>
    <xf numFmtId="0" fontId="26" fillId="0" borderId="329" xfId="0" applyFont="1" applyBorder="1" applyAlignment="1">
      <alignment horizontal="center" vertical="center" wrapText="1"/>
    </xf>
    <xf numFmtId="0" fontId="139" fillId="0" borderId="329" xfId="0" applyFont="1" applyBorder="1" applyAlignment="1">
      <alignment horizontal="center" vertical="center" wrapText="1"/>
    </xf>
    <xf numFmtId="0" fontId="26" fillId="72" borderId="329" xfId="0" applyFont="1" applyFill="1" applyBorder="1" applyAlignment="1">
      <alignment horizontal="left" vertical="center" wrapText="1"/>
    </xf>
    <xf numFmtId="0" fontId="105" fillId="59" borderId="329" xfId="0" applyFont="1" applyFill="1" applyBorder="1" applyAlignment="1">
      <alignment horizontal="left" vertical="center" wrapText="1"/>
    </xf>
    <xf numFmtId="0" fontId="26" fillId="0" borderId="331" xfId="0" applyFont="1" applyBorder="1" applyAlignment="1">
      <alignment horizontal="center" vertical="center" wrapText="1"/>
    </xf>
    <xf numFmtId="0" fontId="26" fillId="18" borderId="329" xfId="0" applyFont="1" applyFill="1" applyBorder="1" applyAlignment="1">
      <alignment vertical="center" wrapText="1"/>
    </xf>
    <xf numFmtId="0" fontId="26" fillId="0" borderId="329" xfId="0" applyFont="1" applyBorder="1" applyAlignment="1">
      <alignment horizontal="left" vertical="center" wrapText="1"/>
    </xf>
    <xf numFmtId="0" fontId="26" fillId="73" borderId="329" xfId="0" applyFont="1" applyFill="1" applyBorder="1" applyAlignment="1">
      <alignment horizontal="left" vertical="center" wrapText="1"/>
    </xf>
    <xf numFmtId="14" fontId="139" fillId="0" borderId="329" xfId="0" applyNumberFormat="1" applyFont="1" applyBorder="1" applyAlignment="1">
      <alignment horizontal="center" vertical="center" wrapText="1"/>
    </xf>
    <xf numFmtId="168" fontId="139" fillId="0" borderId="329" xfId="16" applyNumberFormat="1" applyFont="1" applyBorder="1" applyAlignment="1">
      <alignment horizontal="center" vertical="center" wrapText="1"/>
    </xf>
    <xf numFmtId="0" fontId="171" fillId="0" borderId="329" xfId="0" applyFont="1" applyBorder="1" applyAlignment="1">
      <alignment horizontal="center" vertical="center" wrapText="1"/>
    </xf>
    <xf numFmtId="0" fontId="172" fillId="0" borderId="329" xfId="0" applyFont="1" applyBorder="1" applyAlignment="1">
      <alignment horizontal="center" vertical="center" wrapText="1"/>
    </xf>
    <xf numFmtId="4" fontId="172" fillId="0" borderId="329" xfId="0" applyNumberFormat="1" applyFont="1" applyBorder="1" applyAlignment="1">
      <alignment horizontal="center" vertical="center" wrapText="1"/>
    </xf>
    <xf numFmtId="4" fontId="171" fillId="0" borderId="329" xfId="0" applyNumberFormat="1" applyFont="1" applyBorder="1" applyAlignment="1">
      <alignment horizontal="center" vertical="center" wrapText="1"/>
    </xf>
    <xf numFmtId="3" fontId="139" fillId="0" borderId="329" xfId="0" applyNumberFormat="1" applyFont="1" applyBorder="1" applyAlignment="1">
      <alignment horizontal="left" vertical="center" wrapText="1"/>
    </xf>
    <xf numFmtId="14" fontId="139" fillId="0" borderId="329" xfId="0" applyNumberFormat="1" applyFont="1" applyBorder="1" applyAlignment="1">
      <alignment horizontal="left" vertical="center" wrapText="1"/>
    </xf>
    <xf numFmtId="4" fontId="139" fillId="0" borderId="329" xfId="0" applyNumberFormat="1" applyFont="1" applyBorder="1" applyAlignment="1">
      <alignment horizontal="left" vertical="center" wrapText="1"/>
    </xf>
    <xf numFmtId="168" fontId="139" fillId="0" borderId="329" xfId="16" applyNumberFormat="1" applyFont="1" applyBorder="1" applyAlignment="1">
      <alignment horizontal="left" vertical="center" wrapText="1"/>
    </xf>
    <xf numFmtId="0" fontId="139" fillId="0" borderId="25" xfId="0" applyFont="1" applyBorder="1" applyAlignment="1">
      <alignment horizontal="center" vertical="center" wrapText="1"/>
    </xf>
    <xf numFmtId="4" fontId="26" fillId="57" borderId="237" xfId="218" applyNumberFormat="1" applyFill="1" applyBorder="1" applyAlignment="1">
      <alignment horizontal="right" vertical="center" indent="1"/>
    </xf>
    <xf numFmtId="0" fontId="139" fillId="0" borderId="329" xfId="181" applyFont="1" applyBorder="1" applyAlignment="1">
      <alignment horizontal="center" vertical="center" wrapText="1"/>
    </xf>
    <xf numFmtId="168" fontId="26" fillId="0" borderId="0" xfId="16" applyNumberFormat="1" applyFont="1" applyAlignment="1">
      <alignment vertical="center" wrapText="1"/>
    </xf>
    <xf numFmtId="4" fontId="0" fillId="0" borderId="0" xfId="0" applyNumberFormat="1" applyAlignment="1">
      <alignment vertical="center"/>
    </xf>
    <xf numFmtId="0" fontId="0" fillId="0" borderId="0" xfId="0" applyAlignment="1">
      <alignment vertical="center"/>
    </xf>
    <xf numFmtId="168" fontId="139" fillId="0" borderId="329" xfId="16" applyNumberFormat="1" applyFont="1" applyFill="1" applyBorder="1" applyAlignment="1">
      <alignment horizontal="center" vertical="center" wrapText="1"/>
    </xf>
    <xf numFmtId="4" fontId="139" fillId="0" borderId="329" xfId="0" applyNumberFormat="1" applyFont="1" applyBorder="1" applyAlignment="1">
      <alignment horizontal="center" vertical="center" wrapText="1"/>
    </xf>
    <xf numFmtId="10" fontId="139" fillId="0" borderId="329" xfId="16" applyNumberFormat="1" applyFont="1" applyBorder="1" applyAlignment="1">
      <alignment horizontal="center" vertical="center" wrapText="1"/>
    </xf>
    <xf numFmtId="9" fontId="139" fillId="0" borderId="329" xfId="0" applyNumberFormat="1" applyFont="1" applyBorder="1" applyAlignment="1">
      <alignment horizontal="center" vertical="center" wrapText="1"/>
    </xf>
    <xf numFmtId="9" fontId="139" fillId="0" borderId="329" xfId="0" applyNumberFormat="1" applyFont="1" applyBorder="1" applyAlignment="1">
      <alignment horizontal="left" vertical="center" wrapText="1"/>
    </xf>
    <xf numFmtId="10" fontId="139" fillId="0" borderId="329" xfId="16" applyNumberFormat="1" applyFont="1" applyFill="1" applyBorder="1" applyAlignment="1">
      <alignment horizontal="left" vertical="center" wrapText="1"/>
    </xf>
    <xf numFmtId="168" fontId="139" fillId="0" borderId="329" xfId="0" applyNumberFormat="1" applyFont="1" applyBorder="1" applyAlignment="1">
      <alignment horizontal="left" vertical="center" wrapText="1"/>
    </xf>
    <xf numFmtId="4" fontId="160" fillId="0" borderId="331" xfId="207" applyNumberFormat="1" applyFont="1" applyBorder="1" applyAlignment="1">
      <alignment horizontal="centerContinuous" vertical="center"/>
    </xf>
    <xf numFmtId="0" fontId="133" fillId="66" borderId="335" xfId="103" applyFont="1" applyFill="1" applyBorder="1" applyAlignment="1">
      <alignment vertical="center"/>
    </xf>
    <xf numFmtId="0" fontId="133" fillId="66" borderId="335" xfId="103" applyFont="1" applyFill="1" applyBorder="1"/>
    <xf numFmtId="4" fontId="26" fillId="0" borderId="289" xfId="103" applyNumberFormat="1" applyBorder="1" applyAlignment="1">
      <alignment vertical="center"/>
    </xf>
    <xf numFmtId="0" fontId="168" fillId="0" borderId="336" xfId="0" applyFont="1" applyBorder="1"/>
    <xf numFmtId="0" fontId="0" fillId="18" borderId="168" xfId="0" applyFill="1" applyBorder="1" applyAlignment="1">
      <alignment horizontal="left"/>
    </xf>
    <xf numFmtId="0" fontId="0" fillId="0" borderId="168" xfId="0" applyBorder="1" applyAlignment="1">
      <alignment horizontal="left"/>
    </xf>
    <xf numFmtId="0" fontId="66" fillId="74" borderId="340" xfId="234" applyFont="1" applyFill="1" applyBorder="1"/>
    <xf numFmtId="0" fontId="66" fillId="74" borderId="341" xfId="234" applyFont="1" applyFill="1" applyBorder="1"/>
    <xf numFmtId="0" fontId="66" fillId="74" borderId="342" xfId="234" applyFont="1" applyFill="1" applyBorder="1"/>
    <xf numFmtId="0" fontId="139" fillId="75" borderId="340" xfId="234" applyFont="1" applyFill="1" applyBorder="1"/>
    <xf numFmtId="0" fontId="139" fillId="75" borderId="341" xfId="234" applyFont="1" applyFill="1" applyBorder="1"/>
    <xf numFmtId="4" fontId="139" fillId="75" borderId="341" xfId="234" applyNumberFormat="1" applyFont="1" applyFill="1" applyBorder="1"/>
    <xf numFmtId="4" fontId="139" fillId="75" borderId="342" xfId="234" applyNumberFormat="1" applyFont="1" applyFill="1" applyBorder="1"/>
    <xf numFmtId="0" fontId="139" fillId="0" borderId="340" xfId="234" applyFont="1" applyBorder="1"/>
    <xf numFmtId="0" fontId="139" fillId="0" borderId="341" xfId="234" applyFont="1" applyBorder="1"/>
    <xf numFmtId="4" fontId="139" fillId="0" borderId="341" xfId="234" applyNumberFormat="1" applyFont="1" applyBorder="1"/>
    <xf numFmtId="4" fontId="139" fillId="0" borderId="342" xfId="234" applyNumberFormat="1" applyFont="1" applyBorder="1"/>
    <xf numFmtId="0" fontId="139" fillId="0" borderId="337" xfId="234" applyFont="1" applyBorder="1"/>
    <xf numFmtId="0" fontId="139" fillId="0" borderId="338" xfId="234" applyFont="1" applyBorder="1"/>
    <xf numFmtId="4" fontId="139" fillId="0" borderId="338" xfId="234" applyNumberFormat="1" applyFont="1" applyBorder="1"/>
    <xf numFmtId="4" fontId="139" fillId="0" borderId="339" xfId="234" applyNumberFormat="1" applyFont="1" applyBorder="1"/>
    <xf numFmtId="180" fontId="83" fillId="6" borderId="227" xfId="217" applyNumberFormat="1" applyFont="1" applyFill="1" applyBorder="1" applyAlignment="1">
      <alignment horizontal="center" vertical="center"/>
    </xf>
    <xf numFmtId="4" fontId="88" fillId="57" borderId="48" xfId="103" applyNumberFormat="1" applyFont="1" applyFill="1" applyBorder="1" applyAlignment="1">
      <alignment horizontal="right" vertical="center" indent="1"/>
    </xf>
    <xf numFmtId="0" fontId="140" fillId="0" borderId="0" xfId="97" applyFont="1" applyAlignment="1">
      <alignment horizontal="center"/>
    </xf>
    <xf numFmtId="0" fontId="125" fillId="0" borderId="0" xfId="180" applyAlignment="1">
      <alignment horizontal="left" vertical="top" wrapText="1"/>
    </xf>
    <xf numFmtId="0" fontId="137" fillId="0" borderId="0" xfId="97" applyFont="1" applyAlignment="1">
      <alignment horizontal="left" vertical="top" wrapText="1"/>
    </xf>
    <xf numFmtId="0" fontId="137" fillId="0" borderId="0" xfId="97" applyFont="1" applyAlignment="1">
      <alignment vertical="center" wrapText="1"/>
    </xf>
    <xf numFmtId="0" fontId="50" fillId="9" borderId="57" xfId="103" applyFont="1" applyFill="1" applyBorder="1" applyAlignment="1">
      <alignment horizontal="left" vertical="center"/>
    </xf>
    <xf numFmtId="0" fontId="50" fillId="9" borderId="58" xfId="103" applyFont="1" applyFill="1" applyBorder="1" applyAlignment="1">
      <alignment horizontal="left" vertical="center"/>
    </xf>
    <xf numFmtId="0" fontId="50" fillId="9" borderId="59" xfId="103" applyFont="1" applyFill="1" applyBorder="1" applyAlignment="1">
      <alignment horizontal="left" vertical="center"/>
    </xf>
    <xf numFmtId="4" fontId="0" fillId="0" borderId="0" xfId="102" applyNumberFormat="1" applyFont="1" applyAlignment="1">
      <alignment horizontal="right"/>
    </xf>
    <xf numFmtId="4" fontId="83" fillId="67" borderId="2" xfId="102" applyNumberFormat="1" applyFont="1" applyFill="1" applyBorder="1" applyAlignment="1">
      <alignment horizontal="center" vertical="center"/>
    </xf>
    <xf numFmtId="0" fontId="133" fillId="66" borderId="57" xfId="103" applyFont="1" applyFill="1" applyBorder="1" applyAlignment="1">
      <alignment horizontal="left" vertical="center"/>
    </xf>
    <xf numFmtId="0" fontId="133" fillId="66" borderId="58" xfId="103" applyFont="1" applyFill="1" applyBorder="1" applyAlignment="1">
      <alignment horizontal="left" vertical="center"/>
    </xf>
    <xf numFmtId="0" fontId="133" fillId="66" borderId="59" xfId="103" applyFont="1" applyFill="1" applyBorder="1" applyAlignment="1">
      <alignment horizontal="left" vertical="center"/>
    </xf>
    <xf numFmtId="0" fontId="87" fillId="0" borderId="190" xfId="220" applyFont="1" applyBorder="1" applyAlignment="1">
      <alignment horizontal="left" vertical="center" wrapText="1"/>
    </xf>
    <xf numFmtId="0" fontId="87" fillId="0" borderId="84" xfId="220" applyFont="1" applyBorder="1" applyAlignment="1">
      <alignment horizontal="left" vertical="center" wrapText="1"/>
    </xf>
    <xf numFmtId="0" fontId="87" fillId="0" borderId="191" xfId="220" applyFont="1" applyBorder="1" applyAlignment="1">
      <alignment horizontal="left" vertical="center" wrapText="1"/>
    </xf>
    <xf numFmtId="0" fontId="81" fillId="5" borderId="0" xfId="103" applyFont="1" applyFill="1" applyAlignment="1">
      <alignment horizontal="center" vertical="center"/>
    </xf>
    <xf numFmtId="0" fontId="145" fillId="0" borderId="186" xfId="220" applyFont="1" applyBorder="1" applyAlignment="1">
      <alignment horizontal="left" vertical="center" wrapText="1"/>
    </xf>
    <xf numFmtId="0" fontId="145" fillId="0" borderId="187" xfId="220" applyFont="1" applyBorder="1" applyAlignment="1">
      <alignment horizontal="left" vertical="center" wrapText="1"/>
    </xf>
    <xf numFmtId="0" fontId="145" fillId="0" borderId="188" xfId="220" applyFont="1" applyBorder="1" applyAlignment="1">
      <alignment horizontal="left" vertical="center" wrapText="1"/>
    </xf>
    <xf numFmtId="0" fontId="145" fillId="0" borderId="202" xfId="220" applyFont="1" applyBorder="1" applyAlignment="1">
      <alignment horizontal="left" vertical="center" wrapText="1"/>
    </xf>
    <xf numFmtId="0" fontId="145" fillId="0" borderId="203" xfId="220" applyFont="1" applyBorder="1" applyAlignment="1">
      <alignment horizontal="left" vertical="center" wrapText="1"/>
    </xf>
    <xf numFmtId="0" fontId="145" fillId="0" borderId="204" xfId="220" applyFont="1" applyBorder="1" applyAlignment="1">
      <alignment horizontal="left" vertical="center" wrapText="1"/>
    </xf>
    <xf numFmtId="0" fontId="145" fillId="0" borderId="190" xfId="220" applyFont="1" applyBorder="1" applyAlignment="1">
      <alignment horizontal="left" vertical="center" wrapText="1"/>
    </xf>
    <xf numFmtId="0" fontId="145" fillId="0" borderId="84" xfId="220" applyFont="1" applyBorder="1" applyAlignment="1">
      <alignment horizontal="left" vertical="center" wrapText="1"/>
    </xf>
    <xf numFmtId="0" fontId="145" fillId="0" borderId="191" xfId="220" applyFont="1" applyBorder="1" applyAlignment="1">
      <alignment horizontal="left" vertical="center" wrapText="1"/>
    </xf>
    <xf numFmtId="0" fontId="145" fillId="0" borderId="196" xfId="220" applyFont="1" applyBorder="1" applyAlignment="1">
      <alignment horizontal="left" vertical="center" wrapText="1"/>
    </xf>
    <xf numFmtId="0" fontId="145" fillId="0" borderId="197" xfId="220" applyFont="1" applyBorder="1" applyAlignment="1">
      <alignment horizontal="left" vertical="center" wrapText="1"/>
    </xf>
    <xf numFmtId="0" fontId="145" fillId="0" borderId="198" xfId="220" applyFont="1" applyBorder="1" applyAlignment="1">
      <alignment horizontal="left" vertical="center" wrapText="1"/>
    </xf>
    <xf numFmtId="0" fontId="93" fillId="66" borderId="209" xfId="0" applyFont="1" applyFill="1" applyBorder="1" applyAlignment="1">
      <alignment horizontal="left" vertical="center" wrapText="1"/>
    </xf>
    <xf numFmtId="0" fontId="93" fillId="66" borderId="179" xfId="0" applyFont="1" applyFill="1" applyBorder="1" applyAlignment="1">
      <alignment horizontal="left" vertical="center" wrapText="1"/>
    </xf>
    <xf numFmtId="0" fontId="93" fillId="66" borderId="180" xfId="0" applyFont="1" applyFill="1" applyBorder="1" applyAlignment="1">
      <alignment horizontal="left" vertical="center" wrapText="1"/>
    </xf>
    <xf numFmtId="0" fontId="87" fillId="0" borderId="186" xfId="220" applyFont="1" applyBorder="1" applyAlignment="1">
      <alignment horizontal="left" vertical="center" wrapText="1"/>
    </xf>
    <xf numFmtId="0" fontId="87" fillId="0" borderId="187" xfId="220" applyFont="1" applyBorder="1" applyAlignment="1">
      <alignment horizontal="left" vertical="center" wrapText="1"/>
    </xf>
    <xf numFmtId="0" fontId="87" fillId="0" borderId="188" xfId="220" applyFont="1" applyBorder="1" applyAlignment="1">
      <alignment horizontal="left" vertical="center" wrapText="1"/>
    </xf>
    <xf numFmtId="0" fontId="145" fillId="0" borderId="205" xfId="220" applyFont="1" applyBorder="1" applyAlignment="1">
      <alignment horizontal="left" vertical="center" wrapText="1"/>
    </xf>
    <xf numFmtId="0" fontId="145" fillId="0" borderId="206" xfId="220" applyFont="1" applyBorder="1" applyAlignment="1">
      <alignment horizontal="left" vertical="center" wrapText="1"/>
    </xf>
    <xf numFmtId="0" fontId="145" fillId="0" borderId="207" xfId="220" applyFont="1" applyBorder="1" applyAlignment="1">
      <alignment horizontal="left" vertical="center" wrapText="1"/>
    </xf>
    <xf numFmtId="173" fontId="48" fillId="0" borderId="178" xfId="220" applyNumberFormat="1" applyFont="1" applyBorder="1" applyAlignment="1" applyProtection="1">
      <alignment horizontal="left" vertical="center"/>
      <protection locked="0"/>
    </xf>
    <xf numFmtId="173" fontId="48" fillId="0" borderId="179" xfId="220" applyNumberFormat="1" applyFont="1" applyBorder="1" applyAlignment="1" applyProtection="1">
      <alignment horizontal="left" vertical="center"/>
      <protection locked="0"/>
    </xf>
    <xf numFmtId="173" fontId="48" fillId="0" borderId="180" xfId="220" applyNumberFormat="1" applyFont="1" applyBorder="1" applyAlignment="1" applyProtection="1">
      <alignment horizontal="left" vertical="center"/>
      <protection locked="0"/>
    </xf>
    <xf numFmtId="164" fontId="139" fillId="17" borderId="10" xfId="79" applyFont="1" applyFill="1" applyBorder="1" applyAlignment="1">
      <alignment horizontal="center" vertical="center" wrapText="1"/>
    </xf>
    <xf numFmtId="164" fontId="139" fillId="17" borderId="152" xfId="79" applyFont="1" applyFill="1" applyBorder="1" applyAlignment="1">
      <alignment horizontal="center" vertical="center" wrapText="1"/>
    </xf>
    <xf numFmtId="164" fontId="80" fillId="62" borderId="264" xfId="79" applyFont="1" applyFill="1" applyBorder="1" applyAlignment="1">
      <alignment horizontal="center" vertical="center" wrapText="1"/>
    </xf>
    <xf numFmtId="164" fontId="80" fillId="62" borderId="265" xfId="79" applyFont="1" applyFill="1" applyBorder="1" applyAlignment="1">
      <alignment horizontal="center" vertical="center" wrapText="1"/>
    </xf>
    <xf numFmtId="164" fontId="80" fillId="62" borderId="266" xfId="79" applyFont="1" applyFill="1" applyBorder="1" applyAlignment="1">
      <alignment horizontal="center" vertical="center" wrapText="1"/>
    </xf>
    <xf numFmtId="164" fontId="80" fillId="62" borderId="10" xfId="79" applyFont="1" applyFill="1" applyBorder="1" applyAlignment="1">
      <alignment horizontal="center" vertical="center" wrapText="1"/>
    </xf>
    <xf numFmtId="164" fontId="80" fillId="62" borderId="152" xfId="79" applyFont="1" applyFill="1" applyBorder="1" applyAlignment="1">
      <alignment horizontal="center" vertical="center" wrapText="1"/>
    </xf>
    <xf numFmtId="164" fontId="139" fillId="17" borderId="149" xfId="79" applyFont="1" applyFill="1" applyBorder="1" applyAlignment="1">
      <alignment horizontal="center" vertical="center" wrapText="1"/>
    </xf>
    <xf numFmtId="164" fontId="139" fillId="17" borderId="151" xfId="79" applyFont="1" applyFill="1" applyBorder="1" applyAlignment="1">
      <alignment horizontal="center" vertical="center" wrapText="1"/>
    </xf>
    <xf numFmtId="164" fontId="80" fillId="62" borderId="150" xfId="79" applyFont="1" applyFill="1" applyBorder="1" applyAlignment="1">
      <alignment horizontal="center" vertical="center" wrapText="1"/>
    </xf>
    <xf numFmtId="164" fontId="80" fillId="62" borderId="153" xfId="79" applyFont="1" applyFill="1" applyBorder="1" applyAlignment="1">
      <alignment horizontal="center" vertical="center" wrapText="1"/>
    </xf>
    <xf numFmtId="164" fontId="139" fillId="17" borderId="26" xfId="79" applyFont="1" applyFill="1" applyBorder="1" applyAlignment="1">
      <alignment horizontal="center" vertical="center" wrapText="1"/>
    </xf>
    <xf numFmtId="164" fontId="139" fillId="17" borderId="8" xfId="79" applyFont="1" applyFill="1" applyBorder="1" applyAlignment="1">
      <alignment horizontal="center" vertical="center" wrapText="1"/>
    </xf>
    <xf numFmtId="164" fontId="139" fillId="17" borderId="13" xfId="79" applyFont="1" applyFill="1" applyBorder="1" applyAlignment="1">
      <alignment horizontal="center" vertical="center" wrapText="1"/>
    </xf>
    <xf numFmtId="164" fontId="139" fillId="17" borderId="150" xfId="79" applyFont="1" applyFill="1" applyBorder="1" applyAlignment="1">
      <alignment horizontal="center" vertical="center" wrapText="1"/>
    </xf>
    <xf numFmtId="164" fontId="139" fillId="17" borderId="153" xfId="79" applyFont="1" applyFill="1" applyBorder="1" applyAlignment="1">
      <alignment horizontal="center" vertical="center" wrapText="1"/>
    </xf>
    <xf numFmtId="164" fontId="26" fillId="0" borderId="24" xfId="79" applyFont="1" applyBorder="1" applyAlignment="1">
      <alignment horizontal="center" vertical="center" wrapText="1"/>
    </xf>
    <xf numFmtId="164" fontId="26" fillId="0" borderId="27" xfId="79" applyFont="1" applyBorder="1" applyAlignment="1">
      <alignment horizontal="center" vertical="center" wrapText="1"/>
    </xf>
    <xf numFmtId="164" fontId="80" fillId="62" borderId="149" xfId="79" applyFont="1" applyFill="1" applyBorder="1" applyAlignment="1">
      <alignment horizontal="center" vertical="center" wrapText="1"/>
    </xf>
    <xf numFmtId="164" fontId="80" fillId="62" borderId="151" xfId="79" applyFont="1" applyFill="1" applyBorder="1" applyAlignment="1">
      <alignment horizontal="center" vertical="center" wrapText="1"/>
    </xf>
    <xf numFmtId="164" fontId="80" fillId="62" borderId="164" xfId="79" applyFont="1" applyFill="1" applyBorder="1" applyAlignment="1">
      <alignment horizontal="center" vertical="center" wrapText="1"/>
    </xf>
    <xf numFmtId="164" fontId="80" fillId="62" borderId="165" xfId="79" applyFont="1" applyFill="1" applyBorder="1" applyAlignment="1">
      <alignment horizontal="center" vertical="center" wrapText="1"/>
    </xf>
    <xf numFmtId="164" fontId="139" fillId="17" borderId="164" xfId="79" applyFont="1" applyFill="1" applyBorder="1" applyAlignment="1">
      <alignment horizontal="center" vertical="center" wrapText="1"/>
    </xf>
    <xf numFmtId="164" fontId="139" fillId="17" borderId="165" xfId="79" applyFont="1" applyFill="1" applyBorder="1" applyAlignment="1">
      <alignment horizontal="center" vertical="center" wrapText="1"/>
    </xf>
    <xf numFmtId="0" fontId="83" fillId="67" borderId="24" xfId="0" applyFont="1" applyFill="1" applyBorder="1" applyAlignment="1">
      <alignment horizontal="center" vertical="center" wrapText="1"/>
    </xf>
    <xf numFmtId="0" fontId="83" fillId="67" borderId="25" xfId="0" applyFont="1" applyFill="1" applyBorder="1" applyAlignment="1">
      <alignment horizontal="center" vertical="center" wrapText="1"/>
    </xf>
    <xf numFmtId="0" fontId="83" fillId="67" borderId="27" xfId="0" applyFont="1" applyFill="1" applyBorder="1" applyAlignment="1">
      <alignment horizontal="center" vertical="center" wrapText="1"/>
    </xf>
    <xf numFmtId="0" fontId="93" fillId="12" borderId="174" xfId="0" applyFont="1" applyFill="1" applyBorder="1" applyAlignment="1">
      <alignment horizontal="center" vertical="center" wrapText="1"/>
    </xf>
    <xf numFmtId="0" fontId="93" fillId="12" borderId="175" xfId="0" applyFont="1" applyFill="1" applyBorder="1" applyAlignment="1">
      <alignment horizontal="center" vertical="center" wrapText="1"/>
    </xf>
    <xf numFmtId="0" fontId="133" fillId="66" borderId="116" xfId="103" applyFont="1" applyFill="1" applyBorder="1" applyAlignment="1">
      <alignment horizontal="left" vertical="center"/>
    </xf>
    <xf numFmtId="0" fontId="133" fillId="66" borderId="117" xfId="103" applyFont="1" applyFill="1" applyBorder="1" applyAlignment="1">
      <alignment horizontal="left" vertical="center"/>
    </xf>
    <xf numFmtId="0" fontId="97" fillId="7" borderId="308" xfId="217" applyFont="1" applyFill="1" applyBorder="1" applyAlignment="1">
      <alignment horizontal="left" vertical="center" indent="1"/>
    </xf>
    <xf numFmtId="0" fontId="97" fillId="7" borderId="309" xfId="217" applyFont="1" applyFill="1" applyBorder="1" applyAlignment="1">
      <alignment horizontal="left" vertical="center" indent="1"/>
    </xf>
    <xf numFmtId="0" fontId="50" fillId="66" borderId="235" xfId="222" applyFont="1" applyFill="1" applyBorder="1" applyAlignment="1">
      <alignment horizontal="left"/>
    </xf>
    <xf numFmtId="0" fontId="50" fillId="66" borderId="0" xfId="222" applyFont="1" applyFill="1" applyAlignment="1">
      <alignment horizontal="left"/>
    </xf>
    <xf numFmtId="0" fontId="30" fillId="67" borderId="60" xfId="217" applyFont="1" applyFill="1" applyBorder="1" applyAlignment="1">
      <alignment horizontal="center" vertical="center"/>
    </xf>
    <xf numFmtId="0" fontId="30" fillId="67" borderId="61" xfId="217" applyFont="1" applyFill="1" applyBorder="1" applyAlignment="1">
      <alignment horizontal="center" vertical="center"/>
    </xf>
    <xf numFmtId="0" fontId="30" fillId="67" borderId="62" xfId="217" applyFont="1" applyFill="1" applyBorder="1" applyAlignment="1">
      <alignment horizontal="center" vertical="center"/>
    </xf>
    <xf numFmtId="0" fontId="83" fillId="11" borderId="63" xfId="217" applyFont="1" applyFill="1" applyBorder="1" applyAlignment="1">
      <alignment horizontal="center" vertical="center" wrapText="1"/>
    </xf>
    <xf numFmtId="0" fontId="83" fillId="11" borderId="64" xfId="217" applyFont="1" applyFill="1" applyBorder="1" applyAlignment="1">
      <alignment horizontal="center" vertical="center" wrapText="1"/>
    </xf>
    <xf numFmtId="0" fontId="83" fillId="67" borderId="173" xfId="217" applyFont="1" applyFill="1" applyBorder="1" applyAlignment="1">
      <alignment horizontal="center" vertical="center" wrapText="1"/>
    </xf>
    <xf numFmtId="0" fontId="83" fillId="67" borderId="77" xfId="217" applyFont="1" applyFill="1" applyBorder="1" applyAlignment="1">
      <alignment horizontal="center" vertical="center" wrapText="1"/>
    </xf>
    <xf numFmtId="0" fontId="83" fillId="67" borderId="78" xfId="217" applyFont="1" applyFill="1" applyBorder="1" applyAlignment="1">
      <alignment horizontal="center" vertical="center" wrapText="1"/>
    </xf>
    <xf numFmtId="0" fontId="30" fillId="67" borderId="312" xfId="217" applyFont="1" applyFill="1" applyBorder="1" applyAlignment="1">
      <alignment horizontal="center" vertical="center"/>
    </xf>
    <xf numFmtId="0" fontId="83" fillId="11" borderId="173" xfId="217" applyFont="1" applyFill="1" applyBorder="1" applyAlignment="1">
      <alignment horizontal="center" vertical="center" wrapText="1"/>
    </xf>
    <xf numFmtId="0" fontId="83" fillId="11" borderId="78" xfId="217" applyFont="1" applyFill="1" applyBorder="1" applyAlignment="1">
      <alignment horizontal="center" vertical="center" wrapText="1"/>
    </xf>
    <xf numFmtId="0" fontId="50" fillId="66" borderId="136" xfId="225" applyFont="1" applyFill="1" applyBorder="1" applyAlignment="1">
      <alignment horizontal="left"/>
    </xf>
    <xf numFmtId="0" fontId="50" fillId="66" borderId="137" xfId="225" applyFont="1" applyFill="1" applyBorder="1" applyAlignment="1">
      <alignment horizontal="left"/>
    </xf>
    <xf numFmtId="0" fontId="28" fillId="5" borderId="0" xfId="217" applyFont="1" applyFill="1" applyAlignment="1">
      <alignment horizontal="center" vertical="center" wrapText="1"/>
    </xf>
    <xf numFmtId="0" fontId="28" fillId="5" borderId="245" xfId="217" applyFont="1" applyFill="1" applyBorder="1" applyAlignment="1">
      <alignment horizontal="center" vertical="center" wrapText="1"/>
    </xf>
    <xf numFmtId="0" fontId="83" fillId="68" borderId="246" xfId="217" applyFont="1" applyFill="1" applyBorder="1" applyAlignment="1">
      <alignment horizontal="center" vertical="center" wrapText="1"/>
    </xf>
    <xf numFmtId="0" fontId="83" fillId="68" borderId="246" xfId="217" applyFont="1" applyFill="1" applyBorder="1" applyAlignment="1">
      <alignment horizontal="center" vertical="center"/>
    </xf>
    <xf numFmtId="0" fontId="28" fillId="68" borderId="246" xfId="217" applyFont="1" applyFill="1" applyBorder="1" applyAlignment="1">
      <alignment horizontal="center" vertical="center"/>
    </xf>
    <xf numFmtId="0" fontId="83" fillId="59" borderId="246" xfId="217" applyFont="1" applyFill="1" applyBorder="1" applyAlignment="1">
      <alignment horizontal="center" vertical="center" wrapText="1"/>
    </xf>
    <xf numFmtId="0" fontId="83" fillId="59" borderId="246" xfId="217" applyFont="1" applyFill="1" applyBorder="1" applyAlignment="1">
      <alignment horizontal="center" vertical="center"/>
    </xf>
    <xf numFmtId="0" fontId="28" fillId="59" borderId="246" xfId="217" applyFont="1" applyFill="1" applyBorder="1" applyAlignment="1">
      <alignment horizontal="center" vertical="center"/>
    </xf>
    <xf numFmtId="0" fontId="89" fillId="5" borderId="49" xfId="103" applyFont="1" applyFill="1" applyBorder="1" applyAlignment="1">
      <alignment horizontal="left" vertical="center" wrapText="1" indent="1"/>
    </xf>
    <xf numFmtId="0" fontId="89" fillId="5" borderId="50" xfId="103" applyFont="1" applyFill="1" applyBorder="1" applyAlignment="1">
      <alignment horizontal="left" vertical="center" wrapText="1" indent="1"/>
    </xf>
    <xf numFmtId="0" fontId="89" fillId="5" borderId="51" xfId="103" applyFont="1" applyFill="1" applyBorder="1" applyAlignment="1">
      <alignment horizontal="left" vertical="center" wrapText="1" indent="1"/>
    </xf>
    <xf numFmtId="0" fontId="89" fillId="0" borderId="49" xfId="103" applyFont="1" applyBorder="1" applyAlignment="1">
      <alignment horizontal="left" vertical="center" wrapText="1" indent="1"/>
    </xf>
    <xf numFmtId="0" fontId="89" fillId="0" borderId="50" xfId="103" applyFont="1" applyBorder="1" applyAlignment="1">
      <alignment horizontal="left" vertical="center" wrapText="1" indent="1"/>
    </xf>
    <xf numFmtId="0" fontId="89" fillId="0" borderId="51" xfId="103" applyFont="1" applyBorder="1" applyAlignment="1">
      <alignment horizontal="left" vertical="center" wrapText="1" indent="1"/>
    </xf>
    <xf numFmtId="0" fontId="74" fillId="67" borderId="242" xfId="103" applyFont="1" applyFill="1" applyBorder="1" applyAlignment="1">
      <alignment horizontal="right" vertical="center"/>
    </xf>
    <xf numFmtId="0" fontId="74" fillId="67" borderId="243" xfId="103" applyFont="1" applyFill="1" applyBorder="1" applyAlignment="1">
      <alignment horizontal="right" vertical="center"/>
    </xf>
    <xf numFmtId="0" fontId="74" fillId="67" borderId="244" xfId="103" applyFont="1" applyFill="1" applyBorder="1" applyAlignment="1">
      <alignment horizontal="right" vertical="center"/>
    </xf>
    <xf numFmtId="0" fontId="86" fillId="0" borderId="49" xfId="103" applyFont="1" applyBorder="1" applyAlignment="1">
      <alignment horizontal="left" vertical="center" wrapText="1" indent="1"/>
    </xf>
    <xf numFmtId="0" fontId="86" fillId="0" borderId="50" xfId="103" applyFont="1" applyBorder="1" applyAlignment="1">
      <alignment horizontal="left" vertical="center" wrapText="1" indent="1"/>
    </xf>
    <xf numFmtId="0" fontId="86" fillId="0" borderId="51" xfId="103" applyFont="1" applyBorder="1" applyAlignment="1">
      <alignment horizontal="left" vertical="center" wrapText="1" indent="1"/>
    </xf>
    <xf numFmtId="0" fontId="82" fillId="6" borderId="230" xfId="103" applyFont="1" applyFill="1" applyBorder="1" applyAlignment="1">
      <alignment horizontal="left" vertical="center" indent="1"/>
    </xf>
    <xf numFmtId="0" fontId="82" fillId="6" borderId="0" xfId="103" applyFont="1" applyFill="1" applyAlignment="1">
      <alignment horizontal="left" vertical="center" indent="1"/>
    </xf>
    <xf numFmtId="0" fontId="82" fillId="11" borderId="230" xfId="103" applyFont="1" applyFill="1" applyBorder="1" applyAlignment="1">
      <alignment horizontal="left" vertical="center" indent="1"/>
    </xf>
    <xf numFmtId="0" fontId="82" fillId="11" borderId="0" xfId="103" applyFont="1" applyFill="1" applyAlignment="1">
      <alignment horizontal="left" vertical="center" indent="1"/>
    </xf>
    <xf numFmtId="0" fontId="85" fillId="5" borderId="326" xfId="103" applyFont="1" applyFill="1" applyBorder="1" applyAlignment="1">
      <alignment horizontal="center" vertical="center"/>
    </xf>
    <xf numFmtId="0" fontId="85" fillId="5" borderId="139" xfId="103" applyFont="1" applyFill="1" applyBorder="1" applyAlignment="1">
      <alignment horizontal="center" vertical="center"/>
    </xf>
    <xf numFmtId="167" fontId="26" fillId="0" borderId="24" xfId="217" applyNumberFormat="1" applyBorder="1" applyAlignment="1">
      <alignment horizontal="center" vertical="center" wrapText="1"/>
    </xf>
    <xf numFmtId="167" fontId="26" fillId="0" borderId="25" xfId="217" applyNumberFormat="1" applyBorder="1" applyAlignment="1">
      <alignment horizontal="center" vertical="center" wrapText="1"/>
    </xf>
    <xf numFmtId="167" fontId="149" fillId="3" borderId="326" xfId="103" applyNumberFormat="1" applyFont="1" applyFill="1" applyBorder="1" applyAlignment="1">
      <alignment horizontal="center" vertical="center"/>
    </xf>
    <xf numFmtId="167" fontId="149" fillId="3" borderId="139" xfId="103" applyNumberFormat="1" applyFont="1" applyFill="1" applyBorder="1" applyAlignment="1">
      <alignment horizontal="center" vertical="center"/>
    </xf>
    <xf numFmtId="0" fontId="86" fillId="0" borderId="49" xfId="103" applyFont="1" applyBorder="1" applyAlignment="1">
      <alignment horizontal="center" vertical="center" wrapText="1"/>
    </xf>
    <xf numFmtId="0" fontId="86" fillId="0" borderId="50" xfId="103" applyFont="1" applyBorder="1" applyAlignment="1">
      <alignment horizontal="center" vertical="center" wrapText="1"/>
    </xf>
    <xf numFmtId="4" fontId="148" fillId="3" borderId="326" xfId="103" applyNumberFormat="1" applyFont="1" applyFill="1" applyBorder="1" applyAlignment="1">
      <alignment horizontal="right" vertical="center"/>
    </xf>
    <xf numFmtId="4" fontId="148" fillId="3" borderId="139" xfId="103" applyNumberFormat="1" applyFont="1" applyFill="1" applyBorder="1" applyAlignment="1">
      <alignment horizontal="right" vertical="center"/>
    </xf>
    <xf numFmtId="14" fontId="28" fillId="4" borderId="310" xfId="103" applyNumberFormat="1" applyFont="1" applyFill="1" applyBorder="1" applyAlignment="1">
      <alignment horizontal="center" vertical="center"/>
    </xf>
    <xf numFmtId="14" fontId="28" fillId="4" borderId="311" xfId="103" applyNumberFormat="1" applyFont="1" applyFill="1" applyBorder="1" applyAlignment="1">
      <alignment horizontal="center" vertical="center"/>
    </xf>
    <xf numFmtId="3" fontId="83" fillId="0" borderId="144" xfId="0" applyNumberFormat="1" applyFont="1" applyBorder="1" applyAlignment="1">
      <alignment horizontal="center" vertical="center" wrapText="1"/>
    </xf>
    <xf numFmtId="3" fontId="83" fillId="0" borderId="142" xfId="0" applyNumberFormat="1" applyFont="1" applyBorder="1" applyAlignment="1">
      <alignment horizontal="center" vertical="center" wrapText="1"/>
    </xf>
    <xf numFmtId="0" fontId="133" fillId="66" borderId="136" xfId="206" applyFont="1" applyFill="1" applyBorder="1" applyAlignment="1">
      <alignment horizontal="left"/>
    </xf>
    <xf numFmtId="0" fontId="133" fillId="66" borderId="137" xfId="206" applyFont="1" applyFill="1" applyBorder="1" applyAlignment="1">
      <alignment horizontal="left"/>
    </xf>
    <xf numFmtId="3" fontId="83" fillId="5" borderId="10" xfId="0" applyNumberFormat="1" applyFont="1" applyFill="1" applyBorder="1" applyAlignment="1">
      <alignment horizontal="center" vertical="center" wrapText="1"/>
    </xf>
    <xf numFmtId="3" fontId="83" fillId="5" borderId="142" xfId="0" applyNumberFormat="1" applyFont="1" applyFill="1" applyBorder="1" applyAlignment="1">
      <alignment horizontal="center" vertical="center" wrapText="1"/>
    </xf>
    <xf numFmtId="167" fontId="83" fillId="0" borderId="307" xfId="0" applyNumberFormat="1" applyFont="1" applyBorder="1" applyAlignment="1">
      <alignment horizontal="center" vertical="center" wrapText="1"/>
    </xf>
    <xf numFmtId="167" fontId="83" fillId="0" borderId="142" xfId="0" applyNumberFormat="1" applyFont="1" applyBorder="1" applyAlignment="1">
      <alignment horizontal="center" vertical="center" wrapText="1"/>
    </xf>
    <xf numFmtId="167" fontId="83" fillId="0" borderId="325" xfId="0" applyNumberFormat="1" applyFont="1" applyBorder="1" applyAlignment="1">
      <alignment horizontal="center" vertical="center" wrapText="1"/>
    </xf>
    <xf numFmtId="3" fontId="83" fillId="0" borderId="325" xfId="0" applyNumberFormat="1" applyFont="1" applyBorder="1" applyAlignment="1">
      <alignment horizontal="center" vertical="center" wrapText="1"/>
    </xf>
    <xf numFmtId="0" fontId="156" fillId="67" borderId="1" xfId="103" applyFont="1" applyFill="1" applyBorder="1" applyAlignment="1">
      <alignment horizontal="right" vertical="center"/>
    </xf>
    <xf numFmtId="0" fontId="156" fillId="67" borderId="9" xfId="103" applyFont="1" applyFill="1" applyBorder="1" applyAlignment="1">
      <alignment horizontal="right" vertical="center"/>
    </xf>
    <xf numFmtId="0" fontId="156" fillId="67" borderId="14" xfId="103" applyFont="1" applyFill="1" applyBorder="1" applyAlignment="1">
      <alignment horizontal="right" vertical="center"/>
    </xf>
    <xf numFmtId="0" fontId="89" fillId="57" borderId="49" xfId="103" applyFont="1" applyFill="1" applyBorder="1" applyAlignment="1">
      <alignment horizontal="left" vertical="center" wrapText="1" indent="1"/>
    </xf>
    <xf numFmtId="0" fontId="89" fillId="57" borderId="50" xfId="103" applyFont="1" applyFill="1" applyBorder="1" applyAlignment="1">
      <alignment horizontal="left" vertical="center" wrapText="1" indent="1"/>
    </xf>
    <xf numFmtId="0" fontId="89" fillId="57" borderId="51" xfId="103" applyFont="1" applyFill="1" applyBorder="1" applyAlignment="1">
      <alignment horizontal="left" vertical="center" wrapText="1" indent="1"/>
    </xf>
    <xf numFmtId="0" fontId="82" fillId="4" borderId="21" xfId="103" applyFont="1" applyFill="1" applyBorder="1" applyAlignment="1">
      <alignment horizontal="left" vertical="center" indent="1"/>
    </xf>
    <xf numFmtId="0" fontId="47" fillId="4" borderId="21" xfId="103" applyFont="1" applyFill="1" applyBorder="1" applyAlignment="1">
      <alignment horizontal="left" vertical="center" indent="1"/>
    </xf>
    <xf numFmtId="0" fontId="82" fillId="4" borderId="0" xfId="103" applyFont="1" applyFill="1" applyAlignment="1">
      <alignment horizontal="left" vertical="center" indent="1"/>
    </xf>
    <xf numFmtId="0" fontId="47" fillId="4" borderId="0" xfId="103" applyFont="1" applyFill="1" applyAlignment="1">
      <alignment horizontal="left" vertical="center" indent="1"/>
    </xf>
    <xf numFmtId="0" fontId="155" fillId="67" borderId="17" xfId="103" applyFont="1" applyFill="1" applyBorder="1" applyAlignment="1">
      <alignment horizontal="right" vertical="center"/>
    </xf>
    <xf numFmtId="0" fontId="155" fillId="67" borderId="9" xfId="103" applyFont="1" applyFill="1" applyBorder="1" applyAlignment="1">
      <alignment horizontal="right" vertical="center"/>
    </xf>
    <xf numFmtId="0" fontId="155" fillId="67" borderId="14" xfId="103" applyFont="1" applyFill="1" applyBorder="1" applyAlignment="1">
      <alignment horizontal="right" vertical="center"/>
    </xf>
    <xf numFmtId="0" fontId="48" fillId="67" borderId="57" xfId="0" applyFont="1" applyFill="1" applyBorder="1" applyAlignment="1">
      <alignment horizontal="center" vertical="center"/>
    </xf>
    <xf numFmtId="0" fontId="102" fillId="67" borderId="58" xfId="0" applyFont="1" applyFill="1" applyBorder="1" applyAlignment="1">
      <alignment horizontal="center" vertical="center"/>
    </xf>
    <xf numFmtId="0" fontId="102" fillId="67" borderId="59" xfId="0" applyFont="1" applyFill="1" applyBorder="1" applyAlignment="1">
      <alignment horizontal="center" vertical="center"/>
    </xf>
    <xf numFmtId="0" fontId="48" fillId="67" borderId="86" xfId="0" applyFont="1" applyFill="1" applyBorder="1" applyAlignment="1">
      <alignment horizontal="center" vertical="center"/>
    </xf>
    <xf numFmtId="0" fontId="102" fillId="67" borderId="87" xfId="0" applyFont="1" applyFill="1" applyBorder="1" applyAlignment="1">
      <alignment horizontal="center" vertical="center"/>
    </xf>
    <xf numFmtId="0" fontId="102" fillId="67" borderId="92" xfId="0" applyFont="1" applyFill="1" applyBorder="1" applyAlignment="1">
      <alignment horizontal="center" vertical="center"/>
    </xf>
    <xf numFmtId="0" fontId="109" fillId="0" borderId="109" xfId="229" applyFont="1" applyBorder="1" applyAlignment="1">
      <alignment vertical="center" wrapText="1"/>
    </xf>
    <xf numFmtId="0" fontId="109" fillId="0" borderId="110" xfId="229" applyFont="1" applyBorder="1" applyAlignment="1">
      <alignment vertical="center" wrapText="1"/>
    </xf>
    <xf numFmtId="0" fontId="109" fillId="0" borderId="147" xfId="229" applyFont="1" applyBorder="1" applyAlignment="1">
      <alignment vertical="center" wrapText="1"/>
    </xf>
    <xf numFmtId="14" fontId="109" fillId="0" borderId="299" xfId="229" applyNumberFormat="1" applyFont="1" applyBorder="1" applyAlignment="1">
      <alignment horizontal="left" vertical="center" wrapText="1"/>
    </xf>
    <xf numFmtId="0" fontId="109" fillId="0" borderId="299" xfId="229" applyFont="1" applyBorder="1" applyAlignment="1">
      <alignment horizontal="left" vertical="center" wrapText="1"/>
    </xf>
    <xf numFmtId="0" fontId="109" fillId="0" borderId="73" xfId="97" applyFont="1" applyBorder="1" applyAlignment="1">
      <alignment horizontal="left" vertical="center" wrapText="1"/>
    </xf>
    <xf numFmtId="0" fontId="109" fillId="0" borderId="75" xfId="97" applyFont="1" applyBorder="1" applyAlignment="1">
      <alignment horizontal="left" vertical="center" wrapText="1"/>
    </xf>
    <xf numFmtId="0" fontId="109" fillId="0" borderId="299" xfId="229" applyFont="1" applyBorder="1" applyAlignment="1">
      <alignment vertical="center" wrapText="1"/>
    </xf>
    <xf numFmtId="0" fontId="109" fillId="0" borderId="304" xfId="229" applyFont="1" applyBorder="1" applyAlignment="1">
      <alignment vertical="center" wrapText="1"/>
    </xf>
    <xf numFmtId="0" fontId="109" fillId="0" borderId="305" xfId="229" applyFont="1" applyBorder="1" applyAlignment="1">
      <alignment vertical="center" wrapText="1"/>
    </xf>
    <xf numFmtId="0" fontId="109" fillId="0" borderId="300" xfId="229" applyFont="1" applyBorder="1" applyAlignment="1">
      <alignment vertical="center" wrapText="1"/>
    </xf>
    <xf numFmtId="0" fontId="109" fillId="0" borderId="301" xfId="229" applyFont="1" applyBorder="1" applyAlignment="1">
      <alignment vertical="center" wrapText="1"/>
    </xf>
    <xf numFmtId="4" fontId="106" fillId="67" borderId="0" xfId="102" applyNumberFormat="1" applyFont="1" applyFill="1" applyAlignment="1">
      <alignment horizontal="left" vertical="center" wrapText="1"/>
    </xf>
    <xf numFmtId="4" fontId="106" fillId="67" borderId="0" xfId="102" applyNumberFormat="1" applyFont="1" applyFill="1" applyAlignment="1">
      <alignment horizontal="left" vertical="center"/>
    </xf>
    <xf numFmtId="4" fontId="64" fillId="0" borderId="121" xfId="102" applyNumberFormat="1" applyFont="1" applyBorder="1" applyAlignment="1">
      <alignment horizontal="left" vertical="center" wrapText="1"/>
    </xf>
    <xf numFmtId="4" fontId="64" fillId="0" borderId="122" xfId="102" applyNumberFormat="1" applyFont="1" applyBorder="1" applyAlignment="1">
      <alignment horizontal="left" vertical="center" wrapText="1"/>
    </xf>
    <xf numFmtId="0" fontId="160" fillId="0" borderId="327" xfId="234" applyFont="1" applyBorder="1"/>
    <xf numFmtId="0" fontId="28" fillId="0" borderId="242" xfId="234" applyFont="1" applyBorder="1" applyAlignment="1">
      <alignment horizontal="center"/>
    </xf>
    <xf numFmtId="0" fontId="28" fillId="0" borderId="244" xfId="234" applyFont="1" applyBorder="1" applyAlignment="1">
      <alignment horizontal="center"/>
    </xf>
    <xf numFmtId="0" fontId="28" fillId="0" borderId="289" xfId="234" applyFont="1" applyBorder="1" applyAlignment="1">
      <alignment vertical="center"/>
    </xf>
    <xf numFmtId="0" fontId="26" fillId="0" borderId="242" xfId="234" applyBorder="1" applyAlignment="1">
      <alignment horizontal="center" vertical="center"/>
    </xf>
    <xf numFmtId="0" fontId="26" fillId="0" borderId="244" xfId="234" applyBorder="1" applyAlignment="1">
      <alignment horizontal="center" vertical="center"/>
    </xf>
    <xf numFmtId="0" fontId="28" fillId="0" borderId="242" xfId="234" applyFont="1" applyBorder="1" applyAlignment="1">
      <alignment vertical="center"/>
    </xf>
    <xf numFmtId="0" fontId="28" fillId="0" borderId="243" xfId="234" applyFont="1" applyBorder="1" applyAlignment="1">
      <alignment vertical="center"/>
    </xf>
    <xf numFmtId="0" fontId="28" fillId="0" borderId="244" xfId="234" applyFont="1" applyBorder="1" applyAlignment="1">
      <alignment vertical="center"/>
    </xf>
    <xf numFmtId="4" fontId="26" fillId="0" borderId="20" xfId="207" applyNumberFormat="1" applyBorder="1" applyAlignment="1">
      <alignment horizontal="center" vertical="center" wrapText="1"/>
    </xf>
    <xf numFmtId="4" fontId="26" fillId="0" borderId="29" xfId="207" applyNumberFormat="1" applyBorder="1" applyAlignment="1">
      <alignment horizontal="center" vertical="center" wrapText="1"/>
    </xf>
    <xf numFmtId="14" fontId="26" fillId="0" borderId="10" xfId="207" applyNumberFormat="1" applyBorder="1" applyAlignment="1">
      <alignment horizontal="center" vertical="center" wrapText="1"/>
    </xf>
    <xf numFmtId="14" fontId="26" fillId="0" borderId="152" xfId="207" applyNumberFormat="1" applyBorder="1" applyAlignment="1">
      <alignment horizontal="center" vertical="center" wrapText="1"/>
    </xf>
    <xf numFmtId="14" fontId="26" fillId="0" borderId="149" xfId="207" applyNumberFormat="1" applyBorder="1" applyAlignment="1">
      <alignment horizontal="center" vertical="center" wrapText="1"/>
    </xf>
    <xf numFmtId="14" fontId="26" fillId="0" borderId="151" xfId="207" applyNumberFormat="1" applyBorder="1" applyAlignment="1">
      <alignment horizontal="center" vertical="center" wrapText="1"/>
    </xf>
    <xf numFmtId="49" fontId="26" fillId="0" borderId="10" xfId="207" applyNumberFormat="1" applyBorder="1" applyAlignment="1">
      <alignment horizontal="center" vertical="center" wrapText="1"/>
    </xf>
    <xf numFmtId="49" fontId="26" fillId="0" borderId="152" xfId="207" applyNumberFormat="1" applyBorder="1" applyAlignment="1">
      <alignment horizontal="center" vertical="center" wrapText="1"/>
    </xf>
    <xf numFmtId="4" fontId="26" fillId="0" borderId="10" xfId="207" applyNumberFormat="1" applyBorder="1" applyAlignment="1">
      <alignment horizontal="center" vertical="center" wrapText="1"/>
    </xf>
    <xf numFmtId="4" fontId="26" fillId="0" borderId="152" xfId="207" applyNumberFormat="1" applyBorder="1" applyAlignment="1">
      <alignment horizontal="center" vertical="center" wrapText="1"/>
    </xf>
    <xf numFmtId="4" fontId="26" fillId="0" borderId="24" xfId="207" applyNumberFormat="1" applyBorder="1" applyAlignment="1">
      <alignment horizontal="center" vertical="center" wrapText="1"/>
    </xf>
    <xf numFmtId="4" fontId="26" fillId="0" borderId="27" xfId="207" applyNumberFormat="1" applyBorder="1" applyAlignment="1">
      <alignment horizontal="center" vertical="center" wrapText="1"/>
    </xf>
    <xf numFmtId="3" fontId="26" fillId="0" borderId="10" xfId="207" applyNumberFormat="1" applyBorder="1" applyAlignment="1">
      <alignment horizontal="center" vertical="center" wrapText="1"/>
    </xf>
    <xf numFmtId="3" fontId="26" fillId="0" borderId="152" xfId="207" applyNumberFormat="1" applyBorder="1" applyAlignment="1">
      <alignment horizontal="center" vertical="center" wrapText="1"/>
    </xf>
    <xf numFmtId="14" fontId="26" fillId="0" borderId="333" xfId="207" applyNumberFormat="1" applyBorder="1" applyAlignment="1">
      <alignment horizontal="center" vertical="center" wrapText="1"/>
    </xf>
    <xf numFmtId="14" fontId="26" fillId="0" borderId="334" xfId="207" applyNumberFormat="1" applyBorder="1" applyAlignment="1">
      <alignment horizontal="center" vertical="center" wrapText="1"/>
    </xf>
    <xf numFmtId="4" fontId="26" fillId="0" borderId="268" xfId="207" applyNumberFormat="1" applyBorder="1" applyAlignment="1">
      <alignment horizontal="center" vertical="center" wrapText="1"/>
    </xf>
    <xf numFmtId="4" fontId="26" fillId="0" borderId="10" xfId="215" applyNumberFormat="1" applyFont="1" applyBorder="1" applyAlignment="1">
      <alignment horizontal="center" vertical="center" wrapText="1"/>
    </xf>
    <xf numFmtId="4" fontId="0" fillId="0" borderId="152" xfId="215" applyNumberFormat="1" applyFont="1" applyBorder="1" applyAlignment="1">
      <alignment horizontal="center" vertical="center" wrapText="1"/>
    </xf>
    <xf numFmtId="4" fontId="0" fillId="0" borderId="164" xfId="215" applyNumberFormat="1" applyFont="1" applyBorder="1" applyAlignment="1">
      <alignment horizontal="center" vertical="center" wrapText="1"/>
    </xf>
    <xf numFmtId="4" fontId="0" fillId="0" borderId="165" xfId="215" applyNumberFormat="1" applyFont="1" applyBorder="1" applyAlignment="1">
      <alignment horizontal="center" vertical="center" wrapText="1"/>
    </xf>
    <xf numFmtId="4" fontId="26" fillId="0" borderId="267" xfId="207" applyNumberFormat="1" applyBorder="1" applyAlignment="1">
      <alignment horizontal="center" vertical="center" wrapText="1"/>
    </xf>
    <xf numFmtId="4" fontId="26" fillId="0" borderId="265" xfId="207" applyNumberFormat="1" applyBorder="1" applyAlignment="1">
      <alignment horizontal="center" vertical="center" wrapText="1"/>
    </xf>
    <xf numFmtId="4" fontId="26" fillId="0" borderId="266" xfId="207" applyNumberFormat="1" applyBorder="1" applyAlignment="1">
      <alignment horizontal="center" vertical="center" wrapText="1"/>
    </xf>
    <xf numFmtId="14" fontId="160" fillId="0" borderId="15" xfId="207" applyNumberFormat="1" applyFont="1" applyBorder="1" applyAlignment="1">
      <alignment horizontal="center" vertical="center"/>
    </xf>
    <xf numFmtId="14" fontId="160" fillId="0" borderId="12" xfId="207" applyNumberFormat="1" applyFont="1" applyBorder="1" applyAlignment="1">
      <alignment horizontal="center" vertical="center"/>
    </xf>
    <xf numFmtId="14" fontId="160" fillId="0" borderId="29" xfId="207" applyNumberFormat="1" applyFont="1" applyBorder="1" applyAlignment="1">
      <alignment horizontal="center" vertical="center"/>
    </xf>
    <xf numFmtId="0" fontId="26" fillId="0" borderId="24" xfId="207" applyBorder="1" applyAlignment="1">
      <alignment horizontal="center" vertical="center" wrapText="1"/>
    </xf>
    <xf numFmtId="0" fontId="26" fillId="0" borderId="27" xfId="207" applyBorder="1" applyAlignment="1">
      <alignment horizontal="center" vertical="center" wrapText="1"/>
    </xf>
    <xf numFmtId="4" fontId="0" fillId="0" borderId="24" xfId="215" applyNumberFormat="1" applyFont="1" applyBorder="1" applyAlignment="1">
      <alignment horizontal="center" vertical="center" wrapText="1"/>
    </xf>
    <xf numFmtId="4" fontId="0" fillId="0" borderId="27" xfId="215" applyNumberFormat="1" applyFont="1" applyBorder="1" applyAlignment="1">
      <alignment horizontal="center" vertical="center" wrapText="1"/>
    </xf>
    <xf numFmtId="4" fontId="26" fillId="0" borderId="149" xfId="215" applyNumberFormat="1" applyFont="1" applyBorder="1" applyAlignment="1">
      <alignment horizontal="center" vertical="center" wrapText="1"/>
    </xf>
    <xf numFmtId="4" fontId="0" fillId="0" borderId="151" xfId="215" applyNumberFormat="1" applyFont="1" applyBorder="1" applyAlignment="1">
      <alignment horizontal="center" vertical="center" wrapText="1"/>
    </xf>
    <xf numFmtId="4" fontId="0" fillId="0" borderId="10" xfId="215" applyNumberFormat="1" applyFont="1" applyBorder="1" applyAlignment="1">
      <alignment horizontal="center" vertical="center" wrapText="1"/>
    </xf>
    <xf numFmtId="14" fontId="26" fillId="0" borderId="24" xfId="207" applyNumberFormat="1" applyBorder="1" applyAlignment="1">
      <alignment horizontal="center" vertical="center" wrapText="1"/>
    </xf>
    <xf numFmtId="14" fontId="26" fillId="0" borderId="27" xfId="207" applyNumberFormat="1" applyBorder="1" applyAlignment="1">
      <alignment horizontal="center" vertical="center" wrapText="1"/>
    </xf>
    <xf numFmtId="0" fontId="160" fillId="0" borderId="7" xfId="207" applyFont="1" applyBorder="1" applyAlignment="1">
      <alignment horizontal="center" vertical="center"/>
    </xf>
    <xf numFmtId="0" fontId="160" fillId="0" borderId="8" xfId="207" applyFont="1" applyBorder="1" applyAlignment="1">
      <alignment horizontal="center" vertical="center"/>
    </xf>
    <xf numFmtId="0" fontId="160" fillId="0" borderId="11" xfId="207" applyFont="1" applyBorder="1" applyAlignment="1">
      <alignment horizontal="center" vertical="center"/>
    </xf>
    <xf numFmtId="4" fontId="0" fillId="0" borderId="264" xfId="215" applyNumberFormat="1" applyFont="1" applyBorder="1" applyAlignment="1">
      <alignment horizontal="center" vertical="center"/>
    </xf>
    <xf numFmtId="4" fontId="0" fillId="0" borderId="265" xfId="215" applyNumberFormat="1" applyFont="1" applyBorder="1" applyAlignment="1">
      <alignment horizontal="center" vertical="center"/>
    </xf>
    <xf numFmtId="4" fontId="0" fillId="0" borderId="266" xfId="215" applyNumberFormat="1" applyFont="1" applyBorder="1" applyAlignment="1">
      <alignment horizontal="center" vertical="center"/>
    </xf>
    <xf numFmtId="4" fontId="26" fillId="0" borderId="269" xfId="207" applyNumberFormat="1" applyBorder="1" applyAlignment="1">
      <alignment horizontal="center" vertical="center" wrapText="1"/>
    </xf>
    <xf numFmtId="4" fontId="160" fillId="0" borderId="7" xfId="207" applyNumberFormat="1" applyFont="1" applyBorder="1" applyAlignment="1">
      <alignment horizontal="center" vertical="center"/>
    </xf>
    <xf numFmtId="4" fontId="160" fillId="0" borderId="8" xfId="207" applyNumberFormat="1" applyFont="1" applyBorder="1" applyAlignment="1">
      <alignment horizontal="center" vertical="center"/>
    </xf>
    <xf numFmtId="4" fontId="160" fillId="0" borderId="11" xfId="207" applyNumberFormat="1" applyFont="1" applyBorder="1" applyAlignment="1">
      <alignment horizontal="center" vertical="center"/>
    </xf>
    <xf numFmtId="4" fontId="26" fillId="0" borderId="272" xfId="207" applyNumberFormat="1" applyBorder="1" applyAlignment="1">
      <alignment horizontal="center" vertical="center" wrapText="1"/>
    </xf>
    <xf numFmtId="14" fontId="26" fillId="0" borderId="19" xfId="207" applyNumberFormat="1" applyBorder="1" applyAlignment="1">
      <alignment horizontal="center" vertical="center" wrapText="1"/>
    </xf>
    <xf numFmtId="14" fontId="26" fillId="0" borderId="15" xfId="207" applyNumberFormat="1" applyBorder="1" applyAlignment="1">
      <alignment horizontal="center" vertical="center" wrapText="1"/>
    </xf>
    <xf numFmtId="0" fontId="50" fillId="9" borderId="116" xfId="103" applyFont="1" applyFill="1" applyBorder="1" applyAlignment="1">
      <alignment horizontal="left" vertical="center"/>
    </xf>
    <xf numFmtId="0" fontId="50" fillId="9" borderId="117" xfId="103" applyFont="1" applyFill="1" applyBorder="1" applyAlignment="1">
      <alignment horizontal="left" vertical="center"/>
    </xf>
  </cellXfs>
  <cellStyles count="237">
    <cellStyle name="?鹎%U龡&amp;H?_x0008__x001c__x001c_?_x0007__x0001__x0001_" xfId="102" xr:uid="{00000000-0005-0000-0000-000000000000}"/>
    <cellStyle name="?鹎%U龡&amp;H?_x0008__x001c__x001c_?_x0007__x0001__x0001_ 12" xfId="220" xr:uid="{9AEAB112-52D2-4FA7-8FF3-DABA68B2D570}"/>
    <cellStyle name="?鹎%U龡&amp;H?_x0008__x001c__x001c_?_x0007__x0001__x0001_ 2" xfId="104" xr:uid="{00000000-0005-0000-0000-000001000000}"/>
    <cellStyle name="20% - Accent1" xfId="129" builtinId="30" customBuiltin="1"/>
    <cellStyle name="20% - Accent1 2" xfId="160" xr:uid="{26C05A4B-6AEF-4FFA-B666-A03F23CB775E}"/>
    <cellStyle name="20% - Accent1 3" xfId="185" xr:uid="{3F94F705-5053-4C8D-AE04-098D339698A7}"/>
    <cellStyle name="20% - Accent2" xfId="133" builtinId="34" customBuiltin="1"/>
    <cellStyle name="20% - Accent2 2" xfId="163" xr:uid="{A06D72CE-4D72-4E13-A5CC-AD3996096FE3}"/>
    <cellStyle name="20% - Accent2 3" xfId="188" xr:uid="{E16C71A1-00A0-405C-8AA2-77A63AED2684}"/>
    <cellStyle name="20% - Accent3" xfId="137" builtinId="38" customBuiltin="1"/>
    <cellStyle name="20% - Accent3 2" xfId="166" xr:uid="{281CB7D1-2CFB-4E30-BF19-AA09AFED79B9}"/>
    <cellStyle name="20% - Accent3 3" xfId="191" xr:uid="{36B90220-8E93-4542-B3B8-0AFE1A67F077}"/>
    <cellStyle name="20% - Accent4" xfId="141" builtinId="42" customBuiltin="1"/>
    <cellStyle name="20% - Accent4 2" xfId="169" xr:uid="{004A66EA-0636-47AC-82C5-0682FE6E3546}"/>
    <cellStyle name="20% - Accent4 3" xfId="194" xr:uid="{1673B825-7706-42AA-B2F6-4496629BA572}"/>
    <cellStyle name="20% - Accent5" xfId="145" builtinId="46" customBuiltin="1"/>
    <cellStyle name="20% - Accent5 2" xfId="172" xr:uid="{F58201FD-EEEF-419B-B0DC-596E4DDEF111}"/>
    <cellStyle name="20% - Accent5 3" xfId="197" xr:uid="{76CFB14F-81A6-499D-ADEC-3A0177DFF6A2}"/>
    <cellStyle name="20% - Accent6" xfId="149" builtinId="50" customBuiltin="1"/>
    <cellStyle name="20% - Accent6 2" xfId="175" xr:uid="{4EEEDF07-57F9-410F-A4AA-B3A8D8C81E65}"/>
    <cellStyle name="20% - Accent6 3" xfId="200" xr:uid="{5A3DC0FD-F7CC-47AF-9505-0D6E8F73471A}"/>
    <cellStyle name="40% - Accent1" xfId="130" builtinId="31" customBuiltin="1"/>
    <cellStyle name="40% - Accent1 2" xfId="161" xr:uid="{B9E8A570-4AC4-4684-8CD2-E93FC9E741BA}"/>
    <cellStyle name="40% - Accent1 3" xfId="186" xr:uid="{79111BAA-D693-4D56-A935-42EE20DFAF46}"/>
    <cellStyle name="40% - Accent2" xfId="134" builtinId="35" customBuiltin="1"/>
    <cellStyle name="40% - Accent2 2" xfId="164" xr:uid="{52460BB6-AF4D-4DCD-A1DF-EBE82F7EF773}"/>
    <cellStyle name="40% - Accent2 3" xfId="189" xr:uid="{F29E2E6A-820F-4CED-BF8C-E415B4FE5C2C}"/>
    <cellStyle name="40% - Accent3" xfId="138" builtinId="39" customBuiltin="1"/>
    <cellStyle name="40% - Accent3 2" xfId="167" xr:uid="{BF1F0FD4-13F7-4A6E-A286-45F220D09DC5}"/>
    <cellStyle name="40% - Accent3 3" xfId="192" xr:uid="{9EBDBF96-0B5B-4807-B0A9-E3C3026E068D}"/>
    <cellStyle name="40% - Accent4" xfId="142" builtinId="43" customBuiltin="1"/>
    <cellStyle name="40% - Accent4 2" xfId="170" xr:uid="{9C428506-B82D-4D5A-A162-694F890C25ED}"/>
    <cellStyle name="40% - Accent4 3" xfId="195" xr:uid="{96E49615-B04E-4C09-9FA6-CA7F4A6C3702}"/>
    <cellStyle name="40% - Accent5" xfId="146" builtinId="47" customBuiltin="1"/>
    <cellStyle name="40% - Accent5 2" xfId="173" xr:uid="{A172D292-B015-489D-97AC-244594E3DA9F}"/>
    <cellStyle name="40% - Accent5 3" xfId="198" xr:uid="{06EB2C57-B670-4CE0-8409-4387FB6E4789}"/>
    <cellStyle name="40% - Accent6" xfId="150" builtinId="51" customBuiltin="1"/>
    <cellStyle name="40% - Accent6 2" xfId="176" xr:uid="{F6E27117-4AE2-4A15-8B17-0A06E4BDB929}"/>
    <cellStyle name="40% - Accent6 3" xfId="201" xr:uid="{DE577ABD-1910-44DA-B107-CF44E1EDC5F9}"/>
    <cellStyle name="60% - Accent1" xfId="131" builtinId="32" customBuiltin="1"/>
    <cellStyle name="60% - Accent1 2" xfId="162" xr:uid="{74A05035-244F-4D39-B435-049A2432DB4F}"/>
    <cellStyle name="60% - Accent1 3" xfId="187" xr:uid="{F469697F-6ED5-4050-9448-2C811AAB4B22}"/>
    <cellStyle name="60% - Accent2" xfId="135" builtinId="36" customBuiltin="1"/>
    <cellStyle name="60% - Accent2 2" xfId="165" xr:uid="{00C75DB0-4D1A-43C8-A94D-C95D484FA6BF}"/>
    <cellStyle name="60% - Accent2 3" xfId="190" xr:uid="{D8CD6D79-DB5C-462E-916D-A9188F3F2629}"/>
    <cellStyle name="60% - Accent3" xfId="139" builtinId="40" customBuiltin="1"/>
    <cellStyle name="60% - Accent3 2" xfId="168" xr:uid="{D6AA1D6E-FA62-4D6B-9B38-D0D716069B45}"/>
    <cellStyle name="60% - Accent3 3" xfId="193" xr:uid="{77E840B0-0C4C-4BD8-9279-32C7FFEAB190}"/>
    <cellStyle name="60% - Accent4" xfId="143" builtinId="44" customBuiltin="1"/>
    <cellStyle name="60% - Accent4 2" xfId="171" xr:uid="{6F4FB773-330E-4323-A6EC-8FBAB75D3610}"/>
    <cellStyle name="60% - Accent4 3" xfId="196" xr:uid="{26E21BD8-AED1-476C-88C2-89FA829EE556}"/>
    <cellStyle name="60% - Accent5" xfId="147" builtinId="48" customBuiltin="1"/>
    <cellStyle name="60% - Accent5 2" xfId="174" xr:uid="{4AFE56C0-0E40-42FF-81D7-5D3EE2453822}"/>
    <cellStyle name="60% - Accent5 3" xfId="199" xr:uid="{D08E5364-2874-42D5-8212-FDD04E9C1CD3}"/>
    <cellStyle name="60% - Accent6" xfId="151" builtinId="52" customBuiltin="1"/>
    <cellStyle name="60% - Accent6 2" xfId="177" xr:uid="{D92DE6A6-494B-4684-BC68-A304738DD347}"/>
    <cellStyle name="60% - Accent6 3" xfId="202" xr:uid="{78A8AA1C-882B-4E1B-B243-31004FCEBE32}"/>
    <cellStyle name="Accent1" xfId="128" builtinId="29" customBuiltin="1"/>
    <cellStyle name="Accent2" xfId="132" builtinId="33" customBuiltin="1"/>
    <cellStyle name="Accent3" xfId="136" builtinId="37" customBuiltin="1"/>
    <cellStyle name="Accent4" xfId="140" builtinId="41" customBuiltin="1"/>
    <cellStyle name="Accent5" xfId="144" builtinId="45" customBuiltin="1"/>
    <cellStyle name="Accent6" xfId="148" builtinId="49" customBuiltin="1"/>
    <cellStyle name="ASR" xfId="1" xr:uid="{00000000-0005-0000-0000-000002000000}"/>
    <cellStyle name="ASR 2" xfId="108" xr:uid="{D91987C3-193C-48C0-B267-5FC785319328}"/>
    <cellStyle name="Bad" xfId="118" builtinId="27" customBuiltin="1"/>
    <cellStyle name="Calculation" xfId="122" builtinId="22" customBuiltin="1"/>
    <cellStyle name="Check Cell" xfId="124" builtinId="23" customBuiltin="1"/>
    <cellStyle name="Comma 2" xfId="96" xr:uid="{00000000-0005-0000-0000-000004000000}"/>
    <cellStyle name="Comma 3" xfId="98" xr:uid="{00000000-0005-0000-0000-000005000000}"/>
    <cellStyle name="Comma 3 2" xfId="221" xr:uid="{8ED990B3-C04B-4985-81C5-04A9279D36D3}"/>
    <cellStyle name="Comma 3 3" xfId="233" xr:uid="{0457E26E-EFDE-4209-88CD-1CEF5BB1FC2F}"/>
    <cellStyle name="Currency" xfId="107" builtinId="4"/>
    <cellStyle name="Currency 2" xfId="100" xr:uid="{00000000-0005-0000-0000-000007000000}"/>
    <cellStyle name="Currency 3" xfId="205" xr:uid="{23339D0A-F10F-4537-8CCA-B47EFB39A6F6}"/>
    <cellStyle name="Euro" xfId="2" xr:uid="{00000000-0005-0000-0000-000008000000}"/>
    <cellStyle name="Euro 2" xfId="31" xr:uid="{00000000-0005-0000-0000-000009000000}"/>
    <cellStyle name="Euro 2 2" xfId="78" xr:uid="{00000000-0005-0000-0000-00000A000000}"/>
    <cellStyle name="Euro 2 3" xfId="110" xr:uid="{263EB873-2085-4670-9128-AB43855B0E43}"/>
    <cellStyle name="Euro 2 4" xfId="153" xr:uid="{3A1409D7-8E5D-4795-84E5-54EC5A8E47B5}"/>
    <cellStyle name="Euro 2 5" xfId="158" xr:uid="{8EDD287E-A130-41D8-8592-085FB7754245}"/>
    <cellStyle name="Euro 2 6" xfId="183" xr:uid="{116101E3-75B1-4BD0-9F76-FF0342CA2F70}"/>
    <cellStyle name="Euro 3" xfId="51" xr:uid="{00000000-0005-0000-0000-00000B000000}"/>
    <cellStyle name="Euro 4" xfId="109" xr:uid="{C3DFFFFA-AE9F-465C-8781-BFBC72AF9DC0}"/>
    <cellStyle name="Euro 5" xfId="152" xr:uid="{4474DD4E-26ED-4B23-9224-9F3E0434B585}"/>
    <cellStyle name="Euro 6" xfId="157" xr:uid="{AE2843A9-634F-4B76-921F-57CDCE6C862C}"/>
    <cellStyle name="Euro 7" xfId="182" xr:uid="{A3B7B93F-D062-44DD-866D-9CDFE560FF5B}"/>
    <cellStyle name="Explanatory Text" xfId="126" builtinId="53" customBuiltin="1"/>
    <cellStyle name="Good" xfId="117" builtinId="26" customBuiltin="1"/>
    <cellStyle name="Heading 1" xfId="113" builtinId="16" customBuiltin="1"/>
    <cellStyle name="Heading 2" xfId="114" builtinId="17" customBuiltin="1"/>
    <cellStyle name="Heading 3" xfId="115" builtinId="18" customBuiltin="1"/>
    <cellStyle name="Heading 4" xfId="116" builtinId="19" customBuiltin="1"/>
    <cellStyle name="Hyperlink" xfId="180" builtinId="8"/>
    <cellStyle name="Input" xfId="120" builtinId="20" customBuiltin="1"/>
    <cellStyle name="Linked Cell" xfId="123" builtinId="24" customBuiltin="1"/>
    <cellStyle name="Milliers 10 6" xfId="101" xr:uid="{00000000-0005-0000-0000-00000C000000}"/>
    <cellStyle name="Milliers 14" xfId="215" xr:uid="{F8B6FC01-58B3-44B4-9CE2-A1D50025237D}"/>
    <cellStyle name="Milliers 15" xfId="213" xr:uid="{69248F54-D0C5-4CD4-9658-4E584B3752A7}"/>
    <cellStyle name="Milliers 2" xfId="3" xr:uid="{00000000-0005-0000-0000-00000D000000}"/>
    <cellStyle name="Milliers 2 2" xfId="4" xr:uid="{00000000-0005-0000-0000-00000E000000}"/>
    <cellStyle name="Milliers 2 2 2" xfId="32" xr:uid="{00000000-0005-0000-0000-00000F000000}"/>
    <cellStyle name="Milliers 2 2 2 2" xfId="79" xr:uid="{00000000-0005-0000-0000-000010000000}"/>
    <cellStyle name="Milliers 2 2 3" xfId="53" xr:uid="{00000000-0005-0000-0000-000011000000}"/>
    <cellStyle name="Milliers 2 3" xfId="5" xr:uid="{00000000-0005-0000-0000-000012000000}"/>
    <cellStyle name="Milliers 2 3 2" xfId="33" xr:uid="{00000000-0005-0000-0000-000013000000}"/>
    <cellStyle name="Milliers 2 3 2 2" xfId="80" xr:uid="{00000000-0005-0000-0000-000014000000}"/>
    <cellStyle name="Milliers 2 3 3" xfId="54" xr:uid="{00000000-0005-0000-0000-000015000000}"/>
    <cellStyle name="Milliers 2 4" xfId="6" xr:uid="{00000000-0005-0000-0000-000016000000}"/>
    <cellStyle name="Milliers 2 4 2" xfId="34" xr:uid="{00000000-0005-0000-0000-000017000000}"/>
    <cellStyle name="Milliers 2 4 2 2" xfId="81" xr:uid="{00000000-0005-0000-0000-000018000000}"/>
    <cellStyle name="Milliers 2 4 3" xfId="55" xr:uid="{00000000-0005-0000-0000-000019000000}"/>
    <cellStyle name="Milliers 2 5" xfId="7" xr:uid="{00000000-0005-0000-0000-00001A000000}"/>
    <cellStyle name="Milliers 2 5 2" xfId="8" xr:uid="{00000000-0005-0000-0000-00001B000000}"/>
    <cellStyle name="Milliers 2 5 2 2" xfId="57" xr:uid="{00000000-0005-0000-0000-00001C000000}"/>
    <cellStyle name="Milliers 2 5 3" xfId="56" xr:uid="{00000000-0005-0000-0000-00001D000000}"/>
    <cellStyle name="Milliers 2 6" xfId="9" xr:uid="{00000000-0005-0000-0000-00001E000000}"/>
    <cellStyle name="Milliers 2 6 2" xfId="10" xr:uid="{00000000-0005-0000-0000-00001F000000}"/>
    <cellStyle name="Milliers 2 6 2 2" xfId="36" xr:uid="{00000000-0005-0000-0000-000020000000}"/>
    <cellStyle name="Milliers 2 6 2 2 2" xfId="83" xr:uid="{00000000-0005-0000-0000-000021000000}"/>
    <cellStyle name="Milliers 2 6 2 3" xfId="59" xr:uid="{00000000-0005-0000-0000-000022000000}"/>
    <cellStyle name="Milliers 2 6 3" xfId="11" xr:uid="{00000000-0005-0000-0000-000023000000}"/>
    <cellStyle name="Milliers 2 6 3 2" xfId="37" xr:uid="{00000000-0005-0000-0000-000024000000}"/>
    <cellStyle name="Milliers 2 6 3 2 2" xfId="84" xr:uid="{00000000-0005-0000-0000-000025000000}"/>
    <cellStyle name="Milliers 2 6 3 3" xfId="60" xr:uid="{00000000-0005-0000-0000-000026000000}"/>
    <cellStyle name="Milliers 2 6 4" xfId="12" xr:uid="{00000000-0005-0000-0000-000027000000}"/>
    <cellStyle name="Milliers 2 6 4 2" xfId="38" xr:uid="{00000000-0005-0000-0000-000028000000}"/>
    <cellStyle name="Milliers 2 6 4 2 2" xfId="85" xr:uid="{00000000-0005-0000-0000-000029000000}"/>
    <cellStyle name="Milliers 2 6 4 3" xfId="61" xr:uid="{00000000-0005-0000-0000-00002A000000}"/>
    <cellStyle name="Milliers 2 6 5" xfId="35" xr:uid="{00000000-0005-0000-0000-00002B000000}"/>
    <cellStyle name="Milliers 2 6 5 2" xfId="82" xr:uid="{00000000-0005-0000-0000-00002C000000}"/>
    <cellStyle name="Milliers 2 6 6" xfId="58" xr:uid="{00000000-0005-0000-0000-00002D000000}"/>
    <cellStyle name="Milliers 2 7" xfId="52" xr:uid="{00000000-0005-0000-0000-00002E000000}"/>
    <cellStyle name="Milliers 3" xfId="13" xr:uid="{00000000-0005-0000-0000-00002F000000}"/>
    <cellStyle name="Milliers 3 2" xfId="39" xr:uid="{00000000-0005-0000-0000-000030000000}"/>
    <cellStyle name="Milliers 3 2 2" xfId="86" xr:uid="{00000000-0005-0000-0000-000031000000}"/>
    <cellStyle name="Milliers 3 3" xfId="62" xr:uid="{00000000-0005-0000-0000-000032000000}"/>
    <cellStyle name="Milliers 4" xfId="14" xr:uid="{00000000-0005-0000-0000-000033000000}"/>
    <cellStyle name="Milliers 4 2" xfId="63" xr:uid="{00000000-0005-0000-0000-000034000000}"/>
    <cellStyle name="Milliers_FCT RCI GERMANY LEASE - Monthly Report Payment Date 19 06 2012" xfId="212" xr:uid="{3D80150E-914A-49D3-AF32-FC17B483B777}"/>
    <cellStyle name="Neutral" xfId="119" builtinId="28" customBuiltin="1"/>
    <cellStyle name="Normal" xfId="0" builtinId="0"/>
    <cellStyle name="Normal 10" xfId="217" xr:uid="{F6F1748D-2FBE-4863-9156-E8D4B244C04D}"/>
    <cellStyle name="Normal 10 2" xfId="214" xr:uid="{EFA5E1FA-BD89-4E81-82F1-6928502E1C58}"/>
    <cellStyle name="Normal 132" xfId="228" xr:uid="{43A726B9-EF43-4B02-89F5-4EEDF6B5E87A}"/>
    <cellStyle name="Normal 2" xfId="49" xr:uid="{00000000-0005-0000-0000-000036000000}"/>
    <cellStyle name="Normal 2 11" xfId="99" xr:uid="{00000000-0005-0000-0000-000037000000}"/>
    <cellStyle name="Normal 2 11 2" xfId="223" xr:uid="{3BEEC2D6-BED4-434C-9E3D-4358DBCD389E}"/>
    <cellStyle name="Normal 2 11 2 2" xfId="232" xr:uid="{2E9A0C7D-0EC1-4CAD-BEFE-CA154E572C52}"/>
    <cellStyle name="Normal 2 11 3" xfId="224" xr:uid="{72637640-6E68-4E35-8372-D99C9ECF313E}"/>
    <cellStyle name="Normal 2 2" xfId="50" xr:uid="{00000000-0005-0000-0000-000038000000}"/>
    <cellStyle name="Normal 2 2 2" xfId="103" xr:uid="{00000000-0005-0000-0000-000039000000}"/>
    <cellStyle name="Normal 2 3" xfId="95" xr:uid="{00000000-0005-0000-0000-00003A000000}"/>
    <cellStyle name="Normal 2 4" xfId="111" xr:uid="{B23E9F75-93DB-43B5-8400-C9A9AF07DDA3}"/>
    <cellStyle name="Normal 2 4 2 2" xfId="235" xr:uid="{A4083BE9-A3DD-440A-98F4-94340128BF7D}"/>
    <cellStyle name="Normal 2 5" xfId="154" xr:uid="{AB4F0C07-17DC-4474-AA62-FE480812CCCC}"/>
    <cellStyle name="Normal 2 6" xfId="159" xr:uid="{3C3900B5-1E66-47A5-A3B9-56587CC6F99D}"/>
    <cellStyle name="Normal 2 7" xfId="184" xr:uid="{2E5FFFFD-0C94-4670-BADB-0957FB2BDAFA}"/>
    <cellStyle name="Normal 25 2" xfId="218" xr:uid="{789F201B-8DC4-4ABA-B6F8-0EFD0AED7A93}"/>
    <cellStyle name="Normal 3" xfId="97" xr:uid="{00000000-0005-0000-0000-00003B000000}"/>
    <cellStyle name="Normal 3 2" xfId="155" xr:uid="{6B5E4C80-CAFD-4720-A2CD-22486988A29F}"/>
    <cellStyle name="Normal 3 3" xfId="178" xr:uid="{799F9305-A0C1-4428-9507-18480E2454B9}"/>
    <cellStyle name="Normal 3 4" xfId="203" xr:uid="{40D6C31B-DEC7-42F0-B9B0-6DF21BE33415}"/>
    <cellStyle name="Normal 3 5" xfId="208" xr:uid="{242EEF8C-8F16-4D44-8CEB-28BEA3D9D9EE}"/>
    <cellStyle name="Normal 3 5 2 2" xfId="227" xr:uid="{8B482302-BD47-41C8-8033-64108F438CAC}"/>
    <cellStyle name="Normal 3 6" xfId="210" xr:uid="{449FB70F-B011-4911-8978-98DD54F679D4}"/>
    <cellStyle name="Normal 3 7" xfId="229" xr:uid="{2029E042-5EE2-444B-996C-D8B80E760501}"/>
    <cellStyle name="Normal 30" xfId="226" xr:uid="{15E890A7-27EB-4FAF-9817-D97C173C8CB8}"/>
    <cellStyle name="Normal 4" xfId="181" xr:uid="{6F0CBD26-B949-43D6-A61E-DF2853FA3164}"/>
    <cellStyle name="Normal 5" xfId="206" xr:uid="{8179B2F1-BAA1-4B28-9C0A-93BE5E1EDDC3}"/>
    <cellStyle name="Normal 5 2" xfId="209" xr:uid="{ECD6502E-EECA-4100-B32C-F55DFB540C31}"/>
    <cellStyle name="Normal 5 3" xfId="219" xr:uid="{A0927660-2DD2-49AD-BB88-35EC5DB979BF}"/>
    <cellStyle name="Normal 5 4" xfId="222" xr:uid="{AE5CF85F-2819-4564-AB02-511FB1668CE6}"/>
    <cellStyle name="Normal 5 4 2" xfId="230" xr:uid="{BEA55A94-BABF-4792-B55B-04BE1F7E75AE}"/>
    <cellStyle name="Normal 5 5" xfId="225" xr:uid="{AFD131B0-FF3D-4FA0-B8BE-7B53C9626C15}"/>
    <cellStyle name="Normal 5 5 2" xfId="231" xr:uid="{D5053191-6D03-42D9-A955-15D7277849CE}"/>
    <cellStyle name="Normal 6" xfId="216" xr:uid="{3FE45E9B-24E0-424A-A04B-EBDD9151CF3B}"/>
    <cellStyle name="Normal 7" xfId="234" xr:uid="{FAC0D42A-0F83-46F2-A3C1-01D353D8355C}"/>
    <cellStyle name="Normal 8" xfId="15" xr:uid="{00000000-0005-0000-0000-00003C000000}"/>
    <cellStyle name="Normal 8 2" xfId="40" xr:uid="{00000000-0005-0000-0000-00003D000000}"/>
    <cellStyle name="Normal 9" xfId="236" xr:uid="{B66824AE-FE9E-4271-AC05-30F9336E8D54}"/>
    <cellStyle name="Normal 93 2" xfId="207" xr:uid="{C41977AC-3DE1-4579-BD06-76BA32A81E86}"/>
    <cellStyle name="Normal_FCT RCI GERMANY LEASE - Monthly Report Payment Date 19 06 2012" xfId="211" xr:uid="{FE5B02C0-2D9F-4EFB-99BE-44D4809FCDD3}"/>
    <cellStyle name="Note 2" xfId="156" xr:uid="{8C7ADD44-4A5C-42D6-91C2-464AAF0F9145}"/>
    <cellStyle name="Note 2 2" xfId="179" xr:uid="{ECE948CC-A2AC-488C-8D6B-33789C083F33}"/>
    <cellStyle name="Note 2 3" xfId="204" xr:uid="{54512D92-4CBE-4A0C-9AC4-4DA2D6AEF3E5}"/>
    <cellStyle name="Output" xfId="121" builtinId="21" customBuiltin="1"/>
    <cellStyle name="Percent" xfId="16" builtinId="5"/>
    <cellStyle name="Percent 2" xfId="105" xr:uid="{00000000-0005-0000-0000-00003F000000}"/>
    <cellStyle name="Pourcentage 10" xfId="106" xr:uid="{00000000-0005-0000-0000-000040000000}"/>
    <cellStyle name="Pourcentage 2" xfId="17" xr:uid="{00000000-0005-0000-0000-000041000000}"/>
    <cellStyle name="Pourcentage 2 2" xfId="18" xr:uid="{00000000-0005-0000-0000-000042000000}"/>
    <cellStyle name="Pourcentage 2 2 2" xfId="41" xr:uid="{00000000-0005-0000-0000-000043000000}"/>
    <cellStyle name="Pourcentage 2 2 2 2" xfId="87" xr:uid="{00000000-0005-0000-0000-000044000000}"/>
    <cellStyle name="Pourcentage 2 2 3" xfId="65" xr:uid="{00000000-0005-0000-0000-000045000000}"/>
    <cellStyle name="Pourcentage 2 3" xfId="19" xr:uid="{00000000-0005-0000-0000-000046000000}"/>
    <cellStyle name="Pourcentage 2 3 2" xfId="66" xr:uid="{00000000-0005-0000-0000-000047000000}"/>
    <cellStyle name="Pourcentage 2 4" xfId="64" xr:uid="{00000000-0005-0000-0000-000048000000}"/>
    <cellStyle name="Pourcentage 3" xfId="20" xr:uid="{00000000-0005-0000-0000-000049000000}"/>
    <cellStyle name="Pourcentage 3 2" xfId="21" xr:uid="{00000000-0005-0000-0000-00004A000000}"/>
    <cellStyle name="Pourcentage 3 2 2" xfId="42" xr:uid="{00000000-0005-0000-0000-00004B000000}"/>
    <cellStyle name="Pourcentage 3 2 2 2" xfId="88" xr:uid="{00000000-0005-0000-0000-00004C000000}"/>
    <cellStyle name="Pourcentage 3 2 3" xfId="68" xr:uid="{00000000-0005-0000-0000-00004D000000}"/>
    <cellStyle name="Pourcentage 3 3" xfId="22" xr:uid="{00000000-0005-0000-0000-00004E000000}"/>
    <cellStyle name="Pourcentage 3 3 2" xfId="43" xr:uid="{00000000-0005-0000-0000-00004F000000}"/>
    <cellStyle name="Pourcentage 3 3 2 2" xfId="89" xr:uid="{00000000-0005-0000-0000-000050000000}"/>
    <cellStyle name="Pourcentage 3 3 3" xfId="69" xr:uid="{00000000-0005-0000-0000-000051000000}"/>
    <cellStyle name="Pourcentage 3 4" xfId="23" xr:uid="{00000000-0005-0000-0000-000052000000}"/>
    <cellStyle name="Pourcentage 3 4 2" xfId="44" xr:uid="{00000000-0005-0000-0000-000053000000}"/>
    <cellStyle name="Pourcentage 3 4 2 2" xfId="90" xr:uid="{00000000-0005-0000-0000-000054000000}"/>
    <cellStyle name="Pourcentage 3 4 3" xfId="70" xr:uid="{00000000-0005-0000-0000-000055000000}"/>
    <cellStyle name="Pourcentage 3 5" xfId="24" xr:uid="{00000000-0005-0000-0000-000056000000}"/>
    <cellStyle name="Pourcentage 3 5 2" xfId="25" xr:uid="{00000000-0005-0000-0000-000057000000}"/>
    <cellStyle name="Pourcentage 3 5 2 2" xfId="72" xr:uid="{00000000-0005-0000-0000-000058000000}"/>
    <cellStyle name="Pourcentage 3 5 3" xfId="71" xr:uid="{00000000-0005-0000-0000-000059000000}"/>
    <cellStyle name="Pourcentage 3 6" xfId="67" xr:uid="{00000000-0005-0000-0000-00005A000000}"/>
    <cellStyle name="Pourcentage 4" xfId="26" xr:uid="{00000000-0005-0000-0000-00005B000000}"/>
    <cellStyle name="Pourcentage 4 2" xfId="73" xr:uid="{00000000-0005-0000-0000-00005C000000}"/>
    <cellStyle name="Pourcentage 5" xfId="27" xr:uid="{00000000-0005-0000-0000-00005D000000}"/>
    <cellStyle name="Pourcentage 5 2" xfId="28" xr:uid="{00000000-0005-0000-0000-00005E000000}"/>
    <cellStyle name="Pourcentage 5 2 2" xfId="46" xr:uid="{00000000-0005-0000-0000-00005F000000}"/>
    <cellStyle name="Pourcentage 5 2 2 2" xfId="92" xr:uid="{00000000-0005-0000-0000-000060000000}"/>
    <cellStyle name="Pourcentage 5 2 3" xfId="75" xr:uid="{00000000-0005-0000-0000-000061000000}"/>
    <cellStyle name="Pourcentage 5 3" xfId="29" xr:uid="{00000000-0005-0000-0000-000062000000}"/>
    <cellStyle name="Pourcentage 5 3 2" xfId="47" xr:uid="{00000000-0005-0000-0000-000063000000}"/>
    <cellStyle name="Pourcentage 5 3 2 2" xfId="93" xr:uid="{00000000-0005-0000-0000-000064000000}"/>
    <cellStyle name="Pourcentage 5 3 3" xfId="76" xr:uid="{00000000-0005-0000-0000-000065000000}"/>
    <cellStyle name="Pourcentage 5 4" xfId="30" xr:uid="{00000000-0005-0000-0000-000066000000}"/>
    <cellStyle name="Pourcentage 5 4 2" xfId="48" xr:uid="{00000000-0005-0000-0000-000067000000}"/>
    <cellStyle name="Pourcentage 5 4 2 2" xfId="94" xr:uid="{00000000-0005-0000-0000-000068000000}"/>
    <cellStyle name="Pourcentage 5 4 3" xfId="77" xr:uid="{00000000-0005-0000-0000-000069000000}"/>
    <cellStyle name="Pourcentage 5 5" xfId="45" xr:uid="{00000000-0005-0000-0000-00006A000000}"/>
    <cellStyle name="Pourcentage 5 5 2" xfId="91" xr:uid="{00000000-0005-0000-0000-00006B000000}"/>
    <cellStyle name="Pourcentage 5 6" xfId="74" xr:uid="{00000000-0005-0000-0000-00006C000000}"/>
    <cellStyle name="Title" xfId="112" builtinId="15" customBuiltin="1"/>
    <cellStyle name="Total" xfId="127" builtinId="25" customBuiltin="1"/>
    <cellStyle name="Warning Text" xfId="125" builtinId="11" customBuiltin="1"/>
  </cellStyles>
  <dxfs count="317">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FFFF00"/>
      </font>
      <fill>
        <patternFill>
          <bgColor rgb="FFFF0000"/>
        </patternFill>
      </fill>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Times New Roman"/>
        <family val="1"/>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numFmt numFmtId="4" formatCode="#,##0.00"/>
      <alignment horizontal="right"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Times New Roman"/>
        <family val="1"/>
        <scheme val="none"/>
      </font>
      <alignment horizontal="justify"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0"/>
        <name val="Times New Roman"/>
        <family val="1"/>
        <scheme val="none"/>
      </font>
      <alignment horizontal="center" vertical="center" textRotation="0" wrapText="1"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2D597"/>
      <color rgb="FFB3CB7F"/>
      <color rgb="FF0000FF"/>
      <color rgb="FFC0C0C0"/>
      <color rgb="FFE7F0FD"/>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2</xdr:col>
      <xdr:colOff>246075</xdr:colOff>
      <xdr:row>8</xdr:row>
      <xdr:rowOff>3176</xdr:rowOff>
    </xdr:from>
    <xdr:ext cx="6032224" cy="685800"/>
    <xdr:sp macro="" textlink="">
      <xdr:nvSpPr>
        <xdr:cNvPr id="2" name="Rectangle 1">
          <a:extLst>
            <a:ext uri="{FF2B5EF4-FFF2-40B4-BE49-F238E27FC236}">
              <a16:creationId xmlns:a16="http://schemas.microsoft.com/office/drawing/2014/main" id="{00000000-0008-0000-0000-000002000000}"/>
            </a:ext>
          </a:extLst>
        </xdr:cNvPr>
        <xdr:cNvSpPr/>
      </xdr:nvSpPr>
      <xdr:spPr>
        <a:xfrm>
          <a:off x="923408" y="1664759"/>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4" name="Picture 3">
          <a:extLst>
            <a:ext uri="{FF2B5EF4-FFF2-40B4-BE49-F238E27FC236}">
              <a16:creationId xmlns:a16="http://schemas.microsoft.com/office/drawing/2014/main" id="{14FDA8B6-271F-4BE4-B900-2118CC1124B0}"/>
            </a:ext>
          </a:extLst>
        </xdr:cNvPr>
        <xdr:cNvPicPr>
          <a:picLocks noChangeAspect="1"/>
        </xdr:cNvPicPr>
      </xdr:nvPicPr>
      <xdr:blipFill>
        <a:blip xmlns:r="http://schemas.openxmlformats.org/officeDocument/2006/relationships" r:embed="rId1"/>
        <a:stretch>
          <a:fillRect/>
        </a:stretch>
      </xdr:blipFill>
      <xdr:spPr>
        <a:xfrm>
          <a:off x="148167" y="190500"/>
          <a:ext cx="1354666" cy="508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4" name="Image 6">
          <a:extLst>
            <a:ext uri="{FF2B5EF4-FFF2-40B4-BE49-F238E27FC236}">
              <a16:creationId xmlns:a16="http://schemas.microsoft.com/office/drawing/2014/main" id="{0271C21A-ABA6-431B-A7E4-D7356CCE1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5" name="Picture 4">
          <a:extLst>
            <a:ext uri="{FF2B5EF4-FFF2-40B4-BE49-F238E27FC236}">
              <a16:creationId xmlns:a16="http://schemas.microsoft.com/office/drawing/2014/main" id="{AF70D99F-D209-4E8D-900D-960E16D97773}"/>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104775</xdr:colOff>
      <xdr:row>1</xdr:row>
      <xdr:rowOff>76200</xdr:rowOff>
    </xdr:from>
    <xdr:to>
      <xdr:col>5</xdr:col>
      <xdr:colOff>106393</xdr:colOff>
      <xdr:row>4</xdr:row>
      <xdr:rowOff>174544</xdr:rowOff>
    </xdr:to>
    <xdr:pic>
      <xdr:nvPicPr>
        <xdr:cNvPr id="2" name="Picture 1" descr="A black text on a white background&#10;&#10;Description automatically generated">
          <a:extLst>
            <a:ext uri="{FF2B5EF4-FFF2-40B4-BE49-F238E27FC236}">
              <a16:creationId xmlns:a16="http://schemas.microsoft.com/office/drawing/2014/main" id="{71FA83DA-C0D1-4964-AC01-F166258E6256}"/>
            </a:ext>
          </a:extLst>
        </xdr:cNvPr>
        <xdr:cNvPicPr>
          <a:picLocks noChangeAspect="1"/>
        </xdr:cNvPicPr>
      </xdr:nvPicPr>
      <xdr:blipFill>
        <a:blip xmlns:r="http://schemas.openxmlformats.org/officeDocument/2006/relationships" r:embed="rId3"/>
        <a:stretch>
          <a:fillRect/>
        </a:stretch>
      </xdr:blipFill>
      <xdr:spPr>
        <a:xfrm>
          <a:off x="3905250" y="266700"/>
          <a:ext cx="3941793" cy="6507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115981</xdr:rowOff>
    </xdr:to>
    <xdr:pic>
      <xdr:nvPicPr>
        <xdr:cNvPr id="2" name="Image 6">
          <a:extLst>
            <a:ext uri="{FF2B5EF4-FFF2-40B4-BE49-F238E27FC236}">
              <a16:creationId xmlns:a16="http://schemas.microsoft.com/office/drawing/2014/main" id="{B2E16875-0230-416D-B647-9E78ED1EC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208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12A75DA8-8093-43C2-87F1-3CE3F188E125}"/>
            </a:ext>
          </a:extLst>
        </xdr:cNvPr>
        <xdr:cNvPicPr>
          <a:picLocks noChangeAspect="1"/>
        </xdr:cNvPicPr>
      </xdr:nvPicPr>
      <xdr:blipFill>
        <a:blip xmlns:r="http://schemas.openxmlformats.org/officeDocument/2006/relationships" r:embed="rId2"/>
        <a:stretch>
          <a:fillRect/>
        </a:stretch>
      </xdr:blipFill>
      <xdr:spPr>
        <a:xfrm>
          <a:off x="285750" y="390525"/>
          <a:ext cx="1809750" cy="647700"/>
        </a:xfrm>
        <a:prstGeom prst="rect">
          <a:avLst/>
        </a:prstGeom>
      </xdr:spPr>
    </xdr:pic>
    <xdr:clientData/>
  </xdr:twoCellAnchor>
  <xdr:twoCellAnchor editAs="oneCell">
    <xdr:from>
      <xdr:col>3</xdr:col>
      <xdr:colOff>962025</xdr:colOff>
      <xdr:row>1</xdr:row>
      <xdr:rowOff>47625</xdr:rowOff>
    </xdr:from>
    <xdr:to>
      <xdr:col>6</xdr:col>
      <xdr:colOff>525493</xdr:colOff>
      <xdr:row>5</xdr:row>
      <xdr:rowOff>47544</xdr:rowOff>
    </xdr:to>
    <xdr:pic>
      <xdr:nvPicPr>
        <xdr:cNvPr id="4" name="Picture 3" descr="A black text on a white background&#10;&#10;Description automatically generated">
          <a:extLst>
            <a:ext uri="{FF2B5EF4-FFF2-40B4-BE49-F238E27FC236}">
              <a16:creationId xmlns:a16="http://schemas.microsoft.com/office/drawing/2014/main" id="{A19BFC1D-F3D8-4D49-8E04-0B0428E16A12}"/>
            </a:ext>
          </a:extLst>
        </xdr:cNvPr>
        <xdr:cNvPicPr>
          <a:picLocks noChangeAspect="1"/>
        </xdr:cNvPicPr>
      </xdr:nvPicPr>
      <xdr:blipFill>
        <a:blip xmlns:r="http://schemas.openxmlformats.org/officeDocument/2006/relationships" r:embed="rId3"/>
        <a:stretch>
          <a:fillRect/>
        </a:stretch>
      </xdr:blipFill>
      <xdr:spPr>
        <a:xfrm>
          <a:off x="4248150" y="238125"/>
          <a:ext cx="4627593" cy="736519"/>
        </a:xfrm>
        <a:prstGeom prst="rect">
          <a:avLst/>
        </a:prstGeom>
      </xdr:spPr>
    </xdr:pic>
    <xdr:clientData/>
  </xdr:twoCellAnchor>
  <xdr:twoCellAnchor editAs="oneCell">
    <xdr:from>
      <xdr:col>10</xdr:col>
      <xdr:colOff>0</xdr:colOff>
      <xdr:row>2</xdr:row>
      <xdr:rowOff>85725</xdr:rowOff>
    </xdr:from>
    <xdr:to>
      <xdr:col>10</xdr:col>
      <xdr:colOff>1</xdr:colOff>
      <xdr:row>5</xdr:row>
      <xdr:rowOff>58831</xdr:rowOff>
    </xdr:to>
    <xdr:pic>
      <xdr:nvPicPr>
        <xdr:cNvPr id="5" name="Image 6">
          <a:extLst>
            <a:ext uri="{FF2B5EF4-FFF2-40B4-BE49-F238E27FC236}">
              <a16:creationId xmlns:a16="http://schemas.microsoft.com/office/drawing/2014/main" id="{E5D416F4-A7EE-4532-9427-455ACA3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xdr:row>
      <xdr:rowOff>85725</xdr:rowOff>
    </xdr:from>
    <xdr:to>
      <xdr:col>10</xdr:col>
      <xdr:colOff>1</xdr:colOff>
      <xdr:row>4</xdr:row>
      <xdr:rowOff>46131</xdr:rowOff>
    </xdr:to>
    <xdr:pic>
      <xdr:nvPicPr>
        <xdr:cNvPr id="6" name="Image 6">
          <a:extLst>
            <a:ext uri="{FF2B5EF4-FFF2-40B4-BE49-F238E27FC236}">
              <a16:creationId xmlns:a16="http://schemas.microsoft.com/office/drawing/2014/main" id="{0245E662-CF4A-43AF-B303-FD7E93E6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6</xdr:row>
      <xdr:rowOff>25587</xdr:rowOff>
    </xdr:to>
    <xdr:pic>
      <xdr:nvPicPr>
        <xdr:cNvPr id="3" name="Picture 2">
          <a:extLst>
            <a:ext uri="{FF2B5EF4-FFF2-40B4-BE49-F238E27FC236}">
              <a16:creationId xmlns:a16="http://schemas.microsoft.com/office/drawing/2014/main" id="{E27783A1-2216-4027-ABB3-983FE07BC137}"/>
            </a:ext>
          </a:extLst>
        </xdr:cNvPr>
        <xdr:cNvPicPr>
          <a:picLocks noChangeAspect="1"/>
        </xdr:cNvPicPr>
      </xdr:nvPicPr>
      <xdr:blipFill>
        <a:blip xmlns:r="http://schemas.openxmlformats.org/officeDocument/2006/relationships" r:embed="rId1"/>
        <a:stretch>
          <a:fillRect/>
        </a:stretch>
      </xdr:blipFill>
      <xdr:spPr>
        <a:xfrm>
          <a:off x="123825" y="85725"/>
          <a:ext cx="2038718" cy="739962"/>
        </a:xfrm>
        <a:prstGeom prst="rect">
          <a:avLst/>
        </a:prstGeom>
      </xdr:spPr>
    </xdr:pic>
    <xdr:clientData/>
  </xdr:twoCellAnchor>
  <xdr:twoCellAnchor editAs="oneCell">
    <xdr:from>
      <xdr:col>7</xdr:col>
      <xdr:colOff>336176</xdr:colOff>
      <xdr:row>1</xdr:row>
      <xdr:rowOff>89647</xdr:rowOff>
    </xdr:from>
    <xdr:to>
      <xdr:col>11</xdr:col>
      <xdr:colOff>27765</xdr:colOff>
      <xdr:row>6</xdr:row>
      <xdr:rowOff>12059</xdr:rowOff>
    </xdr:to>
    <xdr:pic>
      <xdr:nvPicPr>
        <xdr:cNvPr id="2" name="Picture 1" descr="A black text on a white background&#10;&#10;Description automatically generated">
          <a:extLst>
            <a:ext uri="{FF2B5EF4-FFF2-40B4-BE49-F238E27FC236}">
              <a16:creationId xmlns:a16="http://schemas.microsoft.com/office/drawing/2014/main" id="{7D0F8F14-4252-46B8-97FB-E368E5440CE6}"/>
            </a:ext>
          </a:extLst>
        </xdr:cNvPr>
        <xdr:cNvPicPr>
          <a:picLocks noChangeAspect="1"/>
        </xdr:cNvPicPr>
      </xdr:nvPicPr>
      <xdr:blipFill>
        <a:blip xmlns:r="http://schemas.openxmlformats.org/officeDocument/2006/relationships" r:embed="rId2"/>
        <a:stretch>
          <a:fillRect/>
        </a:stretch>
      </xdr:blipFill>
      <xdr:spPr>
        <a:xfrm>
          <a:off x="8001000" y="179294"/>
          <a:ext cx="4005853" cy="6507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36979</xdr:colOff>
      <xdr:row>3</xdr:row>
      <xdr:rowOff>5602</xdr:rowOff>
    </xdr:from>
    <xdr:to>
      <xdr:col>2</xdr:col>
      <xdr:colOff>380788</xdr:colOff>
      <xdr:row>7</xdr:row>
      <xdr:rowOff>95250</xdr:rowOff>
    </xdr:to>
    <xdr:pic>
      <xdr:nvPicPr>
        <xdr:cNvPr id="3" name="Picture 2">
          <a:extLst>
            <a:ext uri="{FF2B5EF4-FFF2-40B4-BE49-F238E27FC236}">
              <a16:creationId xmlns:a16="http://schemas.microsoft.com/office/drawing/2014/main" id="{BD9565AA-1867-4582-A8F3-05F801980F39}"/>
            </a:ext>
          </a:extLst>
        </xdr:cNvPr>
        <xdr:cNvPicPr>
          <a:picLocks noChangeAspect="1"/>
        </xdr:cNvPicPr>
      </xdr:nvPicPr>
      <xdr:blipFill>
        <a:blip xmlns:r="http://schemas.openxmlformats.org/officeDocument/2006/relationships" r:embed="rId1"/>
        <a:stretch>
          <a:fillRect/>
        </a:stretch>
      </xdr:blipFill>
      <xdr:spPr>
        <a:xfrm>
          <a:off x="446554" y="519952"/>
          <a:ext cx="2067834" cy="794498"/>
        </a:xfrm>
        <a:prstGeom prst="rect">
          <a:avLst/>
        </a:prstGeom>
      </xdr:spPr>
    </xdr:pic>
    <xdr:clientData/>
  </xdr:twoCellAnchor>
  <xdr:twoCellAnchor editAs="oneCell">
    <xdr:from>
      <xdr:col>8</xdr:col>
      <xdr:colOff>0</xdr:colOff>
      <xdr:row>3</xdr:row>
      <xdr:rowOff>85725</xdr:rowOff>
    </xdr:from>
    <xdr:to>
      <xdr:col>8</xdr:col>
      <xdr:colOff>1</xdr:colOff>
      <xdr:row>6</xdr:row>
      <xdr:rowOff>115981</xdr:rowOff>
    </xdr:to>
    <xdr:pic>
      <xdr:nvPicPr>
        <xdr:cNvPr id="2" name="Image 6">
          <a:extLst>
            <a:ext uri="{FF2B5EF4-FFF2-40B4-BE49-F238E27FC236}">
              <a16:creationId xmlns:a16="http://schemas.microsoft.com/office/drawing/2014/main" id="{0EDB48CD-47FA-44CE-8E05-214EA7BB62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73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4" name="Image 6">
          <a:extLst>
            <a:ext uri="{FF2B5EF4-FFF2-40B4-BE49-F238E27FC236}">
              <a16:creationId xmlns:a16="http://schemas.microsoft.com/office/drawing/2014/main" id="{AF53D7EA-DE9A-4CCD-A147-D40310365B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5" name="Image 6">
          <a:extLst>
            <a:ext uri="{FF2B5EF4-FFF2-40B4-BE49-F238E27FC236}">
              <a16:creationId xmlns:a16="http://schemas.microsoft.com/office/drawing/2014/main" id="{A158D11C-4F88-4F79-835D-E0AE3E149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8300"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xdr:row>
      <xdr:rowOff>85725</xdr:rowOff>
    </xdr:from>
    <xdr:to>
      <xdr:col>8</xdr:col>
      <xdr:colOff>1</xdr:colOff>
      <xdr:row>6</xdr:row>
      <xdr:rowOff>58831</xdr:rowOff>
    </xdr:to>
    <xdr:pic>
      <xdr:nvPicPr>
        <xdr:cNvPr id="6" name="Image 6">
          <a:extLst>
            <a:ext uri="{FF2B5EF4-FFF2-40B4-BE49-F238E27FC236}">
              <a16:creationId xmlns:a16="http://schemas.microsoft.com/office/drawing/2014/main" id="{EF55EF8C-6DE2-465F-9985-890416C48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2</xdr:row>
      <xdr:rowOff>85725</xdr:rowOff>
    </xdr:from>
    <xdr:to>
      <xdr:col>8</xdr:col>
      <xdr:colOff>1</xdr:colOff>
      <xdr:row>5</xdr:row>
      <xdr:rowOff>30256</xdr:rowOff>
    </xdr:to>
    <xdr:pic>
      <xdr:nvPicPr>
        <xdr:cNvPr id="7" name="Image 6">
          <a:extLst>
            <a:ext uri="{FF2B5EF4-FFF2-40B4-BE49-F238E27FC236}">
              <a16:creationId xmlns:a16="http://schemas.microsoft.com/office/drawing/2014/main" id="{2A58DF28-6F16-4EE4-828D-3217028CD6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4</xdr:col>
      <xdr:colOff>93793</xdr:colOff>
      <xdr:row>4</xdr:row>
      <xdr:rowOff>134060</xdr:rowOff>
    </xdr:to>
    <xdr:pic>
      <xdr:nvPicPr>
        <xdr:cNvPr id="3" name="Picture 2">
          <a:extLst>
            <a:ext uri="{FF2B5EF4-FFF2-40B4-BE49-F238E27FC236}">
              <a16:creationId xmlns:a16="http://schemas.microsoft.com/office/drawing/2014/main" id="{F948C47D-0478-41AC-94AF-71D45083FBEE}"/>
            </a:ext>
          </a:extLst>
        </xdr:cNvPr>
        <xdr:cNvPicPr>
          <a:picLocks noChangeAspect="1"/>
        </xdr:cNvPicPr>
      </xdr:nvPicPr>
      <xdr:blipFill>
        <a:blip xmlns:r="http://schemas.openxmlformats.org/officeDocument/2006/relationships" r:embed="rId1"/>
        <a:stretch>
          <a:fillRect/>
        </a:stretch>
      </xdr:blipFill>
      <xdr:spPr>
        <a:xfrm>
          <a:off x="198531" y="134470"/>
          <a:ext cx="1716442" cy="639670"/>
        </a:xfrm>
        <a:prstGeom prst="rect">
          <a:avLst/>
        </a:prstGeom>
      </xdr:spPr>
    </xdr:pic>
    <xdr:clientData/>
  </xdr:twoCellAnchor>
  <xdr:twoCellAnchor editAs="oneCell">
    <xdr:from>
      <xdr:col>4</xdr:col>
      <xdr:colOff>1423147</xdr:colOff>
      <xdr:row>0</xdr:row>
      <xdr:rowOff>89647</xdr:rowOff>
    </xdr:from>
    <xdr:to>
      <xdr:col>5</xdr:col>
      <xdr:colOff>3221548</xdr:colOff>
      <xdr:row>4</xdr:row>
      <xdr:rowOff>116087</xdr:rowOff>
    </xdr:to>
    <xdr:pic>
      <xdr:nvPicPr>
        <xdr:cNvPr id="2" name="Picture 1" descr="A black text on a white background&#10;&#10;Description automatically generated">
          <a:extLst>
            <a:ext uri="{FF2B5EF4-FFF2-40B4-BE49-F238E27FC236}">
              <a16:creationId xmlns:a16="http://schemas.microsoft.com/office/drawing/2014/main" id="{AF726BFD-926C-4B67-9A9E-17EC03E9E6B8}"/>
            </a:ext>
          </a:extLst>
        </xdr:cNvPr>
        <xdr:cNvPicPr>
          <a:picLocks noChangeAspect="1"/>
        </xdr:cNvPicPr>
      </xdr:nvPicPr>
      <xdr:blipFill>
        <a:blip xmlns:r="http://schemas.openxmlformats.org/officeDocument/2006/relationships" r:embed="rId2"/>
        <a:stretch>
          <a:fillRect/>
        </a:stretch>
      </xdr:blipFill>
      <xdr:spPr>
        <a:xfrm>
          <a:off x="3238500" y="89647"/>
          <a:ext cx="4129118" cy="65396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72759</xdr:colOff>
      <xdr:row>2</xdr:row>
      <xdr:rowOff>103188</xdr:rowOff>
    </xdr:from>
    <xdr:to>
      <xdr:col>2</xdr:col>
      <xdr:colOff>2397504</xdr:colOff>
      <xdr:row>7</xdr:row>
      <xdr:rowOff>130969</xdr:rowOff>
    </xdr:to>
    <xdr:pic>
      <xdr:nvPicPr>
        <xdr:cNvPr id="2" name="Picture 1">
          <a:extLst>
            <a:ext uri="{FF2B5EF4-FFF2-40B4-BE49-F238E27FC236}">
              <a16:creationId xmlns:a16="http://schemas.microsoft.com/office/drawing/2014/main" id="{7395D402-44DF-4537-BA68-12ADC580B3A9}"/>
            </a:ext>
          </a:extLst>
        </xdr:cNvPr>
        <xdr:cNvPicPr>
          <a:picLocks noChangeAspect="1"/>
        </xdr:cNvPicPr>
      </xdr:nvPicPr>
      <xdr:blipFill>
        <a:blip xmlns:r="http://schemas.openxmlformats.org/officeDocument/2006/relationships" r:embed="rId1"/>
        <a:stretch>
          <a:fillRect/>
        </a:stretch>
      </xdr:blipFill>
      <xdr:spPr>
        <a:xfrm>
          <a:off x="443176" y="420688"/>
          <a:ext cx="2324745" cy="853281"/>
        </a:xfrm>
        <a:prstGeom prst="rect">
          <a:avLst/>
        </a:prstGeom>
      </xdr:spPr>
    </xdr:pic>
    <xdr:clientData/>
  </xdr:twoCellAnchor>
  <xdr:twoCellAnchor editAs="oneCell">
    <xdr:from>
      <xdr:col>2</xdr:col>
      <xdr:colOff>6307667</xdr:colOff>
      <xdr:row>2</xdr:row>
      <xdr:rowOff>148167</xdr:rowOff>
    </xdr:from>
    <xdr:to>
      <xdr:col>4</xdr:col>
      <xdr:colOff>705176</xdr:colOff>
      <xdr:row>7</xdr:row>
      <xdr:rowOff>22144</xdr:rowOff>
    </xdr:to>
    <xdr:pic>
      <xdr:nvPicPr>
        <xdr:cNvPr id="3" name="Picture 2" descr="A black text on a white background&#10;&#10;Description automatically generated">
          <a:extLst>
            <a:ext uri="{FF2B5EF4-FFF2-40B4-BE49-F238E27FC236}">
              <a16:creationId xmlns:a16="http://schemas.microsoft.com/office/drawing/2014/main" id="{16D57E03-D86D-40C8-97A2-194057BB16FA}"/>
            </a:ext>
          </a:extLst>
        </xdr:cNvPr>
        <xdr:cNvPicPr>
          <a:picLocks noChangeAspect="1"/>
        </xdr:cNvPicPr>
      </xdr:nvPicPr>
      <xdr:blipFill>
        <a:blip xmlns:r="http://schemas.openxmlformats.org/officeDocument/2006/relationships" r:embed="rId2"/>
        <a:stretch>
          <a:fillRect/>
        </a:stretch>
      </xdr:blipFill>
      <xdr:spPr>
        <a:xfrm>
          <a:off x="6699250" y="465667"/>
          <a:ext cx="4129118" cy="65396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8A1DFD35-7A99-4F2E-9AF1-74958C8F15FD}"/>
            </a:ext>
          </a:extLst>
        </xdr:cNvPr>
        <xdr:cNvPicPr>
          <a:picLocks noChangeAspect="1"/>
        </xdr:cNvPicPr>
      </xdr:nvPicPr>
      <xdr:blipFill>
        <a:blip xmlns:r="http://schemas.openxmlformats.org/officeDocument/2006/relationships" r:embed="rId1"/>
        <a:stretch>
          <a:fillRect/>
        </a:stretch>
      </xdr:blipFill>
      <xdr:spPr>
        <a:xfrm>
          <a:off x="404812" y="333375"/>
          <a:ext cx="2324745" cy="869156"/>
        </a:xfrm>
        <a:prstGeom prst="rect">
          <a:avLst/>
        </a:prstGeom>
      </xdr:spPr>
    </xdr:pic>
    <xdr:clientData/>
  </xdr:twoCellAnchor>
  <xdr:twoCellAnchor editAs="oneCell">
    <xdr:from>
      <xdr:col>7</xdr:col>
      <xdr:colOff>1259416</xdr:colOff>
      <xdr:row>2</xdr:row>
      <xdr:rowOff>0</xdr:rowOff>
    </xdr:from>
    <xdr:to>
      <xdr:col>9</xdr:col>
      <xdr:colOff>1618</xdr:colOff>
      <xdr:row>5</xdr:row>
      <xdr:rowOff>104694</xdr:rowOff>
    </xdr:to>
    <xdr:pic>
      <xdr:nvPicPr>
        <xdr:cNvPr id="3" name="Picture 2" descr="A black text on a white background&#10;&#10;Description automatically generated">
          <a:extLst>
            <a:ext uri="{FF2B5EF4-FFF2-40B4-BE49-F238E27FC236}">
              <a16:creationId xmlns:a16="http://schemas.microsoft.com/office/drawing/2014/main" id="{E997E09B-25BC-48A6-9542-A3D304F51973}"/>
            </a:ext>
          </a:extLst>
        </xdr:cNvPr>
        <xdr:cNvPicPr>
          <a:picLocks noChangeAspect="1"/>
        </xdr:cNvPicPr>
      </xdr:nvPicPr>
      <xdr:blipFill>
        <a:blip xmlns:r="http://schemas.openxmlformats.org/officeDocument/2006/relationships" r:embed="rId2"/>
        <a:stretch>
          <a:fillRect/>
        </a:stretch>
      </xdr:blipFill>
      <xdr:spPr>
        <a:xfrm>
          <a:off x="6233583" y="359833"/>
          <a:ext cx="4125943" cy="6507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5293</xdr:colOff>
      <xdr:row>3</xdr:row>
      <xdr:rowOff>23814</xdr:rowOff>
    </xdr:from>
    <xdr:to>
      <xdr:col>4</xdr:col>
      <xdr:colOff>296334</xdr:colOff>
      <xdr:row>6</xdr:row>
      <xdr:rowOff>9626</xdr:rowOff>
    </xdr:to>
    <xdr:pic>
      <xdr:nvPicPr>
        <xdr:cNvPr id="2" name="Picture 1">
          <a:extLst>
            <a:ext uri="{FF2B5EF4-FFF2-40B4-BE49-F238E27FC236}">
              <a16:creationId xmlns:a16="http://schemas.microsoft.com/office/drawing/2014/main" id="{A70F2641-B6C3-456D-92B5-4402F507A885}"/>
            </a:ext>
          </a:extLst>
        </xdr:cNvPr>
        <xdr:cNvPicPr>
          <a:picLocks noChangeAspect="1"/>
        </xdr:cNvPicPr>
      </xdr:nvPicPr>
      <xdr:blipFill>
        <a:blip xmlns:r="http://schemas.openxmlformats.org/officeDocument/2006/relationships" r:embed="rId1"/>
        <a:stretch>
          <a:fillRect/>
        </a:stretch>
      </xdr:blipFill>
      <xdr:spPr>
        <a:xfrm>
          <a:off x="968376" y="500064"/>
          <a:ext cx="1497541" cy="557312"/>
        </a:xfrm>
        <a:prstGeom prst="rect">
          <a:avLst/>
        </a:prstGeom>
      </xdr:spPr>
    </xdr:pic>
    <xdr:clientData/>
  </xdr:twoCellAnchor>
  <xdr:twoCellAnchor editAs="oneCell">
    <xdr:from>
      <xdr:col>5</xdr:col>
      <xdr:colOff>338668</xdr:colOff>
      <xdr:row>2</xdr:row>
      <xdr:rowOff>42333</xdr:rowOff>
    </xdr:from>
    <xdr:to>
      <xdr:col>8</xdr:col>
      <xdr:colOff>1684369</xdr:colOff>
      <xdr:row>6</xdr:row>
      <xdr:rowOff>977</xdr:rowOff>
    </xdr:to>
    <xdr:pic>
      <xdr:nvPicPr>
        <xdr:cNvPr id="3" name="Picture 2" descr="A black text on a white background&#10;&#10;Description automatically generated">
          <a:extLst>
            <a:ext uri="{FF2B5EF4-FFF2-40B4-BE49-F238E27FC236}">
              <a16:creationId xmlns:a16="http://schemas.microsoft.com/office/drawing/2014/main" id="{5643CF00-2BE0-4A2F-8618-935DD491DAE1}"/>
            </a:ext>
          </a:extLst>
        </xdr:cNvPr>
        <xdr:cNvPicPr>
          <a:picLocks noChangeAspect="1"/>
        </xdr:cNvPicPr>
      </xdr:nvPicPr>
      <xdr:blipFill>
        <a:blip xmlns:r="http://schemas.openxmlformats.org/officeDocument/2006/relationships" r:embed="rId2"/>
        <a:stretch>
          <a:fillRect/>
        </a:stretch>
      </xdr:blipFill>
      <xdr:spPr>
        <a:xfrm>
          <a:off x="4222751" y="359833"/>
          <a:ext cx="3928035" cy="68889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59531</xdr:colOff>
      <xdr:row>0</xdr:row>
      <xdr:rowOff>226218</xdr:rowOff>
    </xdr:from>
    <xdr:to>
      <xdr:col>3</xdr:col>
      <xdr:colOff>160982</xdr:colOff>
      <xdr:row>5</xdr:row>
      <xdr:rowOff>59530</xdr:rowOff>
    </xdr:to>
    <xdr:pic>
      <xdr:nvPicPr>
        <xdr:cNvPr id="2" name="Picture 1">
          <a:extLst>
            <a:ext uri="{FF2B5EF4-FFF2-40B4-BE49-F238E27FC236}">
              <a16:creationId xmlns:a16="http://schemas.microsoft.com/office/drawing/2014/main" id="{2E5CF957-174F-4837-8853-B035B1846C02}"/>
            </a:ext>
          </a:extLst>
        </xdr:cNvPr>
        <xdr:cNvPicPr>
          <a:picLocks noChangeAspect="1"/>
        </xdr:cNvPicPr>
      </xdr:nvPicPr>
      <xdr:blipFill>
        <a:blip xmlns:r="http://schemas.openxmlformats.org/officeDocument/2006/relationships" r:embed="rId1"/>
        <a:stretch>
          <a:fillRect/>
        </a:stretch>
      </xdr:blipFill>
      <xdr:spPr>
        <a:xfrm>
          <a:off x="821531" y="226218"/>
          <a:ext cx="2324745" cy="869156"/>
        </a:xfrm>
        <a:prstGeom prst="rect">
          <a:avLst/>
        </a:prstGeom>
      </xdr:spPr>
    </xdr:pic>
    <xdr:clientData/>
  </xdr:twoCellAnchor>
  <xdr:twoCellAnchor editAs="oneCell">
    <xdr:from>
      <xdr:col>4</xdr:col>
      <xdr:colOff>984250</xdr:colOff>
      <xdr:row>1</xdr:row>
      <xdr:rowOff>63500</xdr:rowOff>
    </xdr:from>
    <xdr:to>
      <xdr:col>6</xdr:col>
      <xdr:colOff>1038784</xdr:colOff>
      <xdr:row>5</xdr:row>
      <xdr:rowOff>978</xdr:rowOff>
    </xdr:to>
    <xdr:pic>
      <xdr:nvPicPr>
        <xdr:cNvPr id="3" name="Picture 2" descr="A black text on a white background&#10;&#10;Description automatically generated">
          <a:extLst>
            <a:ext uri="{FF2B5EF4-FFF2-40B4-BE49-F238E27FC236}">
              <a16:creationId xmlns:a16="http://schemas.microsoft.com/office/drawing/2014/main" id="{095F984D-96FF-421E-ACAB-72B81A3B293F}"/>
            </a:ext>
          </a:extLst>
        </xdr:cNvPr>
        <xdr:cNvPicPr>
          <a:picLocks noChangeAspect="1"/>
        </xdr:cNvPicPr>
      </xdr:nvPicPr>
      <xdr:blipFill>
        <a:blip xmlns:r="http://schemas.openxmlformats.org/officeDocument/2006/relationships" r:embed="rId2"/>
        <a:stretch>
          <a:fillRect/>
        </a:stretch>
      </xdr:blipFill>
      <xdr:spPr>
        <a:xfrm>
          <a:off x="6551083" y="338667"/>
          <a:ext cx="4129118" cy="657144"/>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0</xdr:colOff>
      <xdr:row>0</xdr:row>
      <xdr:rowOff>134471</xdr:rowOff>
    </xdr:from>
    <xdr:to>
      <xdr:col>2</xdr:col>
      <xdr:colOff>1759323</xdr:colOff>
      <xdr:row>4</xdr:row>
      <xdr:rowOff>119879</xdr:rowOff>
    </xdr:to>
    <xdr:pic>
      <xdr:nvPicPr>
        <xdr:cNvPr id="2" name="Picture 1">
          <a:extLst>
            <a:ext uri="{FF2B5EF4-FFF2-40B4-BE49-F238E27FC236}">
              <a16:creationId xmlns:a16="http://schemas.microsoft.com/office/drawing/2014/main" id="{8773AD6D-43A5-44D2-A95F-BC61D9B0CF7B}"/>
            </a:ext>
          </a:extLst>
        </xdr:cNvPr>
        <xdr:cNvPicPr>
          <a:picLocks noChangeAspect="1"/>
        </xdr:cNvPicPr>
      </xdr:nvPicPr>
      <xdr:blipFill>
        <a:blip xmlns:r="http://schemas.openxmlformats.org/officeDocument/2006/relationships" r:embed="rId1"/>
        <a:stretch>
          <a:fillRect/>
        </a:stretch>
      </xdr:blipFill>
      <xdr:spPr>
        <a:xfrm>
          <a:off x="392206" y="134471"/>
          <a:ext cx="1759323" cy="657761"/>
        </a:xfrm>
        <a:prstGeom prst="rect">
          <a:avLst/>
        </a:prstGeom>
      </xdr:spPr>
    </xdr:pic>
    <xdr:clientData/>
  </xdr:twoCellAnchor>
  <xdr:twoCellAnchor editAs="oneCell">
    <xdr:from>
      <xdr:col>2</xdr:col>
      <xdr:colOff>3395382</xdr:colOff>
      <xdr:row>1</xdr:row>
      <xdr:rowOff>56030</xdr:rowOff>
    </xdr:from>
    <xdr:to>
      <xdr:col>3</xdr:col>
      <xdr:colOff>551266</xdr:colOff>
      <xdr:row>5</xdr:row>
      <xdr:rowOff>26440</xdr:rowOff>
    </xdr:to>
    <xdr:pic>
      <xdr:nvPicPr>
        <xdr:cNvPr id="3" name="Picture 2" descr="A black text on a white background&#10;&#10;Description automatically generated">
          <a:extLst>
            <a:ext uri="{FF2B5EF4-FFF2-40B4-BE49-F238E27FC236}">
              <a16:creationId xmlns:a16="http://schemas.microsoft.com/office/drawing/2014/main" id="{E244EFF4-A412-4E5A-ADA9-EE833B14BD82}"/>
            </a:ext>
          </a:extLst>
        </xdr:cNvPr>
        <xdr:cNvPicPr>
          <a:picLocks noChangeAspect="1"/>
        </xdr:cNvPicPr>
      </xdr:nvPicPr>
      <xdr:blipFill>
        <a:blip xmlns:r="http://schemas.openxmlformats.org/officeDocument/2006/relationships" r:embed="rId2"/>
        <a:stretch>
          <a:fillRect/>
        </a:stretch>
      </xdr:blipFill>
      <xdr:spPr>
        <a:xfrm>
          <a:off x="3787588" y="212912"/>
          <a:ext cx="3812178" cy="676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243417</xdr:colOff>
      <xdr:row>1</xdr:row>
      <xdr:rowOff>116416</xdr:rowOff>
    </xdr:from>
    <xdr:to>
      <xdr:col>2</xdr:col>
      <xdr:colOff>2095500</xdr:colOff>
      <xdr:row>5</xdr:row>
      <xdr:rowOff>100721</xdr:rowOff>
    </xdr:to>
    <xdr:pic>
      <xdr:nvPicPr>
        <xdr:cNvPr id="2" name="Picture 1">
          <a:extLst>
            <a:ext uri="{FF2B5EF4-FFF2-40B4-BE49-F238E27FC236}">
              <a16:creationId xmlns:a16="http://schemas.microsoft.com/office/drawing/2014/main" id="{FAF94CE0-F8ED-4262-BA5E-3C45FDACC332}"/>
            </a:ext>
          </a:extLst>
        </xdr:cNvPr>
        <xdr:cNvPicPr>
          <a:picLocks noChangeAspect="1"/>
        </xdr:cNvPicPr>
      </xdr:nvPicPr>
      <xdr:blipFill>
        <a:blip xmlns:r="http://schemas.openxmlformats.org/officeDocument/2006/relationships" r:embed="rId1"/>
        <a:stretch>
          <a:fillRect/>
        </a:stretch>
      </xdr:blipFill>
      <xdr:spPr>
        <a:xfrm>
          <a:off x="635000" y="275166"/>
          <a:ext cx="1852083" cy="693388"/>
        </a:xfrm>
        <a:prstGeom prst="rect">
          <a:avLst/>
        </a:prstGeom>
      </xdr:spPr>
    </xdr:pic>
    <xdr:clientData/>
  </xdr:twoCellAnchor>
  <xdr:twoCellAnchor editAs="oneCell">
    <xdr:from>
      <xdr:col>2</xdr:col>
      <xdr:colOff>3164417</xdr:colOff>
      <xdr:row>1</xdr:row>
      <xdr:rowOff>63499</xdr:rowOff>
    </xdr:from>
    <xdr:to>
      <xdr:col>5</xdr:col>
      <xdr:colOff>1825127</xdr:colOff>
      <xdr:row>5</xdr:row>
      <xdr:rowOff>29551</xdr:rowOff>
    </xdr:to>
    <xdr:pic>
      <xdr:nvPicPr>
        <xdr:cNvPr id="3" name="Picture 2" descr="A black text on a white background&#10;&#10;Description automatically generated">
          <a:extLst>
            <a:ext uri="{FF2B5EF4-FFF2-40B4-BE49-F238E27FC236}">
              <a16:creationId xmlns:a16="http://schemas.microsoft.com/office/drawing/2014/main" id="{ED9426A9-460E-4D89-ADF3-78173A95CFCF}"/>
            </a:ext>
          </a:extLst>
        </xdr:cNvPr>
        <xdr:cNvPicPr>
          <a:picLocks noChangeAspect="1"/>
        </xdr:cNvPicPr>
      </xdr:nvPicPr>
      <xdr:blipFill>
        <a:blip xmlns:r="http://schemas.openxmlformats.org/officeDocument/2006/relationships" r:embed="rId2"/>
        <a:stretch>
          <a:fillRect/>
        </a:stretch>
      </xdr:blipFill>
      <xdr:spPr>
        <a:xfrm>
          <a:off x="3556000" y="222249"/>
          <a:ext cx="3793627" cy="67513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3</xdr:col>
      <xdr:colOff>1073576</xdr:colOff>
      <xdr:row>5</xdr:row>
      <xdr:rowOff>67101</xdr:rowOff>
    </xdr:to>
    <xdr:pic>
      <xdr:nvPicPr>
        <xdr:cNvPr id="2" name="Picture 1">
          <a:extLst>
            <a:ext uri="{FF2B5EF4-FFF2-40B4-BE49-F238E27FC236}">
              <a16:creationId xmlns:a16="http://schemas.microsoft.com/office/drawing/2014/main" id="{B315F6A6-53B2-4067-A610-2A0A2F0CF6AC}"/>
            </a:ext>
          </a:extLst>
        </xdr:cNvPr>
        <xdr:cNvPicPr>
          <a:picLocks noChangeAspect="1"/>
        </xdr:cNvPicPr>
      </xdr:nvPicPr>
      <xdr:blipFill>
        <a:blip xmlns:r="http://schemas.openxmlformats.org/officeDocument/2006/relationships" r:embed="rId1"/>
        <a:stretch>
          <a:fillRect/>
        </a:stretch>
      </xdr:blipFill>
      <xdr:spPr>
        <a:xfrm>
          <a:off x="406400" y="317500"/>
          <a:ext cx="1918126" cy="556051"/>
        </a:xfrm>
        <a:prstGeom prst="rect">
          <a:avLst/>
        </a:prstGeom>
      </xdr:spPr>
    </xdr:pic>
    <xdr:clientData/>
  </xdr:twoCellAnchor>
  <xdr:twoCellAnchor editAs="oneCell">
    <xdr:from>
      <xdr:col>4</xdr:col>
      <xdr:colOff>33391</xdr:colOff>
      <xdr:row>1</xdr:row>
      <xdr:rowOff>151853</xdr:rowOff>
    </xdr:from>
    <xdr:to>
      <xdr:col>5</xdr:col>
      <xdr:colOff>1221183</xdr:colOff>
      <xdr:row>5</xdr:row>
      <xdr:rowOff>47890</xdr:rowOff>
    </xdr:to>
    <xdr:pic>
      <xdr:nvPicPr>
        <xdr:cNvPr id="3" name="Picture 2">
          <a:extLst>
            <a:ext uri="{FF2B5EF4-FFF2-40B4-BE49-F238E27FC236}">
              <a16:creationId xmlns:a16="http://schemas.microsoft.com/office/drawing/2014/main" id="{17E51940-8DF5-4ED7-9B2E-9B2554E8BDD8}"/>
            </a:ext>
          </a:extLst>
        </xdr:cNvPr>
        <xdr:cNvPicPr>
          <a:picLocks noChangeAspect="1"/>
        </xdr:cNvPicPr>
      </xdr:nvPicPr>
      <xdr:blipFill>
        <a:blip xmlns:r="http://schemas.openxmlformats.org/officeDocument/2006/relationships" r:embed="rId2"/>
        <a:stretch>
          <a:fillRect/>
        </a:stretch>
      </xdr:blipFill>
      <xdr:spPr>
        <a:xfrm>
          <a:off x="3271891" y="310603"/>
          <a:ext cx="2032342" cy="5373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2</xdr:row>
      <xdr:rowOff>85725</xdr:rowOff>
    </xdr:from>
    <xdr:to>
      <xdr:col>10</xdr:col>
      <xdr:colOff>1</xdr:colOff>
      <xdr:row>5</xdr:row>
      <xdr:rowOff>58831</xdr:rowOff>
    </xdr:to>
    <xdr:pic>
      <xdr:nvPicPr>
        <xdr:cNvPr id="4" name="Image 6">
          <a:extLst>
            <a:ext uri="{FF2B5EF4-FFF2-40B4-BE49-F238E27FC236}">
              <a16:creationId xmlns:a16="http://schemas.microsoft.com/office/drawing/2014/main" id="{27EB33C2-A2CB-414E-81A5-9C24AA78BA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042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304800</xdr:colOff>
      <xdr:row>2</xdr:row>
      <xdr:rowOff>19050</xdr:rowOff>
    </xdr:from>
    <xdr:to>
      <xdr:col>1</xdr:col>
      <xdr:colOff>1035178</xdr:colOff>
      <xdr:row>5</xdr:row>
      <xdr:rowOff>85725</xdr:rowOff>
    </xdr:to>
    <xdr:pic>
      <xdr:nvPicPr>
        <xdr:cNvPr id="5" name="Picture 4">
          <a:extLst>
            <a:ext uri="{FF2B5EF4-FFF2-40B4-BE49-F238E27FC236}">
              <a16:creationId xmlns:a16="http://schemas.microsoft.com/office/drawing/2014/main" id="{5BB3D1AA-F685-4FA1-B2C1-8C568B281237}"/>
            </a:ext>
          </a:extLst>
        </xdr:cNvPr>
        <xdr:cNvPicPr>
          <a:picLocks noChangeAspect="1"/>
        </xdr:cNvPicPr>
      </xdr:nvPicPr>
      <xdr:blipFill>
        <a:blip xmlns:r="http://schemas.openxmlformats.org/officeDocument/2006/relationships" r:embed="rId2"/>
        <a:stretch>
          <a:fillRect/>
        </a:stretch>
      </xdr:blipFill>
      <xdr:spPr>
        <a:xfrm>
          <a:off x="304800" y="400050"/>
          <a:ext cx="1720978" cy="609600"/>
        </a:xfrm>
        <a:prstGeom prst="rect">
          <a:avLst/>
        </a:prstGeom>
      </xdr:spPr>
    </xdr:pic>
    <xdr:clientData/>
  </xdr:twoCellAnchor>
  <xdr:twoCellAnchor editAs="oneCell">
    <xdr:from>
      <xdr:col>2</xdr:col>
      <xdr:colOff>933450</xdr:colOff>
      <xdr:row>2</xdr:row>
      <xdr:rowOff>0</xdr:rowOff>
    </xdr:from>
    <xdr:to>
      <xdr:col>6</xdr:col>
      <xdr:colOff>1122393</xdr:colOff>
      <xdr:row>5</xdr:row>
      <xdr:rowOff>114219</xdr:rowOff>
    </xdr:to>
    <xdr:pic>
      <xdr:nvPicPr>
        <xdr:cNvPr id="2" name="Picture 1" descr="A black text on a white background&#10;&#10;Description automatically generated">
          <a:extLst>
            <a:ext uri="{FF2B5EF4-FFF2-40B4-BE49-F238E27FC236}">
              <a16:creationId xmlns:a16="http://schemas.microsoft.com/office/drawing/2014/main" id="{20698954-221C-4AB0-AE4C-CB90632E0396}"/>
            </a:ext>
          </a:extLst>
        </xdr:cNvPr>
        <xdr:cNvPicPr>
          <a:picLocks noChangeAspect="1"/>
        </xdr:cNvPicPr>
      </xdr:nvPicPr>
      <xdr:blipFill>
        <a:blip xmlns:r="http://schemas.openxmlformats.org/officeDocument/2006/relationships" r:embed="rId3"/>
        <a:stretch>
          <a:fillRect/>
        </a:stretch>
      </xdr:blipFill>
      <xdr:spPr>
        <a:xfrm>
          <a:off x="3467100" y="381000"/>
          <a:ext cx="3951318" cy="657144"/>
        </a:xfrm>
        <a:prstGeom prst="rect">
          <a:avLst/>
        </a:prstGeom>
      </xdr:spPr>
    </xdr:pic>
    <xdr:clientData/>
  </xdr:twoCellAnchor>
  <xdr:twoCellAnchor editAs="oneCell">
    <xdr:from>
      <xdr:col>10</xdr:col>
      <xdr:colOff>0</xdr:colOff>
      <xdr:row>1</xdr:row>
      <xdr:rowOff>85725</xdr:rowOff>
    </xdr:from>
    <xdr:to>
      <xdr:col>10</xdr:col>
      <xdr:colOff>1</xdr:colOff>
      <xdr:row>4</xdr:row>
      <xdr:rowOff>49306</xdr:rowOff>
    </xdr:to>
    <xdr:pic>
      <xdr:nvPicPr>
        <xdr:cNvPr id="3" name="Image 6">
          <a:extLst>
            <a:ext uri="{FF2B5EF4-FFF2-40B4-BE49-F238E27FC236}">
              <a16:creationId xmlns:a16="http://schemas.microsoft.com/office/drawing/2014/main" id="{1F01C79F-0137-4980-92B2-FB1C0AC5B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77475" y="2762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98</xdr:col>
      <xdr:colOff>0</xdr:colOff>
      <xdr:row>2</xdr:row>
      <xdr:rowOff>85725</xdr:rowOff>
    </xdr:from>
    <xdr:ext cx="1" cy="542925"/>
    <xdr:pic>
      <xdr:nvPicPr>
        <xdr:cNvPr id="7" name="Image 7">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48800" y="419100"/>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2" name="Picture 1">
          <a:extLst>
            <a:ext uri="{FF2B5EF4-FFF2-40B4-BE49-F238E27FC236}">
              <a16:creationId xmlns:a16="http://schemas.microsoft.com/office/drawing/2014/main" id="{AFE9C547-3BDF-4750-B452-B99FEEAF5B39}"/>
            </a:ext>
          </a:extLst>
        </xdr:cNvPr>
        <xdr:cNvPicPr>
          <a:picLocks noChangeAspect="1"/>
        </xdr:cNvPicPr>
      </xdr:nvPicPr>
      <xdr:blipFill>
        <a:blip xmlns:r="http://schemas.openxmlformats.org/officeDocument/2006/relationships" r:embed="rId2"/>
        <a:stretch>
          <a:fillRect/>
        </a:stretch>
      </xdr:blipFill>
      <xdr:spPr>
        <a:xfrm>
          <a:off x="112058" y="67235"/>
          <a:ext cx="2324745" cy="869156"/>
        </a:xfrm>
        <a:prstGeom prst="rect">
          <a:avLst/>
        </a:prstGeom>
      </xdr:spPr>
    </xdr:pic>
    <xdr:clientData/>
  </xdr:twoCellAnchor>
  <xdr:twoCellAnchor editAs="oneCell">
    <xdr:from>
      <xdr:col>11</xdr:col>
      <xdr:colOff>0</xdr:colOff>
      <xdr:row>1</xdr:row>
      <xdr:rowOff>0</xdr:rowOff>
    </xdr:from>
    <xdr:to>
      <xdr:col>14</xdr:col>
      <xdr:colOff>971050</xdr:colOff>
      <xdr:row>5</xdr:row>
      <xdr:rowOff>9444</xdr:rowOff>
    </xdr:to>
    <xdr:pic>
      <xdr:nvPicPr>
        <xdr:cNvPr id="3" name="Picture 2" descr="A black text on a white background&#10;&#10;Description automatically generated">
          <a:extLst>
            <a:ext uri="{FF2B5EF4-FFF2-40B4-BE49-F238E27FC236}">
              <a16:creationId xmlns:a16="http://schemas.microsoft.com/office/drawing/2014/main" id="{88481832-E571-798B-C990-536A7300F448}"/>
            </a:ext>
          </a:extLst>
        </xdr:cNvPr>
        <xdr:cNvPicPr>
          <a:picLocks noChangeAspect="1"/>
        </xdr:cNvPicPr>
      </xdr:nvPicPr>
      <xdr:blipFill>
        <a:blip xmlns:r="http://schemas.openxmlformats.org/officeDocument/2006/relationships" r:embed="rId3"/>
        <a:stretch>
          <a:fillRect/>
        </a:stretch>
      </xdr:blipFill>
      <xdr:spPr>
        <a:xfrm>
          <a:off x="7958667" y="158750"/>
          <a:ext cx="3990476" cy="64761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4</xdr:col>
      <xdr:colOff>38217</xdr:colOff>
      <xdr:row>5</xdr:row>
      <xdr:rowOff>127107</xdr:rowOff>
    </xdr:to>
    <xdr:pic>
      <xdr:nvPicPr>
        <xdr:cNvPr id="2" name="Picture 1">
          <a:extLst>
            <a:ext uri="{FF2B5EF4-FFF2-40B4-BE49-F238E27FC236}">
              <a16:creationId xmlns:a16="http://schemas.microsoft.com/office/drawing/2014/main" id="{016F0B67-2B1F-4CBF-A66C-B190E7818AA8}"/>
            </a:ext>
          </a:extLst>
        </xdr:cNvPr>
        <xdr:cNvPicPr>
          <a:picLocks noChangeAspect="1"/>
        </xdr:cNvPicPr>
      </xdr:nvPicPr>
      <xdr:blipFill>
        <a:blip xmlns:r="http://schemas.openxmlformats.org/officeDocument/2006/relationships" r:embed="rId1"/>
        <a:stretch>
          <a:fillRect/>
        </a:stretch>
      </xdr:blipFill>
      <xdr:spPr>
        <a:xfrm>
          <a:off x="264584" y="93929"/>
          <a:ext cx="2327391" cy="829468"/>
        </a:xfrm>
        <a:prstGeom prst="rect">
          <a:avLst/>
        </a:prstGeom>
      </xdr:spPr>
    </xdr:pic>
    <xdr:clientData/>
  </xdr:twoCellAnchor>
  <xdr:twoCellAnchor editAs="oneCell">
    <xdr:from>
      <xdr:col>8</xdr:col>
      <xdr:colOff>444500</xdr:colOff>
      <xdr:row>0</xdr:row>
      <xdr:rowOff>158749</xdr:rowOff>
    </xdr:from>
    <xdr:to>
      <xdr:col>11</xdr:col>
      <xdr:colOff>354678</xdr:colOff>
      <xdr:row>5</xdr:row>
      <xdr:rowOff>20238</xdr:rowOff>
    </xdr:to>
    <xdr:pic>
      <xdr:nvPicPr>
        <xdr:cNvPr id="3" name="Picture 2" descr="A black text on a white background&#10;&#10;Description automatically generated">
          <a:extLst>
            <a:ext uri="{FF2B5EF4-FFF2-40B4-BE49-F238E27FC236}">
              <a16:creationId xmlns:a16="http://schemas.microsoft.com/office/drawing/2014/main" id="{17A13C35-17B3-4DE7-A11B-8DB2AC310EA3}"/>
            </a:ext>
          </a:extLst>
        </xdr:cNvPr>
        <xdr:cNvPicPr>
          <a:picLocks noChangeAspect="1"/>
        </xdr:cNvPicPr>
      </xdr:nvPicPr>
      <xdr:blipFill>
        <a:blip xmlns:r="http://schemas.openxmlformats.org/officeDocument/2006/relationships" r:embed="rId2"/>
        <a:stretch>
          <a:fillRect/>
        </a:stretch>
      </xdr:blipFill>
      <xdr:spPr>
        <a:xfrm>
          <a:off x="8657167" y="158749"/>
          <a:ext cx="4132293" cy="6444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85725</xdr:rowOff>
    </xdr:from>
    <xdr:to>
      <xdr:col>8</xdr:col>
      <xdr:colOff>1</xdr:colOff>
      <xdr:row>5</xdr:row>
      <xdr:rowOff>58831</xdr:rowOff>
    </xdr:to>
    <xdr:pic>
      <xdr:nvPicPr>
        <xdr:cNvPr id="2" name="Image 6">
          <a:extLst>
            <a:ext uri="{FF2B5EF4-FFF2-40B4-BE49-F238E27FC236}">
              <a16:creationId xmlns:a16="http://schemas.microsoft.com/office/drawing/2014/main" id="{A3AE3314-926F-4FFA-A370-0995455BA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1152525</xdr:colOff>
      <xdr:row>4</xdr:row>
      <xdr:rowOff>120704</xdr:rowOff>
    </xdr:to>
    <xdr:pic>
      <xdr:nvPicPr>
        <xdr:cNvPr id="3" name="Picture 2">
          <a:extLst>
            <a:ext uri="{FF2B5EF4-FFF2-40B4-BE49-F238E27FC236}">
              <a16:creationId xmlns:a16="http://schemas.microsoft.com/office/drawing/2014/main" id="{798411F6-618D-4F9A-8DFF-896D3F3FFCAC}"/>
            </a:ext>
          </a:extLst>
        </xdr:cNvPr>
        <xdr:cNvPicPr>
          <a:picLocks noChangeAspect="1"/>
        </xdr:cNvPicPr>
      </xdr:nvPicPr>
      <xdr:blipFill>
        <a:blip xmlns:r="http://schemas.openxmlformats.org/officeDocument/2006/relationships" r:embed="rId2"/>
        <a:stretch>
          <a:fillRect/>
        </a:stretch>
      </xdr:blipFill>
      <xdr:spPr>
        <a:xfrm>
          <a:off x="380999" y="485775"/>
          <a:ext cx="1066801" cy="377879"/>
        </a:xfrm>
        <a:prstGeom prst="rect">
          <a:avLst/>
        </a:prstGeom>
      </xdr:spPr>
    </xdr:pic>
    <xdr:clientData/>
  </xdr:twoCellAnchor>
  <xdr:twoCellAnchor editAs="oneCell">
    <xdr:from>
      <xdr:col>2</xdr:col>
      <xdr:colOff>409575</xdr:colOff>
      <xdr:row>2</xdr:row>
      <xdr:rowOff>0</xdr:rowOff>
    </xdr:from>
    <xdr:to>
      <xdr:col>4</xdr:col>
      <xdr:colOff>800100</xdr:colOff>
      <xdr:row>5</xdr:row>
      <xdr:rowOff>30696</xdr:rowOff>
    </xdr:to>
    <xdr:pic>
      <xdr:nvPicPr>
        <xdr:cNvPr id="4" name="Picture 3" descr="A black text on a white background&#10;&#10;Description automatically generated">
          <a:extLst>
            <a:ext uri="{FF2B5EF4-FFF2-40B4-BE49-F238E27FC236}">
              <a16:creationId xmlns:a16="http://schemas.microsoft.com/office/drawing/2014/main" id="{4BF736D2-90E7-4258-9DAC-2CA67632067A}"/>
            </a:ext>
          </a:extLst>
        </xdr:cNvPr>
        <xdr:cNvPicPr>
          <a:picLocks noChangeAspect="1"/>
        </xdr:cNvPicPr>
      </xdr:nvPicPr>
      <xdr:blipFill>
        <a:blip xmlns:r="http://schemas.openxmlformats.org/officeDocument/2006/relationships" r:embed="rId3"/>
        <a:stretch>
          <a:fillRect/>
        </a:stretch>
      </xdr:blipFill>
      <xdr:spPr>
        <a:xfrm>
          <a:off x="2238375" y="381000"/>
          <a:ext cx="3457575" cy="573621"/>
        </a:xfrm>
        <a:prstGeom prst="rect">
          <a:avLst/>
        </a:prstGeom>
      </xdr:spPr>
    </xdr:pic>
    <xdr:clientData/>
  </xdr:twoCellAnchor>
  <xdr:twoCellAnchor editAs="oneCell">
    <xdr:from>
      <xdr:col>6</xdr:col>
      <xdr:colOff>0</xdr:colOff>
      <xdr:row>2</xdr:row>
      <xdr:rowOff>85725</xdr:rowOff>
    </xdr:from>
    <xdr:to>
      <xdr:col>6</xdr:col>
      <xdr:colOff>1</xdr:colOff>
      <xdr:row>5</xdr:row>
      <xdr:rowOff>58831</xdr:rowOff>
    </xdr:to>
    <xdr:pic>
      <xdr:nvPicPr>
        <xdr:cNvPr id="5" name="Image 6">
          <a:extLst>
            <a:ext uri="{FF2B5EF4-FFF2-40B4-BE49-F238E27FC236}">
              <a16:creationId xmlns:a16="http://schemas.microsoft.com/office/drawing/2014/main" id="{D5ECD397-4DC2-4934-964A-3A458531BB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032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38744</xdr:rowOff>
    </xdr:to>
    <xdr:pic>
      <xdr:nvPicPr>
        <xdr:cNvPr id="2" name="Picture 1">
          <a:extLst>
            <a:ext uri="{FF2B5EF4-FFF2-40B4-BE49-F238E27FC236}">
              <a16:creationId xmlns:a16="http://schemas.microsoft.com/office/drawing/2014/main" id="{271D2D85-E111-4D5D-AB11-25A80275D566}"/>
            </a:ext>
          </a:extLst>
        </xdr:cNvPr>
        <xdr:cNvPicPr>
          <a:picLocks noChangeAspect="1"/>
        </xdr:cNvPicPr>
      </xdr:nvPicPr>
      <xdr:blipFill>
        <a:blip xmlns:r="http://schemas.openxmlformats.org/officeDocument/2006/relationships" r:embed="rId1"/>
        <a:stretch>
          <a:fillRect/>
        </a:stretch>
      </xdr:blipFill>
      <xdr:spPr>
        <a:xfrm>
          <a:off x="255323" y="322792"/>
          <a:ext cx="1131094" cy="414452"/>
        </a:xfrm>
        <a:prstGeom prst="rect">
          <a:avLst/>
        </a:prstGeom>
      </xdr:spPr>
    </xdr:pic>
    <xdr:clientData/>
  </xdr:twoCellAnchor>
  <xdr:twoCellAnchor editAs="oneCell">
    <xdr:from>
      <xdr:col>3</xdr:col>
      <xdr:colOff>751418</xdr:colOff>
      <xdr:row>1</xdr:row>
      <xdr:rowOff>63501</xdr:rowOff>
    </xdr:from>
    <xdr:to>
      <xdr:col>5</xdr:col>
      <xdr:colOff>1073711</xdr:colOff>
      <xdr:row>5</xdr:row>
      <xdr:rowOff>9445</xdr:rowOff>
    </xdr:to>
    <xdr:pic>
      <xdr:nvPicPr>
        <xdr:cNvPr id="3" name="Picture 2" descr="A black text on a white background&#10;&#10;Description automatically generated">
          <a:extLst>
            <a:ext uri="{FF2B5EF4-FFF2-40B4-BE49-F238E27FC236}">
              <a16:creationId xmlns:a16="http://schemas.microsoft.com/office/drawing/2014/main" id="{237F2EFC-6CAF-4142-8411-51B22264BA79}"/>
            </a:ext>
          </a:extLst>
        </xdr:cNvPr>
        <xdr:cNvPicPr>
          <a:picLocks noChangeAspect="1"/>
        </xdr:cNvPicPr>
      </xdr:nvPicPr>
      <xdr:blipFill>
        <a:blip xmlns:r="http://schemas.openxmlformats.org/officeDocument/2006/relationships" r:embed="rId2"/>
        <a:stretch>
          <a:fillRect/>
        </a:stretch>
      </xdr:blipFill>
      <xdr:spPr>
        <a:xfrm>
          <a:off x="2286001" y="222251"/>
          <a:ext cx="4132293" cy="644444"/>
        </a:xfrm>
        <a:prstGeom prst="rect">
          <a:avLst/>
        </a:prstGeom>
      </xdr:spPr>
    </xdr:pic>
    <xdr:clientData/>
  </xdr:twoCellAnchor>
  <xdr:twoCellAnchor editAs="oneCell">
    <xdr:from>
      <xdr:col>7</xdr:col>
      <xdr:colOff>0</xdr:colOff>
      <xdr:row>2</xdr:row>
      <xdr:rowOff>85725</xdr:rowOff>
    </xdr:from>
    <xdr:to>
      <xdr:col>7</xdr:col>
      <xdr:colOff>1</xdr:colOff>
      <xdr:row>5</xdr:row>
      <xdr:rowOff>30256</xdr:rowOff>
    </xdr:to>
    <xdr:pic>
      <xdr:nvPicPr>
        <xdr:cNvPr id="4" name="Image 6">
          <a:extLst>
            <a:ext uri="{FF2B5EF4-FFF2-40B4-BE49-F238E27FC236}">
              <a16:creationId xmlns:a16="http://schemas.microsoft.com/office/drawing/2014/main" id="{38A1C3CC-46FA-4636-B0F1-BCD54E8FA0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392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2</xdr:row>
      <xdr:rowOff>85725</xdr:rowOff>
    </xdr:from>
    <xdr:to>
      <xdr:col>7</xdr:col>
      <xdr:colOff>1</xdr:colOff>
      <xdr:row>5</xdr:row>
      <xdr:rowOff>58831</xdr:rowOff>
    </xdr:to>
    <xdr:pic>
      <xdr:nvPicPr>
        <xdr:cNvPr id="6" name="Image 6">
          <a:extLst>
            <a:ext uri="{FF2B5EF4-FFF2-40B4-BE49-F238E27FC236}">
              <a16:creationId xmlns:a16="http://schemas.microsoft.com/office/drawing/2014/main" id="{3178C15B-B768-43ED-9EDF-06A63B16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9250"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2</xdr:row>
      <xdr:rowOff>47625</xdr:rowOff>
    </xdr:from>
    <xdr:to>
      <xdr:col>1</xdr:col>
      <xdr:colOff>1342039</xdr:colOff>
      <xdr:row>5</xdr:row>
      <xdr:rowOff>38100</xdr:rowOff>
    </xdr:to>
    <xdr:pic>
      <xdr:nvPicPr>
        <xdr:cNvPr id="7" name="Picture 6">
          <a:extLst>
            <a:ext uri="{FF2B5EF4-FFF2-40B4-BE49-F238E27FC236}">
              <a16:creationId xmlns:a16="http://schemas.microsoft.com/office/drawing/2014/main" id="{A13F07C0-5C18-41FE-BF02-E87A1BC2F36B}"/>
            </a:ext>
          </a:extLst>
        </xdr:cNvPr>
        <xdr:cNvPicPr>
          <a:picLocks noChangeAspect="1"/>
        </xdr:cNvPicPr>
      </xdr:nvPicPr>
      <xdr:blipFill>
        <a:blip xmlns:r="http://schemas.openxmlformats.org/officeDocument/2006/relationships" r:embed="rId2"/>
        <a:stretch>
          <a:fillRect/>
        </a:stretch>
      </xdr:blipFill>
      <xdr:spPr>
        <a:xfrm>
          <a:off x="371475" y="428625"/>
          <a:ext cx="1554764" cy="533400"/>
        </a:xfrm>
        <a:prstGeom prst="rect">
          <a:avLst/>
        </a:prstGeom>
      </xdr:spPr>
    </xdr:pic>
    <xdr:clientData/>
  </xdr:twoCellAnchor>
  <xdr:twoCellAnchor editAs="oneCell">
    <xdr:from>
      <xdr:col>1</xdr:col>
      <xdr:colOff>2276475</xdr:colOff>
      <xdr:row>1</xdr:row>
      <xdr:rowOff>104775</xdr:rowOff>
    </xdr:from>
    <xdr:to>
      <xdr:col>2</xdr:col>
      <xdr:colOff>2008218</xdr:colOff>
      <xdr:row>5</xdr:row>
      <xdr:rowOff>22144</xdr:rowOff>
    </xdr:to>
    <xdr:pic>
      <xdr:nvPicPr>
        <xdr:cNvPr id="2" name="Picture 1" descr="A black text on a white background&#10;&#10;Description automatically generated">
          <a:extLst>
            <a:ext uri="{FF2B5EF4-FFF2-40B4-BE49-F238E27FC236}">
              <a16:creationId xmlns:a16="http://schemas.microsoft.com/office/drawing/2014/main" id="{3ADB72C5-B3BF-4BD1-B8E9-5B629FD9550C}"/>
            </a:ext>
          </a:extLst>
        </xdr:cNvPr>
        <xdr:cNvPicPr>
          <a:picLocks noChangeAspect="1"/>
        </xdr:cNvPicPr>
      </xdr:nvPicPr>
      <xdr:blipFill>
        <a:blip xmlns:r="http://schemas.openxmlformats.org/officeDocument/2006/relationships" r:embed="rId3"/>
        <a:stretch>
          <a:fillRect/>
        </a:stretch>
      </xdr:blipFill>
      <xdr:spPr>
        <a:xfrm>
          <a:off x="2857500" y="295275"/>
          <a:ext cx="3925918" cy="65079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0</xdr:colOff>
      <xdr:row>2</xdr:row>
      <xdr:rowOff>85725</xdr:rowOff>
    </xdr:from>
    <xdr:to>
      <xdr:col>14</xdr:col>
      <xdr:colOff>1</xdr:colOff>
      <xdr:row>5</xdr:row>
      <xdr:rowOff>58831</xdr:rowOff>
    </xdr:to>
    <xdr:pic>
      <xdr:nvPicPr>
        <xdr:cNvPr id="4" name="Image 6">
          <a:extLst>
            <a:ext uri="{FF2B5EF4-FFF2-40B4-BE49-F238E27FC236}">
              <a16:creationId xmlns:a16="http://schemas.microsoft.com/office/drawing/2014/main" id="{C506D513-1F9C-40DB-B4D7-60F120A6C3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44775" y="444500"/>
          <a:ext cx="1" cy="519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5" name="Picture 4">
          <a:extLst>
            <a:ext uri="{FF2B5EF4-FFF2-40B4-BE49-F238E27FC236}">
              <a16:creationId xmlns:a16="http://schemas.microsoft.com/office/drawing/2014/main" id="{FBA64190-D360-4F18-A3A1-109694B260BE}"/>
            </a:ext>
          </a:extLst>
        </xdr:cNvPr>
        <xdr:cNvPicPr>
          <a:picLocks noChangeAspect="1"/>
        </xdr:cNvPicPr>
      </xdr:nvPicPr>
      <xdr:blipFill>
        <a:blip xmlns:r="http://schemas.openxmlformats.org/officeDocument/2006/relationships" r:embed="rId2"/>
        <a:stretch>
          <a:fillRect/>
        </a:stretch>
      </xdr:blipFill>
      <xdr:spPr>
        <a:xfrm>
          <a:off x="438149" y="466725"/>
          <a:ext cx="1407756" cy="495300"/>
        </a:xfrm>
        <a:prstGeom prst="rect">
          <a:avLst/>
        </a:prstGeom>
      </xdr:spPr>
    </xdr:pic>
    <xdr:clientData/>
  </xdr:twoCellAnchor>
  <xdr:twoCellAnchor editAs="oneCell">
    <xdr:from>
      <xdr:col>4</xdr:col>
      <xdr:colOff>425450</xdr:colOff>
      <xdr:row>1</xdr:row>
      <xdr:rowOff>142875</xdr:rowOff>
    </xdr:from>
    <xdr:to>
      <xdr:col>6</xdr:col>
      <xdr:colOff>1189068</xdr:colOff>
      <xdr:row>5</xdr:row>
      <xdr:rowOff>76119</xdr:rowOff>
    </xdr:to>
    <xdr:pic>
      <xdr:nvPicPr>
        <xdr:cNvPr id="2" name="Picture 1" descr="A black text on a white background&#10;&#10;Description automatically generated">
          <a:extLst>
            <a:ext uri="{FF2B5EF4-FFF2-40B4-BE49-F238E27FC236}">
              <a16:creationId xmlns:a16="http://schemas.microsoft.com/office/drawing/2014/main" id="{F06E87BA-417B-415C-90FB-6F08FB077FF7}"/>
            </a:ext>
          </a:extLst>
        </xdr:cNvPr>
        <xdr:cNvPicPr>
          <a:picLocks noChangeAspect="1"/>
        </xdr:cNvPicPr>
      </xdr:nvPicPr>
      <xdr:blipFill>
        <a:blip xmlns:r="http://schemas.openxmlformats.org/officeDocument/2006/relationships" r:embed="rId3"/>
        <a:stretch>
          <a:fillRect/>
        </a:stretch>
      </xdr:blipFill>
      <xdr:spPr>
        <a:xfrm>
          <a:off x="2073275" y="323850"/>
          <a:ext cx="4059268" cy="65714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6C021F-554E-4D95-94B9-A3FD7A96E17D}" name="PrincipalOutstandingBalance" displayName="PrincipalOutstandingBalance" ref="B45:F54" totalsRowCount="1" headerRowDxfId="316" dataDxfId="315">
  <tableColumns count="5">
    <tableColumn id="1" xr3:uid="{5F97FF0A-E181-455E-B99F-7E053CA0B170}" name="Bucket Principal Outstanding Balance" totalsRowLabel="Total" dataDxfId="314" totalsRowDxfId="313"/>
    <tableColumn id="2" xr3:uid="{FE81D53F-6306-4248-879D-7090DC6B6E04}" name="Principal Outstanding Balance" totalsRowFunction="sum" dataDxfId="312" totalsRowDxfId="311">
      <calculatedColumnFormula>_xlfn.XLOOKUP(A46,INPUT_DATA!$CJ$4:$CJ$397,INPUT_DATA!$CL$4:$CL$397)</calculatedColumnFormula>
    </tableColumn>
    <tableColumn id="3" xr3:uid="{C63709B2-AA07-4A17-BF3A-3C6320C5FEE4}" name="% of Total (Amount)" totalsRowFunction="sum" dataDxfId="310" totalsRowDxfId="309">
      <calculatedColumnFormula>PrincipalOutstandingBalance[[#This Row],[Principal Outstanding Balance]]/PrincipalOutstandingBalance[[#Totals],[Principal Outstanding Balance]]</calculatedColumnFormula>
    </tableColumn>
    <tableColumn id="4" xr3:uid="{17C27ADA-A71F-40D5-AED4-96FB6BE39FC7}" name="Nb of Loans" totalsRowFunction="sum" dataDxfId="308" totalsRowDxfId="307">
      <calculatedColumnFormula>_xlfn.XLOOKUP(A46,INPUT_DATA!$CJ$4:$CJ$397,INPUT_DATA!$CM$4:$CM$397)</calculatedColumnFormula>
    </tableColumn>
    <tableColumn id="5" xr3:uid="{4BA6EA27-E263-4C61-8F9E-C440E6A9DF0D}" name="% of Total (Number)" totalsRowFunction="sum" dataDxfId="306" totalsRowDxfId="305" dataCellStyle="Normal 6">
      <calculatedColumnFormula>PrincipalOutstandingBalance[[#This Row],[Nb of Loans]]/PrincipalOutstandingBalance[[#Totals],[Nb of Loans]]</calculatedColumnFormula>
    </tableColumn>
  </tableColumns>
  <tableStyleInfo name="TableStyleLight8" showFirstColumn="0" showLastColumn="0" showRowStripes="1" showColumnStripes="1"/>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18E7502-5E0A-48FC-A117-9A330811ABBE}" name="PropertyType" displayName="PropertyType" ref="B249:F255" totalsRowCount="1" headerRowDxfId="206" dataDxfId="205">
  <tableColumns count="5">
    <tableColumn id="1" xr3:uid="{B369E1C6-B67A-44F1-8718-C8814428F789}" name="Property Type" totalsRowLabel="Total" dataDxfId="204" totalsRowDxfId="203"/>
    <tableColumn id="2" xr3:uid="{DA7E6C47-3475-4A4A-8D80-83CD365B1945}" name="Principal Outstanding Balance" totalsRowFunction="sum" dataDxfId="202" totalsRowDxfId="201">
      <calculatedColumnFormula>_xlfn.XLOOKUP(A250,INPUT_DATA!$CJ$4:$CJ$397,INPUT_DATA!$CL$4:$CL$397)</calculatedColumnFormula>
    </tableColumn>
    <tableColumn id="3" xr3:uid="{D814BC89-2385-4B32-8DF9-474B367B05F6}" name="% of Total (Amount)" totalsRowFunction="sum" dataDxfId="200" totalsRowDxfId="199">
      <calculatedColumnFormula>PropertyType[[#This Row],[Principal Outstanding Balance]]/PropertyType[[#Totals],[Principal Outstanding Balance]]</calculatedColumnFormula>
    </tableColumn>
    <tableColumn id="4" xr3:uid="{FF0C2557-7929-48F2-A4D2-1F092EA558E7}" name="Nb of Loans" totalsRowFunction="sum" dataDxfId="198" totalsRowDxfId="197">
      <calculatedColumnFormula>_xlfn.XLOOKUP(A250,INPUT_DATA!$CJ$4:$CJ$397,INPUT_DATA!$CM$4:$CM$397)</calculatedColumnFormula>
    </tableColumn>
    <tableColumn id="5" xr3:uid="{F98AFA8A-2D0B-4F85-AA88-7ECE40345BF2}" name="% of Total (Number)" totalsRowFunction="sum" dataDxfId="196" totalsRowDxfId="195">
      <calculatedColumnFormula>PropertyType[[#This Row],[Nb of Loans]]/PropertyType[[#Totals],[Nb of Loans]]</calculatedColumnFormula>
    </tableColumn>
  </tableColumns>
  <tableStyleInfo name="TableStyleLight8" showFirstColumn="0" showLastColumn="0" showRowStripes="1" showColumnStripes="1"/>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74F7FD8-AE60-40C0-8CFB-5B88F1B804E6}" name="Top20Deb" displayName="Top20Deb" ref="B284:F305" totalsRowCount="1" headerRowDxfId="194" dataDxfId="193">
  <tableColumns count="5">
    <tableColumn id="1" xr3:uid="{E3D93EED-83ED-4279-A444-368A1A6030F5}" name="Top 20 Borrowers" totalsRowLabel="Total" dataDxfId="192" totalsRowDxfId="191"/>
    <tableColumn id="2" xr3:uid="{598CFA9F-FA7E-4BF2-B840-104F356D6AFB}" name="Principal Outstanding Balance" totalsRowFunction="sum" dataDxfId="190" totalsRowDxfId="189">
      <calculatedColumnFormula>_xlfn.XLOOKUP(A285,INPUT_DATA!$CJ$4:$CJ$397,INPUT_DATA!$CL$4:$CL$397)</calculatedColumnFormula>
    </tableColumn>
    <tableColumn id="3" xr3:uid="{9A37EBB4-F320-448C-B3D3-E39B4A6E967E}" name="% of Total (Amount)" totalsRowFunction="sum" dataDxfId="188" totalsRowDxfId="187">
      <calculatedColumnFormula>Top20Deb[[#This Row],[Principal Outstanding Balance]]/$C$26</calculatedColumnFormula>
    </tableColumn>
    <tableColumn id="4" xr3:uid="{59D9B018-6D0D-47DA-AD1A-2A8BDD4F981E}" name="Nb of Loans" totalsRowFunction="sum" dataDxfId="186" totalsRowDxfId="185">
      <calculatedColumnFormula>_xlfn.XLOOKUP(A285,INPUT_DATA!$CJ$4:$CJ$397,INPUT_DATA!$CM$4:$CM$397)</calculatedColumnFormula>
    </tableColumn>
    <tableColumn id="5" xr3:uid="{4EC58449-0B5D-42FC-A94F-77D1605BFE94}" name="% of Total (Number)" totalsRowFunction="sum" dataDxfId="184" totalsRowDxfId="183">
      <calculatedColumnFormula>Top20Deb[[#This Row],[Nb of Loans]]/$C$28</calculatedColumnFormula>
    </tableColumn>
  </tableColumns>
  <tableStyleInfo name="TableStyleLight8" showFirstColumn="0" showLastColumn="0" showRowStripes="1" showColumnStripes="1"/>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25BCA19-3829-4D11-903B-D4461D15FCB2}" name="OriginalTermToMaturity29" displayName="OriginalTermToMaturity29" ref="B93:F101" totalsRowCount="1" headerRowDxfId="182" dataDxfId="181">
  <tableColumns count="5">
    <tableColumn id="1" xr3:uid="{E4153511-9873-43A9-8271-B222B6934826}" name="Bucket Original Term to Maturity (in Months)" totalsRowLabel="Total" dataDxfId="180" totalsRowDxfId="179"/>
    <tableColumn id="2" xr3:uid="{36F957E4-42E3-4E0B-9E97-6C62B9A4A481}" name="Principal Outstanding Balance" totalsRowFunction="sum" dataDxfId="178" totalsRowDxfId="177">
      <calculatedColumnFormula>_xlfn.XLOOKUP(A94,INPUT_DATA!$CJ$4:$CJ$397,INPUT_DATA!$CL$4:$CL$397)</calculatedColumnFormula>
    </tableColumn>
    <tableColumn id="3" xr3:uid="{C1A34C79-0513-4338-A3A5-BD8FB0A00E5B}" name="% of Total (Amount)" totalsRowFunction="sum" dataDxfId="176" totalsRowDxfId="175">
      <calculatedColumnFormula>OriginalTermToMaturity29[[#This Row],[Principal Outstanding Balance]]/OriginalTermToMaturity29[[#Totals],[Principal Outstanding Balance]]</calculatedColumnFormula>
    </tableColumn>
    <tableColumn id="4" xr3:uid="{DF9E19E4-0035-4D50-B515-D9AF9E443603}" name="Nb of Loans" totalsRowFunction="sum" dataDxfId="174" totalsRowDxfId="173">
      <calculatedColumnFormula>_xlfn.XLOOKUP(A94,INPUT_DATA!$CJ$4:$CJ$397,INPUT_DATA!$CM$4:$CM$397)</calculatedColumnFormula>
    </tableColumn>
    <tableColumn id="5" xr3:uid="{EE032BB3-BC31-4EBA-9323-CC5C52908FC5}" name="% of Total (Number)" totalsRowFunction="sum" dataDxfId="172" totalsRowDxfId="171">
      <calculatedColumnFormula>OriginalTermToMaturity29[[#This Row],[Nb of Loans]]/OriginalTermToMaturity29[[#Totals],[Nb of Loans]]</calculatedColumnFormula>
    </tableColumn>
  </tableColumns>
  <tableStyleInfo name="TableStyleLight8" showFirstColumn="0" showLastColumn="0" showRowStripes="1" showColumnStripes="1"/>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C3A2FAF-8382-4E06-A1AE-33192CA530AE}" name="GuaranteeProvider30" displayName="GuaranteeProvider30" ref="B160:F165" totalsRowCount="1" headerRowDxfId="170" dataDxfId="169">
  <tableColumns count="5">
    <tableColumn id="1" xr3:uid="{A6793177-DB9F-4483-8995-4CF60CD4FA85}" name="Guarantee Provider" totalsRowLabel="Total" dataDxfId="168" totalsRowDxfId="167"/>
    <tableColumn id="2" xr3:uid="{559155BF-D178-4090-872E-211F39D0BD5D}" name="Principal Outstanding Balance" totalsRowFunction="sum" dataDxfId="166" totalsRowDxfId="165">
      <calculatedColumnFormula>_xlfn.XLOOKUP(A161,INPUT_DATA!$CJ$4:$CJ$397,INPUT_DATA!$CL$4:$CL$397)</calculatedColumnFormula>
    </tableColumn>
    <tableColumn id="3" xr3:uid="{E4B2C660-5603-4013-896E-5BA743E2CD92}" name="% of Total (Amount)" totalsRowFunction="sum" dataDxfId="164" totalsRowDxfId="163">
      <calculatedColumnFormula>GuaranteeProvider30[[#This Row],[Principal Outstanding Balance]]/GuaranteeProvider30[[#Totals],[Principal Outstanding Balance]]</calculatedColumnFormula>
    </tableColumn>
    <tableColumn id="4" xr3:uid="{A5BD6A9F-C681-4041-B00C-281A964E18C6}" name="Nb of Loans" totalsRowFunction="sum" dataDxfId="162" totalsRowDxfId="161">
      <calculatedColumnFormula>_xlfn.XLOOKUP(A161,INPUT_DATA!$CJ$4:$CJ$397,INPUT_DATA!$CM$4:$CM$397)</calculatedColumnFormula>
    </tableColumn>
    <tableColumn id="5" xr3:uid="{EC4F5082-D030-43AE-8343-70416DEEED51}" name="% of Total (Number)" totalsRowFunction="sum" dataDxfId="160" totalsRowDxfId="159">
      <calculatedColumnFormula>GuaranteeProvider30[[#This Row],[Nb of Loans]]/GuaranteeProvider30[[#Totals],[Nb of Loans]]</calculatedColumnFormula>
    </tableColumn>
  </tableColumns>
  <tableStyleInfo name="TableStyleLight8" showFirstColumn="0" showLastColumn="0" showRowStripes="1" showColumnStripes="1"/>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ABD7ACD-EF25-4987-9104-777D52CEEAE7}" name="OriginalLoanToValue173132" displayName="OriginalLoanToValue173132" ref="B169:F181" totalsRowCount="1" headerRowDxfId="158" dataDxfId="157">
  <tableColumns count="5">
    <tableColumn id="1" xr3:uid="{29EF9593-63B9-49A6-93D4-37A32227DD6F}" name="Bucket Original Loan-to-Value" totalsRowLabel="Total" dataDxfId="156" totalsRowDxfId="155"/>
    <tableColumn id="2" xr3:uid="{7DA9B21D-9C0C-4577-BDE2-775E5712F633}" name="Principal Outstanding Balance" totalsRowFunction="sum" dataDxfId="154" totalsRowDxfId="153">
      <calculatedColumnFormula>_xlfn.XLOOKUP(A170,INPUT_DATA!$CJ$4:$CJ$397,INPUT_DATA!$CL$4:$CL$397)</calculatedColumnFormula>
    </tableColumn>
    <tableColumn id="3" xr3:uid="{4CB22038-C5DB-4E6D-B20F-9A3447FEA1CD}" name="% of Total (Amount)" totalsRowFunction="sum" dataDxfId="152" totalsRowDxfId="151">
      <calculatedColumnFormula>OriginalLoanToValue173132[[#This Row],[Principal Outstanding Balance]]/OriginalLoanToValue173132[[#Totals],[Principal Outstanding Balance]]</calculatedColumnFormula>
    </tableColumn>
    <tableColumn id="4" xr3:uid="{02AAA665-16A2-4B02-B411-2BCC563AD40B}" name="Nb of Loans" totalsRowFunction="sum" dataDxfId="150" totalsRowDxfId="149">
      <calculatedColumnFormula>_xlfn.XLOOKUP(A170,INPUT_DATA!$CJ$4:$CJ$397,INPUT_DATA!$CM$4:$CM$397)</calculatedColumnFormula>
    </tableColumn>
    <tableColumn id="5" xr3:uid="{D4E6AA0F-39E7-40E7-9931-1FC6651793DC}" name="% of Total (Number)" totalsRowFunction="sum" dataDxfId="148" totalsRowDxfId="147">
      <calculatedColumnFormula>OriginalLoanToValue173132[[#This Row],[Nb of Loans]]/OriginalLoanToValue173132[[#Totals],[Nb of Loans]]</calculatedColumnFormula>
    </tableColumn>
  </tableColumns>
  <tableStyleInfo name="TableStyleLight8" showFirstColumn="0" showLastColumn="0" showRowStripes="1" showColumnStripes="1"/>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13D36BD-1911-42B0-813D-90F55C993F53}" name="CurrentLoanToValueMortgage33" displayName="CurrentLoanToValueMortgage33" ref="B217:F229" totalsRowCount="1" headerRowDxfId="146" dataDxfId="145">
  <tableColumns count="5">
    <tableColumn id="1" xr3:uid="{C9EBEAF1-ABF8-404C-82DB-A061EE366410}" name="Bucket Current Loan-to-Value" totalsRowLabel="Total" dataDxfId="144" totalsRowDxfId="143"/>
    <tableColumn id="2" xr3:uid="{9D74F102-F272-4737-AC4A-27AF6F0F1513}" name="Principal Outstanding Balance" totalsRowFunction="sum" dataDxfId="142" totalsRowDxfId="141">
      <calculatedColumnFormula>_xlfn.XLOOKUP(A218,INPUT_DATA!$CJ$4:$CJ$397,INPUT_DATA!$CL$4:$CL$397)</calculatedColumnFormula>
    </tableColumn>
    <tableColumn id="3" xr3:uid="{9C9504D5-01D8-4CE1-9A01-401EE0207A0E}" name="% of Total (Amount)" totalsRowFunction="sum" dataDxfId="140" totalsRowDxfId="139">
      <calculatedColumnFormula>CurrentLoanToValueMortgage33[[#This Row],[Principal Outstanding Balance]]/CurrentLoanToValueMortgage33[[#Totals],[Principal Outstanding Balance]]</calculatedColumnFormula>
    </tableColumn>
    <tableColumn id="4" xr3:uid="{4D1725D6-9EB5-4830-BD46-E2C42441268A}" name="Nb of Loans" totalsRowFunction="sum" dataDxfId="138" totalsRowDxfId="137">
      <calculatedColumnFormula>_xlfn.XLOOKUP(A218,INPUT_DATA!$CJ$4:$CJ$397,INPUT_DATA!$CM$4:$CM$397)</calculatedColumnFormula>
    </tableColumn>
    <tableColumn id="5" xr3:uid="{20B4B10F-0BF0-4713-97F7-BFF6B8DBFECC}" name="% of Total (Number)" totalsRowFunction="sum" dataDxfId="136" totalsRowDxfId="135" dataCellStyle="Normal 6">
      <calculatedColumnFormula>CurrentLoanToValueMortgage33[[#This Row],[Nb of Loans]]/CurrentLoanToValueMortgage33[[#Totals],[Nb of Loans]]</calculatedColumnFormula>
    </tableColumn>
  </tableColumns>
  <tableStyleInfo name="TableStyleLight8" showFirstColumn="0" showLastColumn="0" showRowStripes="1" showColumnStripes="1"/>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5FBC4D4-B282-4C22-915D-76562E4711E4}" name="Purpose34" displayName="Purpose34" ref="B233:F245" totalsRowCount="1" headerRowDxfId="134" dataDxfId="133">
  <tableColumns count="5">
    <tableColumn id="1" xr3:uid="{08BDAE93-FDA6-4EAE-AFD4-BBFE8EAF1F64}" name="Breakdown by Purpose" totalsRowLabel="Total" dataDxfId="132" totalsRowDxfId="131"/>
    <tableColumn id="2" xr3:uid="{C8BE0CF3-1C74-4AD5-A137-31423C07E280}" name="Principal Outstanding Balance" totalsRowFunction="sum" dataDxfId="130" totalsRowDxfId="129">
      <calculatedColumnFormula>_xlfn.XLOOKUP(A234,INPUT_DATA!$CJ$4:$CJ$397,INPUT_DATA!$CL$4:$CL$397)</calculatedColumnFormula>
    </tableColumn>
    <tableColumn id="3" xr3:uid="{56265F89-CE63-46AE-84A8-0F60129075EA}" name="% of Total (Amount)" totalsRowFunction="sum" dataDxfId="128" totalsRowDxfId="127">
      <calculatedColumnFormula>Purpose34[[#This Row],[Principal Outstanding Balance]]/Purpose34[[#Totals],[Principal Outstanding Balance]]</calculatedColumnFormula>
    </tableColumn>
    <tableColumn id="4" xr3:uid="{7046084A-7108-4CB2-9172-16DD39ADF3B2}" name="Nb of Loans" totalsRowFunction="sum" dataDxfId="126" totalsRowDxfId="125">
      <calculatedColumnFormula>_xlfn.XLOOKUP(A234,INPUT_DATA!$CJ$4:$CJ$397,INPUT_DATA!$CM$4:$CM$397)</calculatedColumnFormula>
    </tableColumn>
    <tableColumn id="5" xr3:uid="{15C5469E-1DCF-443E-8069-727D97CD4FB6}" name="% of Total (Number)" totalsRowFunction="sum" dataDxfId="124" totalsRowDxfId="123">
      <calculatedColumnFormula>Purpose34[[#This Row],[Nb of Loans]]/Purpose34[[#Totals],[Nb of Loans]]</calculatedColumnFormula>
    </tableColumn>
  </tableColumns>
  <tableStyleInfo name="TableStyleLight8" showFirstColumn="0" showLastColumn="0" showRowStripes="1" showColumnStripes="1"/>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239F2E2-AF20-4CD9-AC4C-8F8E58735AD6}" name="PaymentFrequency35" displayName="PaymentFrequency35" ref="B259:F265" totalsRowCount="1" headerRowDxfId="122" dataDxfId="121">
  <tableColumns count="5">
    <tableColumn id="1" xr3:uid="{D105EB9F-BA85-4FC8-B72D-39F7954D8449}" name="Payment Frequency" totalsRowLabel="Total" dataDxfId="120" totalsRowDxfId="119"/>
    <tableColumn id="2" xr3:uid="{8506E8F7-A67F-4EB3-B27C-7BDD84AEF860}" name="Principal Outstanding Balance" totalsRowFunction="sum" dataDxfId="118" totalsRowDxfId="117">
      <calculatedColumnFormula>_xlfn.XLOOKUP(A260,INPUT_DATA!$CJ$4:$CJ$397,INPUT_DATA!$CL$4:$CL$397)</calculatedColumnFormula>
    </tableColumn>
    <tableColumn id="3" xr3:uid="{629E373D-76FA-4808-9128-2D7F619C99BC}" name="% of Total (Amount)" totalsRowFunction="sum" dataDxfId="116" totalsRowDxfId="115">
      <calculatedColumnFormula>PaymentFrequency35[[#This Row],[Principal Outstanding Balance]]/PaymentFrequency35[[#Totals],[Principal Outstanding Balance]]</calculatedColumnFormula>
    </tableColumn>
    <tableColumn id="4" xr3:uid="{301243B7-0361-4507-8CBE-44D01578395E}" name="Nb of Loans" totalsRowFunction="sum" dataDxfId="114" totalsRowDxfId="113">
      <calculatedColumnFormula>_xlfn.XLOOKUP(A260,INPUT_DATA!$CJ$4:$CJ$397,INPUT_DATA!$CM$4:$CM$397)</calculatedColumnFormula>
    </tableColumn>
    <tableColumn id="5" xr3:uid="{D0B43E84-B0B2-4542-AC16-A60E11B0BA87}" name="% of Total (Number)" totalsRowFunction="sum" dataDxfId="112" totalsRowDxfId="111">
      <calculatedColumnFormula>PaymentFrequency35[[#This Row],[Nb of Loans]]/PaymentFrequency35[[#Totals],[Nb of Loans]]</calculatedColumnFormula>
    </tableColumn>
  </tableColumns>
  <tableStyleInfo name="TableStyleLight8" showFirstColumn="0" showLastColumn="0" showRowStripes="1" showColumnStripes="1"/>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18A8797-0D3F-4103-B20E-063667A656E2}" name="EmploymentType36" displayName="EmploymentType36" ref="B269:F280" totalsRowCount="1" headerRowDxfId="110" dataDxfId="109">
  <tableColumns count="5">
    <tableColumn id="1" xr3:uid="{40F3CDAD-9E71-488E-9DC4-8D84DD40226A}" name="Employment Type" totalsRowLabel="Total" dataDxfId="108" totalsRowDxfId="107"/>
    <tableColumn id="2" xr3:uid="{1335EFA7-0C84-4F06-BD2D-C4ACE39F91D8}" name="Principal Outstanding Balance" totalsRowFunction="sum" dataDxfId="106" totalsRowDxfId="105">
      <calculatedColumnFormula>_xlfn.XLOOKUP(A270,INPUT_DATA!$CJ$4:$CJ$397,INPUT_DATA!$CL$4:$CL$397)</calculatedColumnFormula>
    </tableColumn>
    <tableColumn id="3" xr3:uid="{0C5E3021-1F32-4B3A-8049-1E6E075B2322}" name="% of Total (Amount)" totalsRowFunction="sum" dataDxfId="104" totalsRowDxfId="103">
      <calculatedColumnFormula>EmploymentType36[[#This Row],[Principal Outstanding Balance]]/EmploymentType36[[#Totals],[Principal Outstanding Balance]]</calculatedColumnFormula>
    </tableColumn>
    <tableColumn id="4" xr3:uid="{362686FB-7430-44FE-8862-8AF82B5C4D23}" name="Nb of Borrowers" totalsRowFunction="sum" dataDxfId="102" totalsRowDxfId="101">
      <calculatedColumnFormula>_xlfn.XLOOKUP(A270,INPUT_DATA!$CJ$4:$CJ$397,INPUT_DATA!$CM$4:$CM$397)</calculatedColumnFormula>
    </tableColumn>
    <tableColumn id="5" xr3:uid="{99C36D28-5D6F-4FD4-AC48-BB41DA4B2C32}" name="% of Total (Number)" totalsRowFunction="sum" dataDxfId="100" totalsRowDxfId="99">
      <calculatedColumnFormula>EmploymentType36[[#This Row],[Nb of Borrowers]]/EmploymentType36[[#Totals],[Nb of Borrowers]]</calculatedColumnFormula>
    </tableColumn>
  </tableColumns>
  <tableStyleInfo name="TableStyleLight8" showFirstColumn="0" showLastColumn="0" showRowStripes="1" showColumnStripes="1"/>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94904AD-9CB0-4367-AD44-656EAB8FEBDC}" name="Top20Deb37" displayName="Top20Deb37" ref="B309:F412" totalsRowCount="1" headerRowDxfId="98" dataDxfId="97">
  <tableColumns count="5">
    <tableColumn id="1" xr3:uid="{A57C9DA8-8E28-409E-9F60-1B2EF3BCC767}" name="Top 20 Borrowers" totalsRowLabel="Total" dataDxfId="96" totalsRowDxfId="95"/>
    <tableColumn id="2" xr3:uid="{828C45F1-91E9-434F-8C5C-407417980E87}" name="Principal Outstanding Balance" totalsRowFunction="sum" dataDxfId="94" totalsRowDxfId="93">
      <calculatedColumnFormula>_xlfn.XLOOKUP(A310,INPUT_DATA!$CJ$4:$CJ$397,INPUT_DATA!$CL$4:$CL$397)</calculatedColumnFormula>
    </tableColumn>
    <tableColumn id="3" xr3:uid="{8FF2CFFA-22E5-4B2F-813C-E5F6889EBFEF}" name="% of Total (Amount)" totalsRowFunction="sum" dataDxfId="92" totalsRowDxfId="91">
      <calculatedColumnFormula>Top20Deb37[[#This Row],[Principal Outstanding Balance]]/Top20Deb37[[#Totals],[Principal Outstanding Balance]]</calculatedColumnFormula>
    </tableColumn>
    <tableColumn id="4" xr3:uid="{5C6D697B-2D10-4741-A6FE-D7DA92D8CEAE}" name="Nb of Loans" totalsRowFunction="sum" dataDxfId="90" totalsRowDxfId="89">
      <calculatedColumnFormula>_xlfn.XLOOKUP(A310,INPUT_DATA!$CJ$4:$CJ$397,INPUT_DATA!$CM$4:$CM$397)</calculatedColumnFormula>
    </tableColumn>
    <tableColumn id="5" xr3:uid="{CD502234-44DE-4142-BC57-0B6F885FD122}" name="% of Total (Number)" totalsRowFunction="sum" dataDxfId="88" totalsRowDxfId="87">
      <calculatedColumnFormula>Top20Deb37[[#This Row],[Nb of Loans]]/Top20Deb37[[#Totals],[Nb of Loans]]</calculatedColumnFormula>
    </tableColumn>
  </tableColumns>
  <tableStyleInfo name="TableStyleLight8"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DA5BC-FD38-43CD-8981-A403F5ECB479}" name="PrincipalOOriginalBalance6" displayName="PrincipalOOriginalBalance6" ref="B58:G67" totalsRowCount="1" headerRowDxfId="304" dataDxfId="303">
  <tableColumns count="6">
    <tableColumn id="1" xr3:uid="{2D70ACD1-0114-4279-A5B6-B0C81DBB8CED}" name="Bucket Principal Original Balance" totalsRowLabel="Total" dataDxfId="302" totalsRowDxfId="301"/>
    <tableColumn id="2" xr3:uid="{E800588E-1293-427C-8DCD-F9F6B515A083}" name="Principal Outstanding Balance" totalsRowFunction="sum" dataDxfId="300" totalsRowDxfId="299">
      <calculatedColumnFormula>_xlfn.XLOOKUP(A59,INPUT_DATA!$CJ$4:$CJ$397,INPUT_DATA!$CL$4:$CL$397)</calculatedColumnFormula>
    </tableColumn>
    <tableColumn id="3" xr3:uid="{5B22C866-B5B4-4B26-9801-C0AE380FCF81}" name="% of Total (Amount)" totalsRowFunction="sum" dataDxfId="298" totalsRowDxfId="297" dataCellStyle="Normal 6">
      <calculatedColumnFormula>PrincipalOOriginalBalance6[[#This Row],[Principal Outstanding Balance]]/PrincipalOOriginalBalance6[[#Totals],[Principal Outstanding Balance]]</calculatedColumnFormula>
    </tableColumn>
    <tableColumn id="4" xr3:uid="{27886BAA-A11D-4994-87AA-050132F6C922}" name="Nb of Loans" totalsRowFunction="sum" dataDxfId="296" totalsRowDxfId="295">
      <calculatedColumnFormula>_xlfn.XLOOKUP(A59,INPUT_DATA!$CJ$4:$CJ$397,INPUT_DATA!$CM$4:$CM$397)</calculatedColumnFormula>
    </tableColumn>
    <tableColumn id="5" xr3:uid="{7C0324CC-801E-42F0-BD7F-02A8485294C0}" name="% of Total (Number)" totalsRowFunction="sum" dataDxfId="294" totalsRowDxfId="293">
      <calculatedColumnFormula>PrincipalOOriginalBalance6[[#This Row],[Nb of Loans]]/PrincipalOOriginalBalance6[[#Totals],[Nb of Loans]]</calculatedColumnFormula>
    </tableColumn>
    <tableColumn id="6" xr3:uid="{110CC5DD-D767-4D8D-B59F-19246F3A9C1C}" name="Principal Original Balance" totalsRowFunction="sum" dataDxfId="292" totalsRowDxfId="291" dataCellStyle="Normal 6">
      <calculatedColumnFormula>_xlfn.XLOOKUP(A59,INPUT_DATA!$CJ$4:$CJ$397,INPUT_DATA!$CN$4:$CN$397)</calculatedColumnFormula>
    </tableColumn>
  </tableColumns>
  <tableStyleInfo name="TableStyleLight8" showFirstColumn="0" showLastColumn="0" showRowStripes="1" showColumnStripes="1"/>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44DFBED-1FA5-4378-8789-3476F619CD71}" name="Top20Deb3738" displayName="Top20Deb3738" ref="B416:F519" totalsRowCount="1" headerRowDxfId="86" dataDxfId="85">
  <tableColumns count="5">
    <tableColumn id="1" xr3:uid="{DAEC3F2E-AB99-412E-AA21-3B6F17ECBD1C}" name="Top 20 Borrowers" totalsRowLabel="Total" dataDxfId="84" totalsRowDxfId="83"/>
    <tableColumn id="2" xr3:uid="{9EBF1F30-5E2C-41EF-B626-0CED7AC00D7E}" name="Principal Outstanding Balance" totalsRowFunction="sum" dataDxfId="82" totalsRowDxfId="81">
      <calculatedColumnFormula>_xlfn.XLOOKUP(A417,INPUT_DATA!$CJ$4:$CJ$397,INPUT_DATA!$CL$4:$CL$397)</calculatedColumnFormula>
    </tableColumn>
    <tableColumn id="3" xr3:uid="{F4944FF1-58D9-4BC0-89C3-CF87095DE096}" name="% of Total (Amount)" totalsRowFunction="sum" dataDxfId="80" totalsRowDxfId="79">
      <calculatedColumnFormula>Top20Deb3738[[#This Row],[Principal Outstanding Balance]]/Top20Deb3738[[#Totals],[Principal Outstanding Balance]]</calculatedColumnFormula>
    </tableColumn>
    <tableColumn id="4" xr3:uid="{5513A8B3-8BE0-4035-8240-CD751E2449AF}" name="Nb of Loans" totalsRowFunction="sum" dataDxfId="78" totalsRowDxfId="77">
      <calculatedColumnFormula>_xlfn.XLOOKUP(A417,INPUT_DATA!$CJ$4:$CJ$397,INPUT_DATA!$CM$4:$CM$397)</calculatedColumnFormula>
    </tableColumn>
    <tableColumn id="5" xr3:uid="{580B9C5A-EF07-41C6-835C-4B39A15EB237}" name="% of Total (Number)" totalsRowFunction="sum" dataDxfId="76" totalsRowDxfId="75">
      <calculatedColumnFormula>Top20Deb3738[[#This Row],[Nb of Loans]]/Top20Deb3738[[#Totals],[Nb of Loans]]</calculatedColumnFormula>
    </tableColumn>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32B7CBB-A07A-4389-BE90-7F52AF9F06A4}" name="Seasonning" displayName="Seasonning" ref="B71:F78" totalsRowCount="1" headerRowDxfId="290" dataDxfId="289">
  <tableColumns count="5">
    <tableColumn id="1" xr3:uid="{697458D8-F796-410F-86E3-AC2BEBA49D37}" name="Bucket Seasoning (in months)" totalsRowLabel="Total" dataDxfId="288" totalsRowDxfId="287"/>
    <tableColumn id="2" xr3:uid="{D7D2DF2A-9979-4AB4-8EA0-2FCDA499E98E}" name="Principal Outstanding Balance" totalsRowFunction="sum" dataDxfId="286" totalsRowDxfId="285">
      <calculatedColumnFormula>_xlfn.XLOOKUP(A72,INPUT_DATA!$CJ$4:$CJ$397,INPUT_DATA!$CL$4:$CL$397)</calculatedColumnFormula>
    </tableColumn>
    <tableColumn id="3" xr3:uid="{23CD5F0A-D158-416D-A052-81137AEAC260}" name="% of Total (Amount)" totalsRowFunction="sum" dataDxfId="284" totalsRowDxfId="283">
      <calculatedColumnFormula>Seasonning[[#This Row],[Principal Outstanding Balance]]/Seasonning[[#Totals],[Principal Outstanding Balance]]</calculatedColumnFormula>
    </tableColumn>
    <tableColumn id="4" xr3:uid="{53909829-892C-42EC-BB8E-5A5DE5171117}" name="Nb of Loans" totalsRowFunction="sum" dataDxfId="282" totalsRowDxfId="281">
      <calculatedColumnFormula>_xlfn.XLOOKUP(A72,INPUT_DATA!$CJ$4:$CJ$397,INPUT_DATA!$CM$4:$CM$397)</calculatedColumnFormula>
    </tableColumn>
    <tableColumn id="5" xr3:uid="{B7424B8C-211F-4B86-84D8-076436BA659B}" name="% of Total (Number)" totalsRowFunction="sum" dataDxfId="280" totalsRowDxfId="279">
      <calculatedColumnFormula>Seasonning[[#This Row],[Nb of Loans]]/Seasonning[[#Totals],[Nb of Loans]]</calculatedColumnFormula>
    </tableColumn>
  </tableColumns>
  <tableStyleInfo name="TableStyleLight8" showFirstColumn="0" showLastColumn="0" showRowStripes="1" showColumnStripes="1"/>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D34628A-BF67-43C2-AD5B-216153BDCBCE}" name="RemainingTermToMaturity" displayName="RemainingTermToMaturity" ref="B82:F89" totalsRowCount="1" headerRowDxfId="278" dataDxfId="277">
  <tableColumns count="5">
    <tableColumn id="1" xr3:uid="{462AAF5D-A3C5-4213-AA4F-7BA258E9F440}" name="Bucket Remaining Term to Maturity  (in months)" totalsRowLabel="Total" dataDxfId="276" totalsRowDxfId="275"/>
    <tableColumn id="2" xr3:uid="{DBF2B9E9-494D-4A6B-A995-B6757DA60FCE}" name="Principal Outstanding Balance" totalsRowFunction="sum" dataDxfId="274" totalsRowDxfId="273" dataCellStyle="Normal 6">
      <calculatedColumnFormula>_xlfn.XLOOKUP(A83,INPUT_DATA!$CJ$4:$CJ$397,INPUT_DATA!$CL$4:$CL$397)</calculatedColumnFormula>
    </tableColumn>
    <tableColumn id="3" xr3:uid="{57605ECF-7CEF-442E-ADF7-E6046A8265B7}" name="% of Total (Amount)" totalsRowFunction="sum" dataDxfId="272" totalsRowDxfId="271">
      <calculatedColumnFormula>RemainingTermToMaturity[[#This Row],[Principal Outstanding Balance]]/RemainingTermToMaturity[[#Totals],[Principal Outstanding Balance]]</calculatedColumnFormula>
    </tableColumn>
    <tableColumn id="4" xr3:uid="{D6CA75B7-924B-4A83-9EA9-BAA62064D4EC}" name="Nb of Loans" totalsRowFunction="sum" dataDxfId="270" totalsRowDxfId="269">
      <calculatedColumnFormula>_xlfn.XLOOKUP(A83,INPUT_DATA!$CJ$4:$CJ$397,INPUT_DATA!$CM$4:$CM$397)</calculatedColumnFormula>
    </tableColumn>
    <tableColumn id="5" xr3:uid="{1DFB4D39-F2FE-4164-B855-412BAA0F687A}" name="% of Total (Number)" totalsRowFunction="sum" dataDxfId="268" totalsRowDxfId="267">
      <calculatedColumnFormula>RemainingTermToMaturity[[#This Row],[Nb of Loans]]/RemainingTermToMaturity[[#Totals],[Nb of Loans]]</calculatedColumnFormula>
    </tableColumn>
  </tableColumns>
  <tableStyleInfo name="TableStyleLight8"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0761B1-72DD-434B-AB19-9C1E702A09F2}" name="OriginationYear" displayName="OriginationYear" ref="B105:F127" totalsRowCount="1" headerRowDxfId="266" dataDxfId="265">
  <tableColumns count="5">
    <tableColumn id="1" xr3:uid="{9D96EA68-46C8-40A9-A066-84CD24576FAE}" name="Year of Origination" totalsRowLabel="Total" dataDxfId="264" totalsRowDxfId="263"/>
    <tableColumn id="2" xr3:uid="{FFFB8F08-A51A-482A-B7AE-0B05A0B76C14}" name="Principal Outstanding Balance" totalsRowFunction="sum" dataDxfId="262" totalsRowDxfId="261">
      <calculatedColumnFormula>_xlfn.XLOOKUP(A106,INPUT_DATA!$CJ$4:$CJ$397,INPUT_DATA!$CL$4:$CL$397)</calculatedColumnFormula>
    </tableColumn>
    <tableColumn id="3" xr3:uid="{881B5394-B19E-4096-8139-0273B6E6AD87}" name="% of Total (Amount)" totalsRowFunction="sum" dataDxfId="260" totalsRowDxfId="259">
      <calculatedColumnFormula>OriginationYear[[#This Row],[Principal Outstanding Balance]]/OriginationYear[[#Totals],[Principal Outstanding Balance]]</calculatedColumnFormula>
    </tableColumn>
    <tableColumn id="4" xr3:uid="{D013C588-C7B2-4D64-8D20-AA16F09216C8}" name="Nb of Loans" totalsRowFunction="sum" dataDxfId="258" totalsRowDxfId="257">
      <calculatedColumnFormula>_xlfn.XLOOKUP(A106,INPUT_DATA!$CJ$4:$CJ$397,INPUT_DATA!$CM$4:$CM$397)</calculatedColumnFormula>
    </tableColumn>
    <tableColumn id="5" xr3:uid="{41D4BDFC-D728-4B65-945A-07EC026F1E03}" name="% of Total (Number)" totalsRowFunction="sum" dataDxfId="256" totalsRowDxfId="255">
      <calculatedColumnFormula>OriginationYear[[#This Row],[Nb of Loans]]/OriginationYear[[#Totals],[Nb of Loans]]</calculatedColumnFormula>
    </tableColumn>
  </tableColumns>
  <tableStyleInfo name="TableStyleLight8" showFirstColumn="0" showLastColumn="0" showRowStripes="1" showColumnStripes="1"/>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0005B73-841F-4303-B789-C07872D82C52}" name="InterestRate" displayName="InterestRate" ref="B131:F138" totalsRowCount="1" headerRowDxfId="254" dataDxfId="253">
  <tableColumns count="5">
    <tableColumn id="1" xr3:uid="{506A1148-B701-465D-BB53-30A4D4F919EC}" name="Bucket Interest Rate" totalsRowLabel="Total" dataDxfId="252" totalsRowDxfId="251"/>
    <tableColumn id="2" xr3:uid="{D185CB07-DFEF-48C6-848C-554E10BD6736}" name="Principal Outstanding Balance" totalsRowFunction="sum" dataDxfId="250" totalsRowDxfId="249">
      <calculatedColumnFormula>_xlfn.XLOOKUP(A132,INPUT_DATA!$CJ$4:$CJ$397,INPUT_DATA!$CL$4:$CL$397)</calculatedColumnFormula>
    </tableColumn>
    <tableColumn id="3" xr3:uid="{53431B9F-F733-4FE2-9A55-27CB35E3EC88}" name="% of Total (Amount)" totalsRowFunction="sum" dataDxfId="248" totalsRowDxfId="247">
      <calculatedColumnFormula>InterestRate[[#This Row],[Principal Outstanding Balance]]/InterestRate[[#Totals],[Principal Outstanding Balance]]</calculatedColumnFormula>
    </tableColumn>
    <tableColumn id="4" xr3:uid="{0A8543C3-CDA1-4E21-9C77-ECC01D10B7C8}" name="Nb of Loans" totalsRowFunction="sum" dataDxfId="246" totalsRowDxfId="245">
      <calculatedColumnFormula>_xlfn.XLOOKUP(A132,INPUT_DATA!$CJ$4:$CJ$397,INPUT_DATA!$CM$4:$CM$397)</calculatedColumnFormula>
    </tableColumn>
    <tableColumn id="5" xr3:uid="{4BC7EDB8-87BA-420A-ADEB-7869DC9EC0BE}" name="% of Total (Number)" totalsRowFunction="sum" dataDxfId="244" totalsRowDxfId="243">
      <calculatedColumnFormula>InterestRate[[#This Row],[Nb of Loans]]/InterestRate[[#Totals],[Nb of Loans]]</calculatedColumnFormula>
    </tableColumn>
  </tableColumns>
  <tableStyleInfo name="TableStyleLight8" showFirstColumn="0" showLastColumn="0" showRowStripes="1" showColumnStripes="1"/>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A0E652-98F2-4366-A5C1-92CB157EB249}" name="InterestRateType" displayName="InterestRateType" ref="B142:F156" totalsRowCount="1" headerRowDxfId="242" dataDxfId="241">
  <tableColumns count="5">
    <tableColumn id="1" xr3:uid="{1C723A5F-BBB5-41C7-8254-0892ED5EF25B}" name="Interest Rate Type" totalsRowLabel="Total" dataDxfId="240" totalsRowDxfId="239"/>
    <tableColumn id="2" xr3:uid="{4311D5AD-3DA5-40F7-AAF5-6DCECA539FFE}" name="Principal Outstanding Balance" totalsRowFunction="sum" dataDxfId="238" totalsRowDxfId="237">
      <calculatedColumnFormula>_xlfn.XLOOKUP(A143,INPUT_DATA!$CJ$4:$CJ$397,INPUT_DATA!$CL$4:$CL$397)</calculatedColumnFormula>
    </tableColumn>
    <tableColumn id="3" xr3:uid="{2A00E4F9-D3D7-4A4C-9F85-75E84956C89E}" name="% of Total (Amount)" totalsRowFunction="sum" dataDxfId="236" totalsRowDxfId="235">
      <calculatedColumnFormula>InterestRateType[[#This Row],[Principal Outstanding Balance]]/InterestRateType[[#Totals],[Principal Outstanding Balance]]</calculatedColumnFormula>
    </tableColumn>
    <tableColumn id="4" xr3:uid="{78DDCE14-E9E8-47FD-9EBD-302A71D1B8B6}" name="Nb of Loans" totalsRowFunction="sum" dataDxfId="234" totalsRowDxfId="233">
      <calculatedColumnFormula>_xlfn.XLOOKUP(A143,INPUT_DATA!$CJ$4:$CJ$397,INPUT_DATA!$CM$4:$CM$397)</calculatedColumnFormula>
    </tableColumn>
    <tableColumn id="5" xr3:uid="{4931395C-AEF2-4D58-B130-A02B21E7FB35}" name="% of Total (Number)" totalsRowFunction="sum" dataDxfId="232" totalsRowDxfId="231">
      <calculatedColumnFormula>InterestRateType[[#This Row],[Nb of Loans]]/InterestRateType[[#Totals],[Nb of Loans]]</calculatedColumnFormula>
    </tableColumn>
  </tableColumns>
  <tableStyleInfo name="TableStyleLight8" showFirstColumn="0" showLastColumn="0" showRowStripes="1" showColumnStripes="1"/>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4379B2-02CF-459A-8AF7-5014E4AAAD09}" name="CurrentLoanToValue" displayName="CurrentLoanToValue" ref="B185:F197" totalsRowCount="1" headerRowDxfId="230" dataDxfId="229">
  <tableColumns count="5">
    <tableColumn id="1" xr3:uid="{D4D4D080-2928-4994-806F-C44571B045D3}" name="Bucket Current Loan-to-Value" totalsRowLabel="Total" dataDxfId="228" totalsRowDxfId="227"/>
    <tableColumn id="2" xr3:uid="{5C20BD2B-73EE-4159-9B16-44CFD34EBDF4}" name="Principal Outstanding Balance" totalsRowFunction="sum" dataDxfId="226" totalsRowDxfId="225">
      <calculatedColumnFormula>_xlfn.XLOOKUP(A186,INPUT_DATA!$CJ$4:$CJ$397,INPUT_DATA!$CL$4:$CL$397)</calculatedColumnFormula>
    </tableColumn>
    <tableColumn id="3" xr3:uid="{40EFBCEE-715E-40F5-952F-17AD798672CB}" name="% of Total (Amount)" totalsRowFunction="sum" dataDxfId="224" totalsRowDxfId="223">
      <calculatedColumnFormula>CurrentLoanToValue[[#This Row],[Principal Outstanding Balance]]/CurrentLoanToValue[[#Totals],[Principal Outstanding Balance]]</calculatedColumnFormula>
    </tableColumn>
    <tableColumn id="4" xr3:uid="{FC363D7B-F7E9-46AA-B54D-A40C6423A6B3}" name="Nb of Loans" totalsRowFunction="sum" dataDxfId="222" totalsRowDxfId="221">
      <calculatedColumnFormula>_xlfn.XLOOKUP(A186,INPUT_DATA!$CJ$4:$CJ$397,INPUT_DATA!$CM$4:$CM$397)</calculatedColumnFormula>
    </tableColumn>
    <tableColumn id="5" xr3:uid="{54F75B27-E58A-44D0-B1D2-DE16F703AFF6}" name="% of Total (Number)" totalsRowFunction="sum" dataDxfId="220" totalsRowDxfId="219">
      <calculatedColumnFormula>CurrentLoanToValue[[#This Row],[Nb of Loans]]/CurrentLoanToValue[[#Totals],[Nb of Loans]]</calculatedColumnFormula>
    </tableColumn>
  </tableColumns>
  <tableStyleInfo name="TableStyleLight8" showFirstColumn="0" showLastColumn="0" showRowStripes="1" showColumnStripes="1"/>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02BA8A8-9BBE-4890-920A-1EB1730D78DE}" name="CurrentLoanToValueMortgage" displayName="CurrentLoanToValueMortgage" ref="B201:F213" totalsRowCount="1" headerRowDxfId="218" dataDxfId="217">
  <tableColumns count="5">
    <tableColumn id="1" xr3:uid="{8EC506AD-9214-4756-87B2-D94D0DCAE89F}" name="Bucket Current Loan-to-Value" totalsRowLabel="Total" dataDxfId="216" totalsRowDxfId="215"/>
    <tableColumn id="2" xr3:uid="{6A8F3901-469B-4215-922C-9A3FB60F343A}" name="Principal Outstanding Balance" totalsRowFunction="sum" dataDxfId="214" totalsRowDxfId="213">
      <calculatedColumnFormula>_xlfn.XLOOKUP(A202,INPUT_DATA!$CJ$4:$CJ$397,INPUT_DATA!$CL$4:$CL$397)</calculatedColumnFormula>
    </tableColumn>
    <tableColumn id="3" xr3:uid="{EBF53F69-33DB-4CD1-9D2E-998B201EEF3D}" name="% of Total (Amount)" totalsRowFunction="sum" dataDxfId="212" totalsRowDxfId="211">
      <calculatedColumnFormula>CurrentLoanToValueMortgage[[#This Row],[Principal Outstanding Balance]]/CurrentLoanToValueMortgage[[#Totals],[Principal Outstanding Balance]]</calculatedColumnFormula>
    </tableColumn>
    <tableColumn id="4" xr3:uid="{7F393BCD-2728-43FC-B6A3-9DB360A6D681}" name="Nb of Loans" totalsRowFunction="sum" dataDxfId="210" totalsRowDxfId="209">
      <calculatedColumnFormula>_xlfn.XLOOKUP(A202,INPUT_DATA!$CJ$4:$CJ$397,INPUT_DATA!$CM$4:$CM$397)</calculatedColumnFormula>
    </tableColumn>
    <tableColumn id="5" xr3:uid="{638C4A53-29B4-4097-BBC9-21A983D90C88}" name="% of Total (Number)" totalsRowFunction="sum" dataDxfId="208" totalsRowDxfId="207">
      <calculatedColumnFormula>CurrentLoanToValueMortgage[[#This Row],[Nb of Loans]]/CurrentLoanToValueMortgage[[#Totals],[Nb of Loans]]</calculatedColumnFormula>
    </tableColumn>
  </tableColumns>
  <tableStyleInfo name="TableStyleLight8"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ctFrenchPrimeCash2023@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imitri.bellaiche@iqeq.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 Type="http://schemas.openxmlformats.org/officeDocument/2006/relationships/drawing" Target="../drawings/drawing8.x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9.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249977111117893"/>
  </sheetPr>
  <dimension ref="A2:L48"/>
  <sheetViews>
    <sheetView showGridLines="0" tabSelected="1" view="pageBreakPreview" zoomScale="80" zoomScaleNormal="68" zoomScaleSheetLayoutView="80" workbookViewId="0">
      <selection activeCell="O26" sqref="O26"/>
    </sheetView>
  </sheetViews>
  <sheetFormatPr defaultColWidth="11.453125" defaultRowHeight="14.5" x14ac:dyDescent="0.35"/>
  <cols>
    <col min="1" max="1" width="2.1796875" style="8" customWidth="1"/>
    <col min="2" max="2" width="7.453125" style="8" customWidth="1"/>
    <col min="3" max="3" width="53.54296875" style="8" customWidth="1"/>
    <col min="4" max="4" width="1.81640625" style="8" customWidth="1"/>
    <col min="5" max="5" width="2.453125" style="8" customWidth="1"/>
    <col min="6" max="6" width="33.81640625" style="8" customWidth="1"/>
    <col min="7" max="7" width="4.54296875" style="8" customWidth="1"/>
    <col min="8" max="8" width="6.81640625" style="8" customWidth="1"/>
    <col min="9" max="9" width="6.453125" style="8" customWidth="1"/>
    <col min="10" max="10" width="6.1796875" style="8" customWidth="1"/>
    <col min="11" max="11" width="8.453125" style="8" customWidth="1"/>
    <col min="12" max="16384" width="11.453125" style="8"/>
  </cols>
  <sheetData>
    <row r="2" spans="2:8" x14ac:dyDescent="0.35">
      <c r="B2" s="11"/>
      <c r="C2" s="11"/>
      <c r="D2" s="11"/>
      <c r="E2" s="11"/>
      <c r="F2" s="11"/>
      <c r="G2" s="11"/>
      <c r="H2" s="11"/>
    </row>
    <row r="3" spans="2:8" x14ac:dyDescent="0.35">
      <c r="B3" s="11"/>
      <c r="C3" s="11"/>
      <c r="D3" s="11"/>
      <c r="F3" s="11"/>
      <c r="G3" s="11"/>
      <c r="H3" s="11"/>
    </row>
    <row r="4" spans="2:8" x14ac:dyDescent="0.35">
      <c r="B4" s="11"/>
      <c r="C4" s="11"/>
      <c r="D4" s="11"/>
      <c r="E4" s="11"/>
      <c r="F4"/>
      <c r="G4" s="11"/>
      <c r="H4" s="11"/>
    </row>
    <row r="5" spans="2:8" x14ac:dyDescent="0.35">
      <c r="B5" s="11"/>
      <c r="C5" s="11"/>
      <c r="D5" s="11"/>
      <c r="E5" s="11"/>
      <c r="F5" s="11"/>
      <c r="G5" s="11"/>
      <c r="H5" s="12"/>
    </row>
    <row r="6" spans="2:8" x14ac:dyDescent="0.35">
      <c r="B6" s="11"/>
      <c r="C6" s="11"/>
      <c r="D6" s="11"/>
      <c r="F6" s="11"/>
      <c r="G6" s="11"/>
      <c r="H6" s="12"/>
    </row>
    <row r="7" spans="2:8" x14ac:dyDescent="0.35">
      <c r="B7" s="11"/>
      <c r="C7" s="11"/>
      <c r="D7" s="11"/>
      <c r="E7" s="11"/>
      <c r="F7" s="11"/>
      <c r="G7" s="11"/>
      <c r="H7" s="12"/>
    </row>
    <row r="8" spans="2:8" ht="31.5" customHeight="1" x14ac:dyDescent="0.85">
      <c r="B8" s="13"/>
      <c r="C8" s="1034" t="s">
        <v>718</v>
      </c>
      <c r="D8" s="1034"/>
      <c r="E8" s="1034"/>
      <c r="F8" s="1034"/>
      <c r="G8" s="13"/>
      <c r="H8" s="12"/>
    </row>
    <row r="9" spans="2:8" ht="31.5" customHeight="1" x14ac:dyDescent="0.85">
      <c r="B9" s="13"/>
      <c r="C9" s="13"/>
      <c r="D9" s="13"/>
      <c r="E9" s="13"/>
      <c r="F9" s="13"/>
      <c r="G9" s="13"/>
      <c r="H9" s="12"/>
    </row>
    <row r="10" spans="2:8" ht="31.5" customHeight="1" x14ac:dyDescent="0.85">
      <c r="B10" s="13"/>
      <c r="C10" s="13"/>
      <c r="D10" s="13"/>
      <c r="E10" s="13"/>
      <c r="F10" s="13"/>
      <c r="G10" s="13"/>
      <c r="H10" s="12"/>
    </row>
    <row r="11" spans="2:8" ht="15" customHeight="1" x14ac:dyDescent="0.85">
      <c r="B11" s="13"/>
      <c r="C11" s="694" t="s">
        <v>1380</v>
      </c>
      <c r="D11" s="14"/>
      <c r="E11" s="14"/>
      <c r="F11" s="797" t="s">
        <v>1381</v>
      </c>
      <c r="G11" s="13"/>
      <c r="H11" s="12"/>
    </row>
    <row r="12" spans="2:8" ht="30.5" x14ac:dyDescent="0.85">
      <c r="B12" s="14"/>
      <c r="C12" s="14"/>
      <c r="D12" s="14"/>
      <c r="E12" s="14"/>
      <c r="F12" s="15"/>
      <c r="G12" s="14"/>
      <c r="H12" s="16"/>
    </row>
    <row r="13" spans="2:8" ht="12.75" customHeight="1" x14ac:dyDescent="0.85">
      <c r="C13" s="694" t="s">
        <v>90</v>
      </c>
      <c r="D13" s="14"/>
      <c r="E13" s="14"/>
      <c r="F13" s="797">
        <f>_xlfn.XLOOKUP(F14,'17 - Calendar'!$E$36:$E$108,'17 - Calendar'!$D$36:$D$108,,0)</f>
        <v>45383</v>
      </c>
      <c r="G13" s="17"/>
    </row>
    <row r="14" spans="2:8" ht="12.75" customHeight="1" x14ac:dyDescent="0.85">
      <c r="C14" s="694" t="s">
        <v>91</v>
      </c>
      <c r="D14" s="14"/>
      <c r="E14" s="14"/>
      <c r="F14" s="797">
        <f>INPUT_DATA!A4</f>
        <v>45473</v>
      </c>
      <c r="G14" s="17"/>
    </row>
    <row r="15" spans="2:8" ht="12.75" customHeight="1" x14ac:dyDescent="0.85">
      <c r="C15" s="694" t="s">
        <v>655</v>
      </c>
      <c r="D15" s="14"/>
      <c r="E15" s="14"/>
      <c r="F15" s="797">
        <f>_xlfn.XLOOKUP(F14,'17 - Calendar'!$E$36:$E$108,'17 - Calendar'!$H$36:$H$108,,0)</f>
        <v>45488</v>
      </c>
      <c r="G15" s="17"/>
    </row>
    <row r="16" spans="2:8" ht="12.75" customHeight="1" x14ac:dyDescent="0.85">
      <c r="C16" s="694" t="s">
        <v>94</v>
      </c>
      <c r="D16" s="14"/>
      <c r="E16" s="14"/>
      <c r="F16" s="797">
        <f>_xlfn.XLOOKUP(F14,'17 - Calendar'!$E$36:$E$108,'17 - Calendar'!$I$36:$I$108,,0)</f>
        <v>45491</v>
      </c>
      <c r="G16" s="17"/>
    </row>
    <row r="17" spans="1:8" ht="12.75" customHeight="1" x14ac:dyDescent="0.85">
      <c r="C17" s="694" t="s">
        <v>87</v>
      </c>
      <c r="D17" s="14"/>
      <c r="E17" s="14"/>
      <c r="F17" s="797">
        <f>_xlfn.XLOOKUP(F14,'17 - Calendar'!$E$36:$E$108,'17 - Calendar'!$K$36:$K$108,,0)</f>
        <v>45498</v>
      </c>
      <c r="G17" s="17"/>
    </row>
    <row r="18" spans="1:8" ht="12.75" customHeight="1" x14ac:dyDescent="0.85">
      <c r="C18" s="863" t="s">
        <v>676</v>
      </c>
      <c r="D18" s="14"/>
      <c r="E18" s="14"/>
      <c r="F18" s="797">
        <v>45268</v>
      </c>
      <c r="G18" s="17"/>
    </row>
    <row r="19" spans="1:8" ht="12.75" customHeight="1" x14ac:dyDescent="0.85">
      <c r="C19" s="694" t="s">
        <v>173</v>
      </c>
      <c r="D19" s="14"/>
      <c r="E19" s="14"/>
      <c r="F19" s="873" t="s">
        <v>1448</v>
      </c>
      <c r="G19" s="17"/>
    </row>
    <row r="20" spans="1:8" ht="15.5" x14ac:dyDescent="0.35">
      <c r="A20" s="797"/>
      <c r="B20" s="797"/>
      <c r="C20" s="797"/>
      <c r="D20" s="797"/>
      <c r="E20" s="797"/>
      <c r="F20" s="797"/>
      <c r="G20" s="18"/>
      <c r="H20" s="18"/>
    </row>
    <row r="21" spans="1:8" ht="30.5" x14ac:dyDescent="0.85">
      <c r="C21" s="350"/>
      <c r="D21" s="14"/>
      <c r="E21" s="14"/>
      <c r="F21" s="797"/>
      <c r="G21" s="18"/>
      <c r="H21" s="18"/>
    </row>
    <row r="22" spans="1:8" ht="24.75" customHeight="1" x14ac:dyDescent="0.35">
      <c r="C22" s="338" t="s">
        <v>93</v>
      </c>
      <c r="D22" s="170"/>
      <c r="E22" s="171"/>
      <c r="F22" s="19"/>
      <c r="G22" s="18"/>
      <c r="H22" s="18"/>
    </row>
    <row r="23" spans="1:8" ht="15.5" x14ac:dyDescent="0.35">
      <c r="C23" s="815" t="s">
        <v>1382</v>
      </c>
      <c r="D23" s="815"/>
      <c r="E23" s="815"/>
      <c r="F23" s="815"/>
      <c r="G23" s="18"/>
      <c r="H23" s="18"/>
    </row>
    <row r="24" spans="1:8" ht="15.5" x14ac:dyDescent="0.35">
      <c r="C24" s="815" t="s">
        <v>1383</v>
      </c>
      <c r="D24" s="815"/>
      <c r="E24" s="815"/>
      <c r="F24" s="815" t="s">
        <v>1429</v>
      </c>
      <c r="G24" s="18"/>
      <c r="H24" s="18"/>
    </row>
    <row r="25" spans="1:8" ht="15.5" x14ac:dyDescent="0.35">
      <c r="C25" s="815" t="s">
        <v>1384</v>
      </c>
      <c r="D25" s="815"/>
      <c r="E25" s="815"/>
      <c r="F25" s="815" t="s">
        <v>1430</v>
      </c>
      <c r="G25" s="18"/>
      <c r="H25" s="18"/>
    </row>
    <row r="26" spans="1:8" ht="15.5" x14ac:dyDescent="0.35">
      <c r="C26" s="815" t="s">
        <v>1385</v>
      </c>
      <c r="D26" s="815"/>
      <c r="E26" s="815"/>
      <c r="F26" s="815" t="s">
        <v>1431</v>
      </c>
      <c r="G26" s="18"/>
      <c r="H26" s="18"/>
    </row>
    <row r="27" spans="1:8" ht="15.5" x14ac:dyDescent="0.35">
      <c r="C27" s="815" t="s">
        <v>1425</v>
      </c>
      <c r="D27" s="815"/>
      <c r="E27" s="815"/>
      <c r="F27" s="815" t="s">
        <v>1432</v>
      </c>
      <c r="G27" s="18"/>
      <c r="H27" s="18"/>
    </row>
    <row r="28" spans="1:8" ht="15.5" x14ac:dyDescent="0.35">
      <c r="C28" s="815" t="s">
        <v>1386</v>
      </c>
      <c r="D28" s="815"/>
      <c r="E28" s="815"/>
      <c r="F28" s="815" t="s">
        <v>1433</v>
      </c>
      <c r="G28" s="18"/>
      <c r="H28" s="18"/>
    </row>
    <row r="29" spans="1:8" ht="15.5" x14ac:dyDescent="0.35">
      <c r="C29" s="815" t="s">
        <v>1387</v>
      </c>
      <c r="D29" s="815"/>
      <c r="E29" s="815"/>
      <c r="F29" s="815" t="s">
        <v>1434</v>
      </c>
      <c r="G29" s="18"/>
      <c r="H29" s="18"/>
    </row>
    <row r="30" spans="1:8" ht="15.5" x14ac:dyDescent="0.35">
      <c r="C30" s="815" t="s">
        <v>1426</v>
      </c>
      <c r="D30" s="815"/>
      <c r="E30" s="815"/>
      <c r="F30" s="815" t="s">
        <v>1388</v>
      </c>
      <c r="G30" s="18"/>
      <c r="H30" s="18"/>
    </row>
    <row r="31" spans="1:8" ht="17.25" customHeight="1" x14ac:dyDescent="0.35">
      <c r="C31" s="815" t="s">
        <v>1427</v>
      </c>
      <c r="D31" s="815"/>
      <c r="E31" s="815"/>
      <c r="F31" s="815" t="s">
        <v>1389</v>
      </c>
      <c r="G31" s="18"/>
      <c r="H31" s="18"/>
    </row>
    <row r="32" spans="1:8" ht="15.5" x14ac:dyDescent="0.35">
      <c r="C32" s="815" t="s">
        <v>1428</v>
      </c>
      <c r="D32" s="815"/>
      <c r="E32" s="815"/>
      <c r="F32" s="815" t="s">
        <v>1390</v>
      </c>
      <c r="G32" s="20"/>
      <c r="H32" s="18"/>
    </row>
    <row r="33" spans="3:12" ht="15.5" x14ac:dyDescent="0.35">
      <c r="C33" s="815"/>
      <c r="D33" s="815"/>
      <c r="E33" s="815"/>
      <c r="F33" s="815"/>
      <c r="G33" s="20"/>
      <c r="H33" s="18"/>
    </row>
    <row r="34" spans="3:12" ht="24.75" customHeight="1" x14ac:dyDescent="0.35">
      <c r="C34" s="338" t="s">
        <v>21</v>
      </c>
      <c r="D34" s="170"/>
      <c r="E34" s="171"/>
      <c r="F34" s="19"/>
      <c r="G34" s="18"/>
      <c r="H34" s="18"/>
    </row>
    <row r="35" spans="3:12" ht="15.5" x14ac:dyDescent="0.35">
      <c r="C35" s="590" t="s">
        <v>249</v>
      </c>
      <c r="D35" s="18"/>
      <c r="E35" s="21"/>
      <c r="F35" s="22" t="s">
        <v>104</v>
      </c>
      <c r="G35" s="20"/>
      <c r="H35" s="18"/>
    </row>
    <row r="36" spans="3:12" ht="15.5" x14ac:dyDescent="0.35">
      <c r="C36" s="591" t="s">
        <v>693</v>
      </c>
      <c r="D36" s="18"/>
      <c r="E36" s="21"/>
      <c r="F36" s="22" t="s">
        <v>692</v>
      </c>
      <c r="G36" s="20"/>
      <c r="H36" s="18"/>
    </row>
    <row r="37" spans="3:12" ht="15.5" x14ac:dyDescent="0.35">
      <c r="C37" s="591" t="s">
        <v>250</v>
      </c>
      <c r="D37" s="18"/>
      <c r="E37" s="21"/>
      <c r="F37" s="22" t="s">
        <v>166</v>
      </c>
      <c r="G37" s="20"/>
      <c r="H37" s="18"/>
    </row>
    <row r="38" spans="3:12" ht="15.5" x14ac:dyDescent="0.35">
      <c r="C38" s="592" t="s">
        <v>251</v>
      </c>
      <c r="D38" s="18"/>
      <c r="E38" s="173"/>
      <c r="F38" s="174" t="s">
        <v>105</v>
      </c>
      <c r="G38" s="20"/>
      <c r="H38" s="18"/>
    </row>
    <row r="39" spans="3:12" ht="15.5" x14ac:dyDescent="0.35">
      <c r="C39" s="593" t="s">
        <v>250</v>
      </c>
      <c r="D39" s="18"/>
      <c r="E39" s="173"/>
      <c r="F39" s="174" t="s">
        <v>106</v>
      </c>
      <c r="G39" s="20"/>
      <c r="H39" s="18"/>
    </row>
    <row r="40" spans="3:12" ht="15.75" customHeight="1" x14ac:dyDescent="0.35">
      <c r="C40" s="592" t="s">
        <v>250</v>
      </c>
      <c r="D40" s="18"/>
      <c r="E40" s="168"/>
      <c r="F40" s="169" t="s">
        <v>109</v>
      </c>
      <c r="G40" s="23"/>
      <c r="H40" s="18"/>
    </row>
    <row r="41" spans="3:12" ht="15.5" x14ac:dyDescent="0.35">
      <c r="C41" s="23"/>
      <c r="D41" s="23"/>
      <c r="E41" s="23"/>
      <c r="F41" s="23"/>
      <c r="G41" s="23"/>
      <c r="H41" s="18"/>
    </row>
    <row r="42" spans="3:12" ht="15.5" x14ac:dyDescent="0.35">
      <c r="C42" s="18"/>
      <c r="D42" s="18"/>
      <c r="E42" s="23"/>
      <c r="F42" s="23"/>
      <c r="G42" s="23"/>
      <c r="H42" s="18"/>
    </row>
    <row r="43" spans="3:12" ht="15.5" x14ac:dyDescent="0.35">
      <c r="C43" s="338" t="s">
        <v>216</v>
      </c>
      <c r="E43" s="20"/>
      <c r="F43" s="20"/>
      <c r="G43" s="20"/>
      <c r="H43" s="18"/>
    </row>
    <row r="44" spans="3:12" ht="15.5" x14ac:dyDescent="0.35">
      <c r="C44" s="339" t="s">
        <v>5</v>
      </c>
      <c r="D44" s="24" t="s">
        <v>6</v>
      </c>
      <c r="E44" s="411" t="s">
        <v>254</v>
      </c>
      <c r="G44" s="340"/>
      <c r="H44" s="18"/>
    </row>
    <row r="45" spans="3:12" ht="24" customHeight="1" x14ac:dyDescent="0.35">
      <c r="C45" s="339" t="s">
        <v>7</v>
      </c>
      <c r="D45" s="24" t="s">
        <v>6</v>
      </c>
      <c r="E45" s="1037" t="s">
        <v>728</v>
      </c>
      <c r="F45" s="1037"/>
      <c r="G45" s="1037"/>
      <c r="H45" s="1037"/>
      <c r="I45" s="1037"/>
      <c r="J45" s="1037"/>
      <c r="K45" s="1037"/>
      <c r="L45" s="1037"/>
    </row>
    <row r="46" spans="3:12" ht="15.5" x14ac:dyDescent="0.35">
      <c r="C46" s="18"/>
      <c r="D46" s="341"/>
      <c r="E46" s="1035" t="s">
        <v>253</v>
      </c>
      <c r="F46" s="1036"/>
      <c r="G46" s="1036"/>
      <c r="H46" s="18"/>
    </row>
    <row r="47" spans="3:12" ht="15.5" x14ac:dyDescent="0.35">
      <c r="C47" s="18"/>
      <c r="D47" s="341"/>
      <c r="E47" s="1035" t="s">
        <v>252</v>
      </c>
      <c r="F47" s="1036"/>
      <c r="G47" s="1036"/>
      <c r="H47" s="18"/>
    </row>
    <row r="48" spans="3:12" ht="15.5" x14ac:dyDescent="0.35">
      <c r="C48" s="18"/>
      <c r="D48" s="341"/>
      <c r="E48" s="1035" t="s">
        <v>691</v>
      </c>
      <c r="F48" s="1036"/>
      <c r="G48" s="1036"/>
      <c r="H48" s="18"/>
    </row>
  </sheetData>
  <mergeCells count="5">
    <mergeCell ref="C8:F8"/>
    <mergeCell ref="E46:G46"/>
    <mergeCell ref="E47:G47"/>
    <mergeCell ref="E48:G48"/>
    <mergeCell ref="E45:L45"/>
  </mergeCells>
  <hyperlinks>
    <hyperlink ref="E46" r:id="rId1" xr:uid="{DE9DB5DA-1FD4-4370-8FAB-1B681B229AC1}"/>
    <hyperlink ref="E47" r:id="rId2" xr:uid="{1649A6B6-FCBB-4C0E-9556-40F12A7302CE}"/>
    <hyperlink ref="E44" r:id="rId3" xr:uid="{C84B16EE-AF88-483F-B3BE-F94C888DE3B9}"/>
    <hyperlink ref="E48" r:id="rId4" xr:uid="{2D591AC7-023E-491D-A3DF-CBD9ABC06A2E}"/>
    <hyperlink ref="C23" location="'00 - Cover'!Print_Area" display="00 - Cover" xr:uid="{D7BE8668-892A-4C99-8837-6186372D6BDF}"/>
    <hyperlink ref="C24" location="'01 - Summary'!Print_Area" display="01 - Summary" xr:uid="{834847EB-0941-4A7E-B16F-BD5BC806688F}"/>
    <hyperlink ref="C25" location="'02 - Eligibility Criteria'!Print_Area" display="02 - Eligibility Criteria" xr:uid="{9CC21F37-944B-4A9F-94FC-9FF44ECFD8CB}"/>
    <hyperlink ref="C26" location="'03 - Monthly Asset Follow up'!A1" display="03 - Monthly Asset Follow up" xr:uid="{355AFF22-EE47-420A-BA9A-D45E5550DD5A}"/>
    <hyperlink ref="C27" location="'04 - Monthly Collection'!A1" display="04 - Monthly Collection" xr:uid="{61DC2BE3-1F47-4ED0-BB8E-D389A3E1F06D}"/>
    <hyperlink ref="C28" location="'05 - Prepayment Rate'!A1" display="05 - Prepayment Rate" xr:uid="{C68F3BF8-F59A-4756-AD16-EBD34F8CC996}"/>
    <hyperlink ref="C29" location="'06 - Asset Amortisation Profile'!A1" display="06 - Asset Amortisation Profile" xr:uid="{C768D51F-B493-4610-8025-8621B337B805}"/>
    <hyperlink ref="C30" location="'07 - Breakdown Statistics'!A1" display="07 - Breakdown Statistics" xr:uid="{B007B927-9F10-435D-A92D-53D5F40FEC9D}"/>
    <hyperlink ref="C31" location="'08 - Delinquent Home Loans Stat'!A1" display="08 - Delinquent Home Loans Stat" xr:uid="{C775F2CD-53AF-40DE-90CC-211672A8F7A5}"/>
    <hyperlink ref="C32" location="'09 - Default &amp; Recovery Stat'!A1" display="09 - Default &amp; Recovery Stat" xr:uid="{5EAA01C0-17CD-4F9D-A9B0-8E482B90731B}"/>
    <hyperlink ref="F24" location="'10 -Principal Deficiency Ledger'!A1" display="10 -Principal Deficiency Ledger" xr:uid="{8E5C3542-5C6B-49AF-8139-2FAFCF766008}"/>
    <hyperlink ref="F25" location="'11 - Notes Follow-up'!A1" display="11 - Notes Follow-up" xr:uid="{B0E56420-325E-4B74-9251-C46F6339490A}"/>
    <hyperlink ref="F26" location="'12 - Notes Interest'!A1" display="12 - Notes Interest" xr:uid="{303E9B9A-C65B-4CFB-85E6-1E9FF0C0F0C3}"/>
    <hyperlink ref="F27" location="'13 - Issuer Account'!A1" display="13 - Issuer Account" xr:uid="{15C693E6-6511-4C49-8D1F-D6157078B88C}"/>
    <hyperlink ref="F28" location="'14 - Fees'!A1" display="14 - Fees" xr:uid="{22D7337B-375A-429B-B1A0-448260EA9501}"/>
    <hyperlink ref="F29" location="'15 - Priority of Payments'!A1" display="15 - Priority of Payments" xr:uid="{FEEA0CAA-CF64-4DD7-ADD5-ACEE2EF66A12}"/>
    <hyperlink ref="F30" location="'16 - Simplified Balance Sheet'!A1" display="16 - Simplified Balance Sheet" xr:uid="{F4573DCE-1B5A-4C2C-A791-B904F71DD393}"/>
    <hyperlink ref="F31" location="'17 - Calendar'!A1" display="17 - Calendar" xr:uid="{DF966AE5-31BC-4916-949D-97D4E6BF8682}"/>
    <hyperlink ref="F32" location="'18 - Event'!A1" display="18 - Event" xr:uid="{E2F0A717-9A9C-496E-A775-73969989C32A}"/>
  </hyperlinks>
  <pageMargins left="0.7" right="0.7" top="0.75" bottom="0.75" header="0.3" footer="0.3"/>
  <pageSetup paperSize="9" scale="53"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35377-5700-4BDE-9AE5-15EDA15BEABE}">
  <sheetPr>
    <tabColor theme="0" tint="-0.249977111117893"/>
  </sheetPr>
  <dimension ref="A1:O72"/>
  <sheetViews>
    <sheetView showGridLines="0" zoomScale="80" zoomScaleNormal="80" workbookViewId="0">
      <selection activeCell="D12" sqref="D12"/>
    </sheetView>
  </sheetViews>
  <sheetFormatPr defaultColWidth="10.81640625" defaultRowHeight="14.5" x14ac:dyDescent="0.35"/>
  <cols>
    <col min="1" max="1" width="3.453125" style="413" customWidth="1"/>
    <col min="2" max="4" width="20.1796875" style="413" customWidth="1"/>
    <col min="5" max="10" width="23.54296875" style="413" customWidth="1"/>
    <col min="11" max="11" width="32.54296875" style="413" customWidth="1"/>
    <col min="12" max="12" width="34.1796875" style="413" customWidth="1"/>
    <col min="13" max="13" width="26.81640625" style="413" customWidth="1"/>
    <col min="14" max="14" width="24.54296875" style="413" customWidth="1"/>
    <col min="15" max="15" width="23.1796875" style="413" customWidth="1"/>
    <col min="16" max="16384" width="10.81640625" style="413"/>
  </cols>
  <sheetData>
    <row r="1" spans="1:15" x14ac:dyDescent="0.35">
      <c r="A1" s="104"/>
      <c r="B1" s="104"/>
      <c r="C1" s="104"/>
      <c r="D1" s="104"/>
      <c r="E1" s="104"/>
      <c r="F1" s="104"/>
      <c r="G1" s="104"/>
      <c r="H1" s="104"/>
      <c r="I1" s="104"/>
      <c r="J1" s="104"/>
      <c r="K1" s="104"/>
      <c r="L1" s="104"/>
      <c r="M1" s="104"/>
      <c r="N1" s="104"/>
    </row>
    <row r="2" spans="1:15" x14ac:dyDescent="0.35">
      <c r="A2" s="104"/>
      <c r="B2" s="106"/>
      <c r="C2" s="106"/>
      <c r="D2" s="106"/>
      <c r="E2" s="106"/>
      <c r="F2" s="106"/>
      <c r="G2" s="106"/>
      <c r="H2" s="106"/>
      <c r="I2" s="106"/>
      <c r="J2" s="106"/>
      <c r="M2" s="106"/>
      <c r="N2" s="106"/>
    </row>
    <row r="3" spans="1:15" ht="14.5" customHeight="1" x14ac:dyDescent="0.35">
      <c r="A3" s="104"/>
      <c r="B3" s="106"/>
      <c r="C3" s="106"/>
      <c r="D3" s="106"/>
      <c r="E3" s="106"/>
      <c r="F3" s="106"/>
      <c r="G3" s="106"/>
      <c r="H3" s="106"/>
      <c r="I3" s="144" t="s">
        <v>134</v>
      </c>
      <c r="J3" s="799">
        <f>'09 - Default &amp; Recovery Stat'!H3</f>
        <v>45491</v>
      </c>
      <c r="M3" s="105"/>
      <c r="N3" s="105"/>
      <c r="O3" s="105"/>
    </row>
    <row r="4" spans="1:15" ht="14.5" customHeight="1" x14ac:dyDescent="0.35">
      <c r="A4" s="104"/>
      <c r="B4" s="106"/>
      <c r="C4" s="106"/>
      <c r="D4" s="106"/>
      <c r="E4" s="106"/>
      <c r="F4" s="106"/>
      <c r="G4" s="106"/>
      <c r="H4" s="106"/>
      <c r="I4" s="144" t="s">
        <v>655</v>
      </c>
      <c r="J4" s="799">
        <f>'09 - Default &amp; Recovery Stat'!H4</f>
        <v>45488</v>
      </c>
      <c r="M4" s="105"/>
      <c r="N4" s="105"/>
      <c r="O4" s="105"/>
    </row>
    <row r="5" spans="1:15" ht="14.5" customHeight="1" x14ac:dyDescent="0.35">
      <c r="A5" s="104"/>
      <c r="B5" s="106"/>
      <c r="C5" s="106"/>
      <c r="D5" s="106"/>
      <c r="E5" s="106"/>
      <c r="F5" s="106"/>
      <c r="G5" s="106"/>
      <c r="H5" s="106"/>
      <c r="I5" s="144" t="s">
        <v>94</v>
      </c>
      <c r="J5" s="799">
        <f>'09 - Default &amp; Recovery Stat'!H5</f>
        <v>45491</v>
      </c>
      <c r="M5" s="105"/>
      <c r="N5" s="105"/>
      <c r="O5" s="105"/>
    </row>
    <row r="6" spans="1:15" ht="14.5" customHeight="1" x14ac:dyDescent="0.35">
      <c r="A6" s="104"/>
      <c r="B6" s="106"/>
      <c r="C6" s="106"/>
      <c r="D6" s="106"/>
      <c r="E6" s="106"/>
      <c r="F6" s="106"/>
      <c r="G6" s="106"/>
      <c r="H6" s="106"/>
      <c r="I6" s="144" t="s">
        <v>87</v>
      </c>
      <c r="J6" s="799">
        <f>'09 - Default &amp; Recovery Stat'!H6</f>
        <v>45498</v>
      </c>
      <c r="M6" s="106"/>
      <c r="N6" s="106"/>
      <c r="O6" s="106"/>
    </row>
    <row r="7" spans="1:15" x14ac:dyDescent="0.35">
      <c r="A7" s="104"/>
      <c r="B7" s="106"/>
      <c r="C7" s="106"/>
      <c r="D7" s="106"/>
      <c r="E7" s="106"/>
      <c r="F7" s="106"/>
      <c r="G7" s="106"/>
      <c r="H7" s="106"/>
      <c r="I7" s="106"/>
      <c r="J7" s="106"/>
      <c r="M7" s="106"/>
      <c r="N7" s="106"/>
    </row>
    <row r="8" spans="1:15" x14ac:dyDescent="0.35">
      <c r="A8" s="412"/>
    </row>
    <row r="9" spans="1:15" x14ac:dyDescent="0.35">
      <c r="B9" s="594" t="s">
        <v>553</v>
      </c>
      <c r="C9" s="803"/>
      <c r="D9" s="803"/>
      <c r="E9" s="643"/>
      <c r="F9" s="1011"/>
      <c r="G9" s="644"/>
      <c r="H9" s="1012"/>
      <c r="I9" s="644"/>
      <c r="J9" s="1012"/>
      <c r="K9" s="644"/>
    </row>
    <row r="10" spans="1:15" x14ac:dyDescent="0.35">
      <c r="E10" s="427" t="s">
        <v>455</v>
      </c>
      <c r="F10" s="427"/>
      <c r="G10" s="427" t="s">
        <v>456</v>
      </c>
      <c r="H10" s="427"/>
      <c r="I10" s="427" t="s">
        <v>457</v>
      </c>
      <c r="J10" s="427"/>
      <c r="K10" s="427" t="s">
        <v>458</v>
      </c>
    </row>
    <row r="11" spans="1:15" ht="54.75" customHeight="1" thickBot="1" x14ac:dyDescent="0.4">
      <c r="B11" s="632" t="s">
        <v>95</v>
      </c>
      <c r="C11" s="599" t="s">
        <v>912</v>
      </c>
      <c r="D11" s="599" t="s">
        <v>2521</v>
      </c>
      <c r="E11" s="632" t="s">
        <v>910</v>
      </c>
      <c r="F11" s="599" t="s">
        <v>2522</v>
      </c>
      <c r="G11" s="632" t="s">
        <v>909</v>
      </c>
      <c r="H11" s="599" t="s">
        <v>2523</v>
      </c>
      <c r="I11" s="632" t="s">
        <v>911</v>
      </c>
      <c r="J11" s="599" t="s">
        <v>2524</v>
      </c>
      <c r="K11" s="632" t="s">
        <v>1506</v>
      </c>
      <c r="L11" s="632" t="s">
        <v>1504</v>
      </c>
      <c r="M11" s="632" t="s">
        <v>1505</v>
      </c>
      <c r="N11" s="632" t="s">
        <v>1507</v>
      </c>
      <c r="O11" s="632" t="s">
        <v>1508</v>
      </c>
    </row>
    <row r="12" spans="1:15" ht="15" thickTop="1" x14ac:dyDescent="0.35">
      <c r="A12" s="801"/>
      <c r="B12" s="792">
        <f>'03 - Monthly Asset Follow up'!B17</f>
        <v>45473</v>
      </c>
      <c r="C12" s="801">
        <f>IF($B12=0,"",_xlfn.XLOOKUP($B12,INPUT_DATA!$BQ:$BQ,INPUT_DATA!BR:BR))</f>
        <v>698965879.67999971</v>
      </c>
      <c r="D12" s="801">
        <f>IF($B12=0,"",_xlfn.XLOOKUP($B12,INPUT_DATA!$BQ:$BQ,INPUT_DATA!BS:BS))</f>
        <v>3669</v>
      </c>
      <c r="E12" s="801">
        <f>IF($B12=0,"",_xlfn.XLOOKUP($B12,INPUT_DATA!$BQ:$BQ,INPUT_DATA!BT:BT))</f>
        <v>2195802.83</v>
      </c>
      <c r="F12" s="801">
        <f>IF($B12=0,"",_xlfn.XLOOKUP($B12,INPUT_DATA!$BQ:$BQ,INPUT_DATA!BU:BU))</f>
        <v>15</v>
      </c>
      <c r="G12" s="801">
        <f>IF($B12=0,"",_xlfn.XLOOKUP($B12,INPUT_DATA!$BQ:$BQ,INPUT_DATA!BV:BV))</f>
        <v>125580.36</v>
      </c>
      <c r="H12" s="801">
        <f>IF($B12=0,"",_xlfn.XLOOKUP($B12,INPUT_DATA!$BQ:$BQ,INPUT_DATA!BW:BW))</f>
        <v>3</v>
      </c>
      <c r="I12" s="801">
        <f>IF($B12=0,"",_xlfn.XLOOKUP($B12,INPUT_DATA!$BQ:$BQ,INPUT_DATA!BX:BX))</f>
        <v>0</v>
      </c>
      <c r="J12" s="801">
        <f>IF($B12=0,"",_xlfn.XLOOKUP($B12,INPUT_DATA!$BQ:$BQ,INPUT_DATA!BY:BY))</f>
        <v>1</v>
      </c>
      <c r="K12" s="801">
        <f>IF($B12=0,"",_xlfn.XLOOKUP($B12,INPUT_DATA!$BQ:$BQ,INPUT_DATA!CD:CD))</f>
        <v>0</v>
      </c>
      <c r="L12" s="801">
        <f>IF($B12=0,"",_xlfn.XLOOKUP($B12,INPUT_DATA!$BQ:$BQ,INPUT_DATA!CE:CE))</f>
        <v>399475.56</v>
      </c>
      <c r="M12" s="801">
        <f>IF($B12=0,"",_xlfn.XLOOKUP($B12,INPUT_DATA!$BQ:$BQ,INPUT_DATA!CF:CF))</f>
        <v>3369319.82</v>
      </c>
      <c r="N12" s="801">
        <f>IF($B12=0,"",_xlfn.XLOOKUP($B12,INPUT_DATA!$BQ:$BQ,INPUT_DATA!CG:CG))</f>
        <v>0</v>
      </c>
      <c r="O12" s="801">
        <f>IF($B12=0,"",_xlfn.XLOOKUP($B12,INPUT_DATA!$BQ:$BQ,INPUT_DATA!CH:CH))</f>
        <v>399475.56</v>
      </c>
    </row>
    <row r="13" spans="1:15" x14ac:dyDescent="0.35">
      <c r="B13" s="798">
        <f>'03 - Monthly Asset Follow up'!B18</f>
        <v>45443</v>
      </c>
      <c r="C13" s="430">
        <f>IF($B13=0,"",_xlfn.XLOOKUP($B13,INPUT_DATA!$BQ:$BQ,INPUT_DATA!BR:BR))</f>
        <v>702398532.93000031</v>
      </c>
      <c r="D13" s="430">
        <f>IF($B13=0,"",_xlfn.XLOOKUP($B13,INPUT_DATA!$BQ:$BQ,INPUT_DATA!BS:BS))</f>
        <v>3682</v>
      </c>
      <c r="E13" s="430">
        <f>IF($B13=0,"",_xlfn.XLOOKUP($B13,INPUT_DATA!$BQ:$BQ,INPUT_DATA!BT:BT))</f>
        <v>4355821.4400000004</v>
      </c>
      <c r="F13" s="430">
        <f>IF($B13=0,"",_xlfn.XLOOKUP($B13,INPUT_DATA!$BQ:$BQ,INPUT_DATA!BU:BU))</f>
        <v>22</v>
      </c>
      <c r="G13" s="430">
        <f>IF($B13=0,"",_xlfn.XLOOKUP($B13,INPUT_DATA!$BQ:$BQ,INPUT_DATA!BV:BV))</f>
        <v>87910.75</v>
      </c>
      <c r="H13" s="430">
        <f>IF($B13=0,"",_xlfn.XLOOKUP($B13,INPUT_DATA!$BQ:$BQ,INPUT_DATA!BW:BW))</f>
        <v>2</v>
      </c>
      <c r="I13" s="430">
        <f>IF($B13=0,"",_xlfn.XLOOKUP($B13,INPUT_DATA!$BQ:$BQ,INPUT_DATA!BX:BX))</f>
        <v>0</v>
      </c>
      <c r="J13" s="430">
        <f>IF($B13=0,"",_xlfn.XLOOKUP($B13,INPUT_DATA!$BQ:$BQ,INPUT_DATA!BY:BY))</f>
        <v>0</v>
      </c>
      <c r="K13" s="802">
        <f>IF($B13=0,"",_xlfn.XLOOKUP($B13,INPUT_DATA!$BQ:$BQ,INPUT_DATA!CD:CD))</f>
        <v>0</v>
      </c>
      <c r="L13" s="802">
        <f>IF($B13=0,"",_xlfn.XLOOKUP($B13,INPUT_DATA!$BQ:$BQ,INPUT_DATA!CE:CE))</f>
        <v>0</v>
      </c>
      <c r="M13" s="802">
        <f>IF($B13=0,"",_xlfn.XLOOKUP($B13,INPUT_DATA!$BQ:$BQ,INPUT_DATA!CF:CF))</f>
        <v>3775212.81</v>
      </c>
      <c r="N13" s="802">
        <f>IF($B13=0,"",_xlfn.XLOOKUP($B13,INPUT_DATA!$BQ:$BQ,INPUT_DATA!CG:CG))</f>
        <v>0</v>
      </c>
      <c r="O13" s="802">
        <f>IF($B13=0,"",_xlfn.XLOOKUP($B13,INPUT_DATA!$BQ:$BQ,INPUT_DATA!CH:CH))</f>
        <v>0</v>
      </c>
    </row>
    <row r="14" spans="1:15" x14ac:dyDescent="0.35">
      <c r="B14" s="798">
        <f>'03 - Monthly Asset Follow up'!B19</f>
        <v>45412</v>
      </c>
      <c r="C14" s="430">
        <f>IF($B14=0,"",_xlfn.XLOOKUP($B14,INPUT_DATA!$BQ:$BQ,INPUT_DATA!BR:BR))</f>
        <v>706600362.5200007</v>
      </c>
      <c r="D14" s="430">
        <f>IF($B14=0,"",_xlfn.XLOOKUP($B14,INPUT_DATA!$BQ:$BQ,INPUT_DATA!BS:BS))</f>
        <v>3697</v>
      </c>
      <c r="E14" s="430">
        <f>IF($B14=0,"",_xlfn.XLOOKUP($B14,INPUT_DATA!$BQ:$BQ,INPUT_DATA!BT:BT))</f>
        <v>5711069.3900000015</v>
      </c>
      <c r="F14" s="430">
        <f>IF($B14=0,"",_xlfn.XLOOKUP($B14,INPUT_DATA!$BQ:$BQ,INPUT_DATA!BU:BU))</f>
        <v>31</v>
      </c>
      <c r="G14" s="430">
        <f>IF($B14=0,"",_xlfn.XLOOKUP($B14,INPUT_DATA!$BQ:$BQ,INPUT_DATA!BV:BV))</f>
        <v>3382.05</v>
      </c>
      <c r="H14" s="430">
        <f>IF($B14=0,"",_xlfn.XLOOKUP($B14,INPUT_DATA!$BQ:$BQ,INPUT_DATA!BW:BW))</f>
        <v>1</v>
      </c>
      <c r="I14" s="430">
        <f>IF($B14=0,"",_xlfn.XLOOKUP($B14,INPUT_DATA!$BQ:$BQ,INPUT_DATA!BX:BX))</f>
        <v>0</v>
      </c>
      <c r="J14" s="430">
        <f>IF($B14=0,"",_xlfn.XLOOKUP($B14,INPUT_DATA!$BQ:$BQ,INPUT_DATA!BY:BY))</f>
        <v>0</v>
      </c>
      <c r="K14" s="802">
        <f>IF($B14=0,"",_xlfn.XLOOKUP($B14,INPUT_DATA!$BQ:$BQ,INPUT_DATA!CD:CD))</f>
        <v>0</v>
      </c>
      <c r="L14" s="802">
        <f>IF($B14=0,"",_xlfn.XLOOKUP($B14,INPUT_DATA!$BQ:$BQ,INPUT_DATA!CE:CE))</f>
        <v>0</v>
      </c>
      <c r="M14" s="802">
        <f>IF($B14=0,"",_xlfn.XLOOKUP($B14,INPUT_DATA!$BQ:$BQ,INPUT_DATA!CF:CF))</f>
        <v>3780146.77</v>
      </c>
      <c r="N14" s="802">
        <f>IF($B14=0,"",_xlfn.XLOOKUP($B14,INPUT_DATA!$BQ:$BQ,INPUT_DATA!CG:CG))</f>
        <v>0</v>
      </c>
      <c r="O14" s="802">
        <f>IF($B14=0,"",_xlfn.XLOOKUP($B14,INPUT_DATA!$BQ:$BQ,INPUT_DATA!CH:CH))</f>
        <v>0</v>
      </c>
    </row>
    <row r="15" spans="1:15" x14ac:dyDescent="0.35">
      <c r="B15" s="798">
        <f>'03 - Monthly Asset Follow up'!B20</f>
        <v>45382</v>
      </c>
      <c r="C15" s="430">
        <f>IF($B15=0,"",_xlfn.XLOOKUP($B15,INPUT_DATA!$BQ:$BQ,INPUT_DATA!BR:BR))</f>
        <v>714031765.05999994</v>
      </c>
      <c r="D15" s="430">
        <f>IF($B15=0,"",_xlfn.XLOOKUP($B15,INPUT_DATA!$BQ:$BQ,INPUT_DATA!BS:BS))</f>
        <v>3720</v>
      </c>
      <c r="E15" s="430">
        <f>IF($B15=0,"",_xlfn.XLOOKUP($B15,INPUT_DATA!$BQ:$BQ,INPUT_DATA!BT:BT))</f>
        <v>2648673.5900000003</v>
      </c>
      <c r="F15" s="430">
        <f>IF($B15=0,"",_xlfn.XLOOKUP($B15,INPUT_DATA!$BQ:$BQ,INPUT_DATA!BU:BU))</f>
        <v>19</v>
      </c>
      <c r="G15" s="430">
        <f>IF($B15=0,"",_xlfn.XLOOKUP($B15,INPUT_DATA!$BQ:$BQ,INPUT_DATA!BV:BV))</f>
        <v>998843.09</v>
      </c>
      <c r="H15" s="430">
        <f>IF($B15=0,"",_xlfn.XLOOKUP($B15,INPUT_DATA!$BQ:$BQ,INPUT_DATA!BW:BW))</f>
        <v>5</v>
      </c>
      <c r="I15" s="430">
        <f>IF($B15=0,"",_xlfn.XLOOKUP($B15,INPUT_DATA!$BQ:$BQ,INPUT_DATA!BX:BX))</f>
        <v>105122.68000000002</v>
      </c>
      <c r="J15" s="430">
        <f>IF($B15=0,"",_xlfn.XLOOKUP($B15,INPUT_DATA!$BQ:$BQ,INPUT_DATA!BY:BY))</f>
        <v>4</v>
      </c>
      <c r="K15" s="802">
        <f>IF($B15=0,"",_xlfn.XLOOKUP($B15,INPUT_DATA!$BQ:$BQ,INPUT_DATA!CD:CD))</f>
        <v>0</v>
      </c>
      <c r="L15" s="802">
        <f>IF($B15=0,"",_xlfn.XLOOKUP($B15,INPUT_DATA!$BQ:$BQ,INPUT_DATA!CE:CE))</f>
        <v>405892.99</v>
      </c>
      <c r="M15" s="802">
        <f>IF($B15=0,"",_xlfn.XLOOKUP($B15,INPUT_DATA!$BQ:$BQ,INPUT_DATA!CF:CF))</f>
        <v>3418102.59</v>
      </c>
      <c r="N15" s="802">
        <f>IF($B15=0,"",_xlfn.XLOOKUP($B15,INPUT_DATA!$BQ:$BQ,INPUT_DATA!CG:CG))</f>
        <v>0</v>
      </c>
      <c r="O15" s="802">
        <f>IF($B15=0,"",_xlfn.XLOOKUP($B15,INPUT_DATA!$BQ:$BQ,INPUT_DATA!CH:CH))</f>
        <v>405892.99</v>
      </c>
    </row>
    <row r="16" spans="1:15" x14ac:dyDescent="0.35">
      <c r="B16" s="798">
        <f>'03 - Monthly Asset Follow up'!B21</f>
        <v>45351</v>
      </c>
      <c r="C16" s="430">
        <f>IF($B16=0,"",_xlfn.XLOOKUP($B16,INPUT_DATA!$BQ:$BQ,INPUT_DATA!BR:BR))</f>
        <v>719723249.09000003</v>
      </c>
      <c r="D16" s="430">
        <f>IF($B16=0,"",_xlfn.XLOOKUP($B16,INPUT_DATA!$BQ:$BQ,INPUT_DATA!BS:BS))</f>
        <v>3739</v>
      </c>
      <c r="E16" s="430">
        <f>IF($B16=0,"",_xlfn.XLOOKUP($B16,INPUT_DATA!$BQ:$BQ,INPUT_DATA!BT:BT))</f>
        <v>3474341.62</v>
      </c>
      <c r="F16" s="430">
        <f>IF($B16=0,"",_xlfn.XLOOKUP($B16,INPUT_DATA!$BQ:$BQ,INPUT_DATA!BU:BU))</f>
        <v>19</v>
      </c>
      <c r="G16" s="430">
        <f>IF($B16=0,"",_xlfn.XLOOKUP($B16,INPUT_DATA!$BQ:$BQ,INPUT_DATA!BV:BV))</f>
        <v>709984.85</v>
      </c>
      <c r="H16" s="430">
        <f>IF($B16=0,"",_xlfn.XLOOKUP($B16,INPUT_DATA!$BQ:$BQ,INPUT_DATA!BW:BW))</f>
        <v>8</v>
      </c>
      <c r="I16" s="430">
        <f>IF($B16=0,"",_xlfn.XLOOKUP($B16,INPUT_DATA!$BQ:$BQ,INPUT_DATA!BX:BX))</f>
        <v>177091.55</v>
      </c>
      <c r="J16" s="430">
        <f>IF($B16=0,"",_xlfn.XLOOKUP($B16,INPUT_DATA!$BQ:$BQ,INPUT_DATA!BY:BY))</f>
        <v>2</v>
      </c>
      <c r="K16" s="802">
        <f>IF($B16=0,"",_xlfn.XLOOKUP($B16,INPUT_DATA!$BQ:$BQ,INPUT_DATA!CD:CD))</f>
        <v>0</v>
      </c>
      <c r="L16" s="802">
        <f>IF($B16=0,"",_xlfn.XLOOKUP($B16,INPUT_DATA!$BQ:$BQ,INPUT_DATA!CE:CE))</f>
        <v>0</v>
      </c>
      <c r="M16" s="802">
        <f>IF($B16=0,"",_xlfn.XLOOKUP($B16,INPUT_DATA!$BQ:$BQ,INPUT_DATA!CF:CF))</f>
        <v>3832111.27</v>
      </c>
      <c r="N16" s="802">
        <f>IF($B16=0,"",_xlfn.XLOOKUP($B16,INPUT_DATA!$BQ:$BQ,INPUT_DATA!CG:CG))</f>
        <v>0</v>
      </c>
      <c r="O16" s="802">
        <f>IF($B16=0,"",_xlfn.XLOOKUP($B16,INPUT_DATA!$BQ:$BQ,INPUT_DATA!CH:CH))</f>
        <v>0</v>
      </c>
    </row>
    <row r="17" spans="2:15" x14ac:dyDescent="0.35">
      <c r="B17" s="798">
        <f>'03 - Monthly Asset Follow up'!B22</f>
        <v>45322</v>
      </c>
      <c r="C17" s="430">
        <f>IF($B17=0,"",_xlfn.XLOOKUP($B17,INPUT_DATA!$BQ:$BQ,INPUT_DATA!BR:BR))</f>
        <v>726618592.59000003</v>
      </c>
      <c r="D17" s="430">
        <f>IF($B17=0,"",_xlfn.XLOOKUP($B17,INPUT_DATA!$BQ:$BQ,INPUT_DATA!BS:BS))</f>
        <v>3767</v>
      </c>
      <c r="E17" s="430">
        <f>IF($B17=0,"",_xlfn.XLOOKUP($B17,INPUT_DATA!$BQ:$BQ,INPUT_DATA!BT:BT))</f>
        <v>4811753.3499999996</v>
      </c>
      <c r="F17" s="430">
        <f>IF($B17=0,"",_xlfn.XLOOKUP($B17,INPUT_DATA!$BQ:$BQ,INPUT_DATA!BU:BU))</f>
        <v>19</v>
      </c>
      <c r="G17" s="430">
        <f>IF($B17=0,"",_xlfn.XLOOKUP($B17,INPUT_DATA!$BQ:$BQ,INPUT_DATA!BV:BV))</f>
        <v>1267152.06</v>
      </c>
      <c r="H17" s="430">
        <f>IF($B17=0,"",_xlfn.XLOOKUP($B17,INPUT_DATA!$BQ:$BQ,INPUT_DATA!BW:BW))</f>
        <v>7</v>
      </c>
      <c r="I17" s="430">
        <f>IF($B17=0,"",_xlfn.XLOOKUP($B17,INPUT_DATA!$BQ:$BQ,INPUT_DATA!BX:BX))</f>
        <v>0</v>
      </c>
      <c r="J17" s="430">
        <f>IF($B17=0,"",_xlfn.XLOOKUP($B17,INPUT_DATA!$BQ:$BQ,INPUT_DATA!BY:BY))</f>
        <v>0</v>
      </c>
      <c r="K17" s="802">
        <f>IF($B17=0,"",_xlfn.XLOOKUP($B17,INPUT_DATA!$BQ:$BQ,INPUT_DATA!CD:CD))</f>
        <v>0</v>
      </c>
      <c r="L17" s="802">
        <f>IF($B17=0,"",_xlfn.XLOOKUP($B17,INPUT_DATA!$BQ:$BQ,INPUT_DATA!CE:CE))</f>
        <v>0</v>
      </c>
      <c r="M17" s="802">
        <f>IF($B17=0,"",_xlfn.XLOOKUP($B17,INPUT_DATA!$BQ:$BQ,INPUT_DATA!CF:CF))</f>
        <v>3837031.38</v>
      </c>
      <c r="N17" s="802">
        <f>IF($B17=0,"",_xlfn.XLOOKUP($B17,INPUT_DATA!$BQ:$BQ,INPUT_DATA!CG:CG))</f>
        <v>0</v>
      </c>
      <c r="O17" s="802">
        <f>IF($B17=0,"",_xlfn.XLOOKUP($B17,INPUT_DATA!$BQ:$BQ,INPUT_DATA!CH:CH))</f>
        <v>0</v>
      </c>
    </row>
    <row r="18" spans="2:15" x14ac:dyDescent="0.35">
      <c r="B18" s="798">
        <f>'03 - Monthly Asset Follow up'!B23</f>
        <v>45291</v>
      </c>
      <c r="C18" s="430">
        <f>IF($B18=0,"",_xlfn.XLOOKUP($B18,INPUT_DATA!$BQ:$BQ,INPUT_DATA!BR:BR))</f>
        <v>735712836.07000005</v>
      </c>
      <c r="D18" s="430">
        <f>IF($B18=0,"",_xlfn.XLOOKUP($B18,INPUT_DATA!$BQ:$BQ,INPUT_DATA!BS:BS))</f>
        <v>3800</v>
      </c>
      <c r="E18" s="430">
        <f>IF($B18=0,"",_xlfn.XLOOKUP($B18,INPUT_DATA!$BQ:$BQ,INPUT_DATA!BT:BT))</f>
        <v>2818782.74</v>
      </c>
      <c r="F18" s="430">
        <f>IF($B18=0,"",_xlfn.XLOOKUP($B18,INPUT_DATA!$BQ:$BQ,INPUT_DATA!BU:BU))</f>
        <v>16</v>
      </c>
      <c r="G18" s="430">
        <f>IF($B18=0,"",_xlfn.XLOOKUP($B18,INPUT_DATA!$BQ:$BQ,INPUT_DATA!BV:BV))</f>
        <v>654738.47</v>
      </c>
      <c r="H18" s="430">
        <f>IF($B18=0,"",_xlfn.XLOOKUP($B18,INPUT_DATA!$BQ:$BQ,INPUT_DATA!BW:BW))</f>
        <v>2</v>
      </c>
      <c r="I18" s="430">
        <f>IF($B18=0,"",_xlfn.XLOOKUP($B18,INPUT_DATA!$BQ:$BQ,INPUT_DATA!BX:BX))</f>
        <v>0</v>
      </c>
      <c r="J18" s="430">
        <f>IF($B18=0,"",_xlfn.XLOOKUP($B18,INPUT_DATA!$BQ:$BQ,INPUT_DATA!BY:BY))</f>
        <v>0</v>
      </c>
      <c r="K18" s="802">
        <f>IF($B18=0,"",_xlfn.XLOOKUP($B18,INPUT_DATA!$BQ:$BQ,INPUT_DATA!CD:CD))</f>
        <v>0</v>
      </c>
      <c r="L18" s="802">
        <f>IF($B18=0,"",_xlfn.XLOOKUP($B18,INPUT_DATA!$BQ:$BQ,INPUT_DATA!CE:CE))</f>
        <v>1717.46</v>
      </c>
      <c r="M18" s="802">
        <f>IF($B18=0,"",_xlfn.XLOOKUP($B18,INPUT_DATA!$BQ:$BQ,INPUT_DATA!CF:CF))</f>
        <v>3879102.52</v>
      </c>
      <c r="N18" s="802">
        <f>IF($B18=0,"",_xlfn.XLOOKUP($B18,INPUT_DATA!$BQ:$BQ,INPUT_DATA!CG:CG))</f>
        <v>0</v>
      </c>
      <c r="O18" s="802">
        <f>IF($B18=0,"",_xlfn.XLOOKUP($B18,INPUT_DATA!$BQ:$BQ,INPUT_DATA!CH:CH))</f>
        <v>1717.46</v>
      </c>
    </row>
    <row r="19" spans="2:15" x14ac:dyDescent="0.35">
      <c r="B19" s="798">
        <f>'03 - Monthly Asset Follow up'!B24</f>
        <v>45260</v>
      </c>
      <c r="C19" s="430">
        <f>IF($B19=0,"",_xlfn.XLOOKUP($B19,INPUT_DATA!$BQ:$BQ,INPUT_DATA!BR:BR))</f>
        <v>742196949.74000001</v>
      </c>
      <c r="D19" s="430">
        <f>IF($B19=0,"",_xlfn.XLOOKUP($B19,INPUT_DATA!$BQ:$BQ,INPUT_DATA!BS:BS))</f>
        <v>3832</v>
      </c>
      <c r="E19" s="430">
        <f>IF($B19=0,"",_xlfn.XLOOKUP($B19,INPUT_DATA!$BQ:$BQ,INPUT_DATA!BT:BT))</f>
        <v>1801102.29</v>
      </c>
      <c r="F19" s="430">
        <f>IF($B19=0,"",_xlfn.XLOOKUP($B19,INPUT_DATA!$BQ:$BQ,INPUT_DATA!BU:BU))</f>
        <v>10</v>
      </c>
      <c r="G19" s="430">
        <f>IF($B19=0,"",_xlfn.XLOOKUP($B19,INPUT_DATA!$BQ:$BQ,INPUT_DATA!BV:BV))</f>
        <v>801737.43</v>
      </c>
      <c r="H19" s="430">
        <f>IF($B19=0,"",_xlfn.XLOOKUP($B19,INPUT_DATA!$BQ:$BQ,INPUT_DATA!BW:BW))</f>
        <v>5</v>
      </c>
      <c r="I19" s="430">
        <f>IF($B19=0,"",_xlfn.XLOOKUP($B19,INPUT_DATA!$BQ:$BQ,INPUT_DATA!BX:BX))</f>
        <v>0</v>
      </c>
      <c r="J19" s="430">
        <f>IF($B19=0,"",_xlfn.XLOOKUP($B19,INPUT_DATA!$BQ:$BQ,INPUT_DATA!BY:BY))</f>
        <v>0</v>
      </c>
      <c r="K19" s="802">
        <f>IF($B19=0,"",_xlfn.XLOOKUP($B19,INPUT_DATA!$BQ:$BQ,INPUT_DATA!CD:CD))</f>
        <v>0</v>
      </c>
      <c r="L19" s="802">
        <f>IF($B19=0,"",_xlfn.XLOOKUP($B19,INPUT_DATA!$BQ:$BQ,INPUT_DATA!CE:CE))</f>
        <v>0</v>
      </c>
      <c r="M19" s="802">
        <f>IF($B19=0,"",_xlfn.XLOOKUP($B19,INPUT_DATA!$BQ:$BQ,INPUT_DATA!CF:CF))</f>
        <v>3888899.28</v>
      </c>
      <c r="N19" s="802">
        <f>IF($B19=0,"",_xlfn.XLOOKUP($B19,INPUT_DATA!$BQ:$BQ,INPUT_DATA!CG:CG))</f>
        <v>0</v>
      </c>
      <c r="O19" s="802">
        <f>IF($B19=0,"",_xlfn.XLOOKUP($B19,INPUT_DATA!$BQ:$BQ,INPUT_DATA!CH:CH))</f>
        <v>0</v>
      </c>
    </row>
    <row r="20" spans="2:15" x14ac:dyDescent="0.35">
      <c r="B20" s="798">
        <f>'03 - Monthly Asset Follow up'!B25</f>
        <v>45230</v>
      </c>
      <c r="C20" s="430">
        <f>IF($B20=0,"",_xlfn.XLOOKUP($B20,INPUT_DATA!$BQ:$BQ,INPUT_DATA!BR:BR))</f>
        <v>751085014.37</v>
      </c>
      <c r="D20" s="430">
        <f>IF($B20=0,"",_xlfn.XLOOKUP($B20,INPUT_DATA!$BQ:$BQ,INPUT_DATA!BS:BS))</f>
        <v>3847</v>
      </c>
      <c r="E20" s="430">
        <f>IF($B20=0,"",_xlfn.XLOOKUP($B20,INPUT_DATA!$BQ:$BQ,INPUT_DATA!BT:BT))</f>
        <v>0</v>
      </c>
      <c r="F20" s="430">
        <f>IF($B20=0,"",_xlfn.XLOOKUP($B20,INPUT_DATA!$BQ:$BQ,INPUT_DATA!BU:BU))</f>
        <v>0</v>
      </c>
      <c r="G20" s="430">
        <f>IF($B20=0,"",_xlfn.XLOOKUP($B20,INPUT_DATA!$BQ:$BQ,INPUT_DATA!BV:BV))</f>
        <v>0</v>
      </c>
      <c r="H20" s="430">
        <f>IF($B20=0,"",_xlfn.XLOOKUP($B20,INPUT_DATA!$BQ:$BQ,INPUT_DATA!BW:BW))</f>
        <v>0</v>
      </c>
      <c r="I20" s="430">
        <f>IF($B20=0,"",_xlfn.XLOOKUP($B20,INPUT_DATA!$BQ:$BQ,INPUT_DATA!BX:BX))</f>
        <v>0</v>
      </c>
      <c r="J20" s="430">
        <f>IF($B20=0,"",_xlfn.XLOOKUP($B20,INPUT_DATA!$BQ:$BQ,INPUT_DATA!BY:BY))</f>
        <v>0</v>
      </c>
      <c r="K20" s="802">
        <f>IF($B20=0,"",_xlfn.XLOOKUP($B20,INPUT_DATA!$BQ:$BQ,INPUT_DATA!CD:CD))</f>
        <v>0</v>
      </c>
      <c r="L20" s="802">
        <f>IF($B20=0,"",_xlfn.XLOOKUP($B20,INPUT_DATA!$BQ:$BQ,INPUT_DATA!CE:CE))</f>
        <v>0</v>
      </c>
      <c r="M20" s="802">
        <f>IF($B20=0,"",_xlfn.XLOOKUP($B20,INPUT_DATA!$BQ:$BQ,INPUT_DATA!CF:CF))</f>
        <v>3893805.59</v>
      </c>
      <c r="N20" s="802">
        <f>IF($B20=0,"",_xlfn.XLOOKUP($B20,INPUT_DATA!$BQ:$BQ,INPUT_DATA!CG:CG))</f>
        <v>0</v>
      </c>
      <c r="O20" s="802">
        <f>IF($B20=0,"",_xlfn.XLOOKUP($B20,INPUT_DATA!$BQ:$BQ,INPUT_DATA!CH:CH))</f>
        <v>0</v>
      </c>
    </row>
    <row r="21" spans="2:15" x14ac:dyDescent="0.35">
      <c r="B21" s="798">
        <f>'03 - Monthly Asset Follow up'!B26</f>
        <v>0</v>
      </c>
      <c r="C21" s="430" t="str">
        <f>IF($B21=0,"",_xlfn.XLOOKUP($B21,INPUT_DATA!$BQ:$BQ,INPUT_DATA!BR:BR))</f>
        <v/>
      </c>
      <c r="D21" s="430" t="str">
        <f>IF($B21=0,"",_xlfn.XLOOKUP($B21,INPUT_DATA!$BQ:$BQ,INPUT_DATA!BS:BS))</f>
        <v/>
      </c>
      <c r="E21" s="430" t="str">
        <f>IF($B21=0,"",_xlfn.XLOOKUP($B21,INPUT_DATA!$BQ:$BQ,INPUT_DATA!BT:BT))</f>
        <v/>
      </c>
      <c r="F21" s="430" t="str">
        <f>IF($B21=0,"",_xlfn.XLOOKUP($B21,INPUT_DATA!$BQ:$BQ,INPUT_DATA!BU:BU))</f>
        <v/>
      </c>
      <c r="G21" s="430" t="str">
        <f>IF($B21=0,"",_xlfn.XLOOKUP($B21,INPUT_DATA!$BQ:$BQ,INPUT_DATA!BV:BV))</f>
        <v/>
      </c>
      <c r="H21" s="430" t="str">
        <f>IF($B21=0,"",_xlfn.XLOOKUP($B21,INPUT_DATA!$BQ:$BQ,INPUT_DATA!BW:BW))</f>
        <v/>
      </c>
      <c r="I21" s="430" t="str">
        <f>IF($B21=0,"",_xlfn.XLOOKUP($B21,INPUT_DATA!$BQ:$BQ,INPUT_DATA!BX:BX))</f>
        <v/>
      </c>
      <c r="J21" s="430" t="str">
        <f>IF($B21=0,"",_xlfn.XLOOKUP($B21,INPUT_DATA!$BQ:$BQ,INPUT_DATA!BY:BY))</f>
        <v/>
      </c>
      <c r="K21" s="802" t="str">
        <f>IF($B21=0,"",_xlfn.XLOOKUP($B21,INPUT_DATA!$BQ:$BQ,INPUT_DATA!CD:CD))</f>
        <v/>
      </c>
      <c r="L21" s="802" t="str">
        <f>IF($B21=0,"",_xlfn.XLOOKUP($B21,INPUT_DATA!$BQ:$BQ,INPUT_DATA!CE:CE))</f>
        <v/>
      </c>
      <c r="M21" s="802" t="str">
        <f>IF($B21=0,"",_xlfn.XLOOKUP($B21,INPUT_DATA!$BQ:$BQ,INPUT_DATA!CF:CF))</f>
        <v/>
      </c>
      <c r="N21" s="802" t="str">
        <f>IF($B21=0,"",_xlfn.XLOOKUP($B21,INPUT_DATA!$BQ:$BQ,INPUT_DATA!CG:CG))</f>
        <v/>
      </c>
      <c r="O21" s="802" t="str">
        <f>IF($B21=0,"",_xlfn.XLOOKUP($B21,INPUT_DATA!$BQ:$BQ,INPUT_DATA!CH:CH))</f>
        <v/>
      </c>
    </row>
    <row r="22" spans="2:15" x14ac:dyDescent="0.35">
      <c r="B22" s="798">
        <f>'03 - Monthly Asset Follow up'!B27</f>
        <v>0</v>
      </c>
      <c r="C22" s="430" t="str">
        <f>IF($B22=0,"",_xlfn.XLOOKUP($B22,INPUT_DATA!$BQ:$BQ,INPUT_DATA!BR:BR))</f>
        <v/>
      </c>
      <c r="D22" s="430" t="str">
        <f>IF($B22=0,"",_xlfn.XLOOKUP($B22,INPUT_DATA!$BQ:$BQ,INPUT_DATA!BS:BS))</f>
        <v/>
      </c>
      <c r="E22" s="430" t="str">
        <f>IF($B22=0,"",_xlfn.XLOOKUP($B22,INPUT_DATA!$BQ:$BQ,INPUT_DATA!BT:BT))</f>
        <v/>
      </c>
      <c r="F22" s="430" t="str">
        <f>IF($B22=0,"",_xlfn.XLOOKUP($B22,INPUT_DATA!$BQ:$BQ,INPUT_DATA!BU:BU))</f>
        <v/>
      </c>
      <c r="G22" s="430" t="str">
        <f>IF($B22=0,"",_xlfn.XLOOKUP($B22,INPUT_DATA!$BQ:$BQ,INPUT_DATA!BV:BV))</f>
        <v/>
      </c>
      <c r="H22" s="430" t="str">
        <f>IF($B22=0,"",_xlfn.XLOOKUP($B22,INPUT_DATA!$BQ:$BQ,INPUT_DATA!BW:BW))</f>
        <v/>
      </c>
      <c r="I22" s="430" t="str">
        <f>IF($B22=0,"",_xlfn.XLOOKUP($B22,INPUT_DATA!$BQ:$BQ,INPUT_DATA!BX:BX))</f>
        <v/>
      </c>
      <c r="J22" s="430" t="str">
        <f>IF($B22=0,"",_xlfn.XLOOKUP($B22,INPUT_DATA!$BQ:$BQ,INPUT_DATA!BY:BY))</f>
        <v/>
      </c>
      <c r="K22" s="802" t="str">
        <f>IF($B22=0,"",_xlfn.XLOOKUP($B22,INPUT_DATA!$BQ:$BQ,INPUT_DATA!CD:CD))</f>
        <v/>
      </c>
      <c r="L22" s="802" t="str">
        <f>IF($B22=0,"",_xlfn.XLOOKUP($B22,INPUT_DATA!$BQ:$BQ,INPUT_DATA!CE:CE))</f>
        <v/>
      </c>
      <c r="M22" s="802" t="str">
        <f>IF($B22=0,"",_xlfn.XLOOKUP($B22,INPUT_DATA!$BQ:$BQ,INPUT_DATA!CF:CF))</f>
        <v/>
      </c>
      <c r="N22" s="802" t="str">
        <f>IF($B22=0,"",_xlfn.XLOOKUP($B22,INPUT_DATA!$BQ:$BQ,INPUT_DATA!CG:CG))</f>
        <v/>
      </c>
      <c r="O22" s="802" t="str">
        <f>IF($B22=0,"",_xlfn.XLOOKUP($B22,INPUT_DATA!$BQ:$BQ,INPUT_DATA!CH:CH))</f>
        <v/>
      </c>
    </row>
    <row r="23" spans="2:15" x14ac:dyDescent="0.35">
      <c r="B23" s="798">
        <f>'03 - Monthly Asset Follow up'!B28</f>
        <v>0</v>
      </c>
      <c r="C23" s="430" t="str">
        <f>IF($B23=0,"",_xlfn.XLOOKUP($B23,INPUT_DATA!$BQ:$BQ,INPUT_DATA!BR:BR))</f>
        <v/>
      </c>
      <c r="D23" s="430" t="str">
        <f>IF($B23=0,"",_xlfn.XLOOKUP($B23,INPUT_DATA!$BQ:$BQ,INPUT_DATA!BS:BS))</f>
        <v/>
      </c>
      <c r="E23" s="430" t="str">
        <f>IF($B23=0,"",_xlfn.XLOOKUP($B23,INPUT_DATA!$BQ:$BQ,INPUT_DATA!BT:BT))</f>
        <v/>
      </c>
      <c r="F23" s="430" t="str">
        <f>IF($B23=0,"",_xlfn.XLOOKUP($B23,INPUT_DATA!$BQ:$BQ,INPUT_DATA!BU:BU))</f>
        <v/>
      </c>
      <c r="G23" s="430" t="str">
        <f>IF($B23=0,"",_xlfn.XLOOKUP($B23,INPUT_DATA!$BQ:$BQ,INPUT_DATA!BV:BV))</f>
        <v/>
      </c>
      <c r="H23" s="430" t="str">
        <f>IF($B23=0,"",_xlfn.XLOOKUP($B23,INPUT_DATA!$BQ:$BQ,INPUT_DATA!BW:BW))</f>
        <v/>
      </c>
      <c r="I23" s="430" t="str">
        <f>IF($B23=0,"",_xlfn.XLOOKUP($B23,INPUT_DATA!$BQ:$BQ,INPUT_DATA!BX:BX))</f>
        <v/>
      </c>
      <c r="J23" s="430" t="str">
        <f>IF($B23=0,"",_xlfn.XLOOKUP($B23,INPUT_DATA!$BQ:$BQ,INPUT_DATA!BY:BY))</f>
        <v/>
      </c>
      <c r="K23" s="802" t="str">
        <f>IF($B23=0,"",_xlfn.XLOOKUP($B23,INPUT_DATA!$BQ:$BQ,INPUT_DATA!CD:CD))</f>
        <v/>
      </c>
      <c r="L23" s="802" t="str">
        <f>IF($B23=0,"",_xlfn.XLOOKUP($B23,INPUT_DATA!$BQ:$BQ,INPUT_DATA!CE:CE))</f>
        <v/>
      </c>
      <c r="M23" s="802" t="str">
        <f>IF($B23=0,"",_xlfn.XLOOKUP($B23,INPUT_DATA!$BQ:$BQ,INPUT_DATA!CF:CF))</f>
        <v/>
      </c>
      <c r="N23" s="802" t="str">
        <f>IF($B23=0,"",_xlfn.XLOOKUP($B23,INPUT_DATA!$BQ:$BQ,INPUT_DATA!CG:CG))</f>
        <v/>
      </c>
      <c r="O23" s="802" t="str">
        <f>IF($B23=0,"",_xlfn.XLOOKUP($B23,INPUT_DATA!$BQ:$BQ,INPUT_DATA!CH:CH))</f>
        <v/>
      </c>
    </row>
    <row r="24" spans="2:15" x14ac:dyDescent="0.35">
      <c r="B24" s="798">
        <f>'03 - Monthly Asset Follow up'!B29</f>
        <v>0</v>
      </c>
      <c r="C24" s="430" t="str">
        <f>IF($B24=0,"",_xlfn.XLOOKUP($B24,INPUT_DATA!$BQ:$BQ,INPUT_DATA!BR:BR))</f>
        <v/>
      </c>
      <c r="D24" s="430" t="str">
        <f>IF($B24=0,"",_xlfn.XLOOKUP($B24,INPUT_DATA!$BQ:$BQ,INPUT_DATA!BS:BS))</f>
        <v/>
      </c>
      <c r="E24" s="430" t="str">
        <f>IF($B24=0,"",_xlfn.XLOOKUP($B24,INPUT_DATA!$BQ:$BQ,INPUT_DATA!BT:BT))</f>
        <v/>
      </c>
      <c r="F24" s="430" t="str">
        <f>IF($B24=0,"",_xlfn.XLOOKUP($B24,INPUT_DATA!$BQ:$BQ,INPUT_DATA!BU:BU))</f>
        <v/>
      </c>
      <c r="G24" s="430" t="str">
        <f>IF($B24=0,"",_xlfn.XLOOKUP($B24,INPUT_DATA!$BQ:$BQ,INPUT_DATA!BV:BV))</f>
        <v/>
      </c>
      <c r="H24" s="430" t="str">
        <f>IF($B24=0,"",_xlfn.XLOOKUP($B24,INPUT_DATA!$BQ:$BQ,INPUT_DATA!BW:BW))</f>
        <v/>
      </c>
      <c r="I24" s="430" t="str">
        <f>IF($B24=0,"",_xlfn.XLOOKUP($B24,INPUT_DATA!$BQ:$BQ,INPUT_DATA!BX:BX))</f>
        <v/>
      </c>
      <c r="J24" s="430" t="str">
        <f>IF($B24=0,"",_xlfn.XLOOKUP($B24,INPUT_DATA!$BQ:$BQ,INPUT_DATA!BY:BY))</f>
        <v/>
      </c>
      <c r="K24" s="802" t="str">
        <f>IF($B24=0,"",_xlfn.XLOOKUP($B24,INPUT_DATA!$BQ:$BQ,INPUT_DATA!CD:CD))</f>
        <v/>
      </c>
      <c r="L24" s="802" t="str">
        <f>IF($B24=0,"",_xlfn.XLOOKUP($B24,INPUT_DATA!$BQ:$BQ,INPUT_DATA!CE:CE))</f>
        <v/>
      </c>
      <c r="M24" s="802" t="str">
        <f>IF($B24=0,"",_xlfn.XLOOKUP($B24,INPUT_DATA!$BQ:$BQ,INPUT_DATA!CF:CF))</f>
        <v/>
      </c>
      <c r="N24" s="802" t="str">
        <f>IF($B24=0,"",_xlfn.XLOOKUP($B24,INPUT_DATA!$BQ:$BQ,INPUT_DATA!CG:CG))</f>
        <v/>
      </c>
      <c r="O24" s="802" t="str">
        <f>IF($B24=0,"",_xlfn.XLOOKUP($B24,INPUT_DATA!$BQ:$BQ,INPUT_DATA!CH:CH))</f>
        <v/>
      </c>
    </row>
    <row r="25" spans="2:15" x14ac:dyDescent="0.35">
      <c r="B25" s="798">
        <f>'03 - Monthly Asset Follow up'!B30</f>
        <v>0</v>
      </c>
      <c r="C25" s="430" t="str">
        <f>IF($B25=0,"",_xlfn.XLOOKUP($B25,INPUT_DATA!$BQ:$BQ,INPUT_DATA!BR:BR))</f>
        <v/>
      </c>
      <c r="D25" s="430" t="str">
        <f>IF($B25=0,"",_xlfn.XLOOKUP($B25,INPUT_DATA!$BQ:$BQ,INPUT_DATA!BS:BS))</f>
        <v/>
      </c>
      <c r="E25" s="430" t="str">
        <f>IF($B25=0,"",_xlfn.XLOOKUP($B25,INPUT_DATA!$BQ:$BQ,INPUT_DATA!BT:BT))</f>
        <v/>
      </c>
      <c r="F25" s="430" t="str">
        <f>IF($B25=0,"",_xlfn.XLOOKUP($B25,INPUT_DATA!$BQ:$BQ,INPUT_DATA!BU:BU))</f>
        <v/>
      </c>
      <c r="G25" s="430" t="str">
        <f>IF($B25=0,"",_xlfn.XLOOKUP($B25,INPUT_DATA!$BQ:$BQ,INPUT_DATA!BV:BV))</f>
        <v/>
      </c>
      <c r="H25" s="430" t="str">
        <f>IF($B25=0,"",_xlfn.XLOOKUP($B25,INPUT_DATA!$BQ:$BQ,INPUT_DATA!BW:BW))</f>
        <v/>
      </c>
      <c r="I25" s="430" t="str">
        <f>IF($B25=0,"",_xlfn.XLOOKUP($B25,INPUT_DATA!$BQ:$BQ,INPUT_DATA!BX:BX))</f>
        <v/>
      </c>
      <c r="J25" s="430" t="str">
        <f>IF($B25=0,"",_xlfn.XLOOKUP($B25,INPUT_DATA!$BQ:$BQ,INPUT_DATA!BY:BY))</f>
        <v/>
      </c>
      <c r="K25" s="802" t="str">
        <f>IF($B25=0,"",_xlfn.XLOOKUP($B25,INPUT_DATA!$BQ:$BQ,INPUT_DATA!CD:CD))</f>
        <v/>
      </c>
      <c r="L25" s="802" t="str">
        <f>IF($B25=0,"",_xlfn.XLOOKUP($B25,INPUT_DATA!$BQ:$BQ,INPUT_DATA!CE:CE))</f>
        <v/>
      </c>
      <c r="M25" s="802" t="str">
        <f>IF($B25=0,"",_xlfn.XLOOKUP($B25,INPUT_DATA!$BQ:$BQ,INPUT_DATA!CF:CF))</f>
        <v/>
      </c>
      <c r="N25" s="802" t="str">
        <f>IF($B25=0,"",_xlfn.XLOOKUP($B25,INPUT_DATA!$BQ:$BQ,INPUT_DATA!CG:CG))</f>
        <v/>
      </c>
      <c r="O25" s="802" t="str">
        <f>IF($B25=0,"",_xlfn.XLOOKUP($B25,INPUT_DATA!$BQ:$BQ,INPUT_DATA!CH:CH))</f>
        <v/>
      </c>
    </row>
    <row r="26" spans="2:15" x14ac:dyDescent="0.35">
      <c r="B26" s="798">
        <f>'03 - Monthly Asset Follow up'!B31</f>
        <v>0</v>
      </c>
      <c r="C26" s="430" t="str">
        <f>IF($B26=0,"",_xlfn.XLOOKUP($B26,INPUT_DATA!$BQ:$BQ,INPUT_DATA!BR:BR))</f>
        <v/>
      </c>
      <c r="D26" s="430" t="str">
        <f>IF($B26=0,"",_xlfn.XLOOKUP($B26,INPUT_DATA!$BQ:$BQ,INPUT_DATA!BS:BS))</f>
        <v/>
      </c>
      <c r="E26" s="430" t="str">
        <f>IF($B26=0,"",_xlfn.XLOOKUP($B26,INPUT_DATA!$BQ:$BQ,INPUT_DATA!BT:BT))</f>
        <v/>
      </c>
      <c r="F26" s="430" t="str">
        <f>IF($B26=0,"",_xlfn.XLOOKUP($B26,INPUT_DATA!$BQ:$BQ,INPUT_DATA!BU:BU))</f>
        <v/>
      </c>
      <c r="G26" s="430" t="str">
        <f>IF($B26=0,"",_xlfn.XLOOKUP($B26,INPUT_DATA!$BQ:$BQ,INPUT_DATA!BV:BV))</f>
        <v/>
      </c>
      <c r="H26" s="430" t="str">
        <f>IF($B26=0,"",_xlfn.XLOOKUP($B26,INPUT_DATA!$BQ:$BQ,INPUT_DATA!BW:BW))</f>
        <v/>
      </c>
      <c r="I26" s="430" t="str">
        <f>IF($B26=0,"",_xlfn.XLOOKUP($B26,INPUT_DATA!$BQ:$BQ,INPUT_DATA!BX:BX))</f>
        <v/>
      </c>
      <c r="J26" s="430" t="str">
        <f>IF($B26=0,"",_xlfn.XLOOKUP($B26,INPUT_DATA!$BQ:$BQ,INPUT_DATA!BY:BY))</f>
        <v/>
      </c>
      <c r="K26" s="802" t="str">
        <f>IF($B26=0,"",_xlfn.XLOOKUP($B26,INPUT_DATA!$BQ:$BQ,INPUT_DATA!CD:CD))</f>
        <v/>
      </c>
      <c r="L26" s="802" t="str">
        <f>IF($B26=0,"",_xlfn.XLOOKUP($B26,INPUT_DATA!$BQ:$BQ,INPUT_DATA!CE:CE))</f>
        <v/>
      </c>
      <c r="M26" s="802" t="str">
        <f>IF($B26=0,"",_xlfn.XLOOKUP($B26,INPUT_DATA!$BQ:$BQ,INPUT_DATA!CF:CF))</f>
        <v/>
      </c>
      <c r="N26" s="802" t="str">
        <f>IF($B26=0,"",_xlfn.XLOOKUP($B26,INPUT_DATA!$BQ:$BQ,INPUT_DATA!CG:CG))</f>
        <v/>
      </c>
      <c r="O26" s="802" t="str">
        <f>IF($B26=0,"",_xlfn.XLOOKUP($B26,INPUT_DATA!$BQ:$BQ,INPUT_DATA!CH:CH))</f>
        <v/>
      </c>
    </row>
    <row r="27" spans="2:15" x14ac:dyDescent="0.35">
      <c r="B27" s="798">
        <f>'03 - Monthly Asset Follow up'!B32</f>
        <v>0</v>
      </c>
      <c r="C27" s="430" t="str">
        <f>IF($B27=0,"",_xlfn.XLOOKUP($B27,INPUT_DATA!$BQ:$BQ,INPUT_DATA!BR:BR))</f>
        <v/>
      </c>
      <c r="D27" s="430" t="str">
        <f>IF($B27=0,"",_xlfn.XLOOKUP($B27,INPUT_DATA!$BQ:$BQ,INPUT_DATA!BS:BS))</f>
        <v/>
      </c>
      <c r="E27" s="430" t="str">
        <f>IF($B27=0,"",_xlfn.XLOOKUP($B27,INPUT_DATA!$BQ:$BQ,INPUT_DATA!BT:BT))</f>
        <v/>
      </c>
      <c r="F27" s="430" t="str">
        <f>IF($B27=0,"",_xlfn.XLOOKUP($B27,INPUT_DATA!$BQ:$BQ,INPUT_DATA!BU:BU))</f>
        <v/>
      </c>
      <c r="G27" s="430" t="str">
        <f>IF($B27=0,"",_xlfn.XLOOKUP($B27,INPUT_DATA!$BQ:$BQ,INPUT_DATA!BV:BV))</f>
        <v/>
      </c>
      <c r="H27" s="430" t="str">
        <f>IF($B27=0,"",_xlfn.XLOOKUP($B27,INPUT_DATA!$BQ:$BQ,INPUT_DATA!BW:BW))</f>
        <v/>
      </c>
      <c r="I27" s="430" t="str">
        <f>IF($B27=0,"",_xlfn.XLOOKUP($B27,INPUT_DATA!$BQ:$BQ,INPUT_DATA!BX:BX))</f>
        <v/>
      </c>
      <c r="J27" s="430" t="str">
        <f>IF($B27=0,"",_xlfn.XLOOKUP($B27,INPUT_DATA!$BQ:$BQ,INPUT_DATA!BY:BY))</f>
        <v/>
      </c>
      <c r="K27" s="802" t="str">
        <f>IF($B27=0,"",_xlfn.XLOOKUP($B27,INPUT_DATA!$BQ:$BQ,INPUT_DATA!CD:CD))</f>
        <v/>
      </c>
      <c r="L27" s="802" t="str">
        <f>IF($B27=0,"",_xlfn.XLOOKUP($B27,INPUT_DATA!$BQ:$BQ,INPUT_DATA!CE:CE))</f>
        <v/>
      </c>
      <c r="M27" s="802" t="str">
        <f>IF($B27=0,"",_xlfn.XLOOKUP($B27,INPUT_DATA!$BQ:$BQ,INPUT_DATA!CF:CF))</f>
        <v/>
      </c>
      <c r="N27" s="802" t="str">
        <f>IF($B27=0,"",_xlfn.XLOOKUP($B27,INPUT_DATA!$BQ:$BQ,INPUT_DATA!CG:CG))</f>
        <v/>
      </c>
      <c r="O27" s="802" t="str">
        <f>IF($B27=0,"",_xlfn.XLOOKUP($B27,INPUT_DATA!$BQ:$BQ,INPUT_DATA!CH:CH))</f>
        <v/>
      </c>
    </row>
    <row r="28" spans="2:15" x14ac:dyDescent="0.35">
      <c r="B28" s="798">
        <f>'03 - Monthly Asset Follow up'!B33</f>
        <v>0</v>
      </c>
      <c r="C28" s="430" t="str">
        <f>IF($B28=0,"",_xlfn.XLOOKUP($B28,INPUT_DATA!$BQ:$BQ,INPUT_DATA!BR:BR))</f>
        <v/>
      </c>
      <c r="D28" s="430" t="str">
        <f>IF($B28=0,"",_xlfn.XLOOKUP($B28,INPUT_DATA!$BQ:$BQ,INPUT_DATA!BS:BS))</f>
        <v/>
      </c>
      <c r="E28" s="430" t="str">
        <f>IF($B28=0,"",_xlfn.XLOOKUP($B28,INPUT_DATA!$BQ:$BQ,INPUT_DATA!BT:BT))</f>
        <v/>
      </c>
      <c r="F28" s="430" t="str">
        <f>IF($B28=0,"",_xlfn.XLOOKUP($B28,INPUT_DATA!$BQ:$BQ,INPUT_DATA!BU:BU))</f>
        <v/>
      </c>
      <c r="G28" s="430" t="str">
        <f>IF($B28=0,"",_xlfn.XLOOKUP($B28,INPUT_DATA!$BQ:$BQ,INPUT_DATA!BV:BV))</f>
        <v/>
      </c>
      <c r="H28" s="430" t="str">
        <f>IF($B28=0,"",_xlfn.XLOOKUP($B28,INPUT_DATA!$BQ:$BQ,INPUT_DATA!BW:BW))</f>
        <v/>
      </c>
      <c r="I28" s="430" t="str">
        <f>IF($B28=0,"",_xlfn.XLOOKUP($B28,INPUT_DATA!$BQ:$BQ,INPUT_DATA!BX:BX))</f>
        <v/>
      </c>
      <c r="J28" s="430" t="str">
        <f>IF($B28=0,"",_xlfn.XLOOKUP($B28,INPUT_DATA!$BQ:$BQ,INPUT_DATA!BY:BY))</f>
        <v/>
      </c>
      <c r="K28" s="802" t="str">
        <f>IF($B28=0,"",_xlfn.XLOOKUP($B28,INPUT_DATA!$BQ:$BQ,INPUT_DATA!CD:CD))</f>
        <v/>
      </c>
      <c r="L28" s="802" t="str">
        <f>IF($B28=0,"",_xlfn.XLOOKUP($B28,INPUT_DATA!$BQ:$BQ,INPUT_DATA!CE:CE))</f>
        <v/>
      </c>
      <c r="M28" s="802" t="str">
        <f>IF($B28=0,"",_xlfn.XLOOKUP($B28,INPUT_DATA!$BQ:$BQ,INPUT_DATA!CF:CF))</f>
        <v/>
      </c>
      <c r="N28" s="802" t="str">
        <f>IF($B28=0,"",_xlfn.XLOOKUP($B28,INPUT_DATA!$BQ:$BQ,INPUT_DATA!CG:CG))</f>
        <v/>
      </c>
      <c r="O28" s="802" t="str">
        <f>IF($B28=0,"",_xlfn.XLOOKUP($B28,INPUT_DATA!$BQ:$BQ,INPUT_DATA!CH:CH))</f>
        <v/>
      </c>
    </row>
    <row r="29" spans="2:15" x14ac:dyDescent="0.35">
      <c r="B29" s="798">
        <f>'03 - Monthly Asset Follow up'!B34</f>
        <v>0</v>
      </c>
      <c r="C29" s="430" t="str">
        <f>IF($B29=0,"",_xlfn.XLOOKUP($B29,INPUT_DATA!$BQ:$BQ,INPUT_DATA!BR:BR))</f>
        <v/>
      </c>
      <c r="D29" s="430" t="str">
        <f>IF($B29=0,"",_xlfn.XLOOKUP($B29,INPUT_DATA!$BQ:$BQ,INPUT_DATA!BS:BS))</f>
        <v/>
      </c>
      <c r="E29" s="430" t="str">
        <f>IF($B29=0,"",_xlfn.XLOOKUP($B29,INPUT_DATA!$BQ:$BQ,INPUT_DATA!BT:BT))</f>
        <v/>
      </c>
      <c r="F29" s="430" t="str">
        <f>IF($B29=0,"",_xlfn.XLOOKUP($B29,INPUT_DATA!$BQ:$BQ,INPUT_DATA!BU:BU))</f>
        <v/>
      </c>
      <c r="G29" s="430" t="str">
        <f>IF($B29=0,"",_xlfn.XLOOKUP($B29,INPUT_DATA!$BQ:$BQ,INPUT_DATA!BV:BV))</f>
        <v/>
      </c>
      <c r="H29" s="430" t="str">
        <f>IF($B29=0,"",_xlfn.XLOOKUP($B29,INPUT_DATA!$BQ:$BQ,INPUT_DATA!BW:BW))</f>
        <v/>
      </c>
      <c r="I29" s="430" t="str">
        <f>IF($B29=0,"",_xlfn.XLOOKUP($B29,INPUT_DATA!$BQ:$BQ,INPUT_DATA!BX:BX))</f>
        <v/>
      </c>
      <c r="J29" s="430" t="str">
        <f>IF($B29=0,"",_xlfn.XLOOKUP($B29,INPUT_DATA!$BQ:$BQ,INPUT_DATA!BY:BY))</f>
        <v/>
      </c>
      <c r="K29" s="802" t="str">
        <f>IF($B29=0,"",_xlfn.XLOOKUP($B29,INPUT_DATA!$BQ:$BQ,INPUT_DATA!CD:CD))</f>
        <v/>
      </c>
      <c r="L29" s="802" t="str">
        <f>IF($B29=0,"",_xlfn.XLOOKUP($B29,INPUT_DATA!$BQ:$BQ,INPUT_DATA!CE:CE))</f>
        <v/>
      </c>
      <c r="M29" s="802" t="str">
        <f>IF($B29=0,"",_xlfn.XLOOKUP($B29,INPUT_DATA!$BQ:$BQ,INPUT_DATA!CF:CF))</f>
        <v/>
      </c>
      <c r="N29" s="802" t="str">
        <f>IF($B29=0,"",_xlfn.XLOOKUP($B29,INPUT_DATA!$BQ:$BQ,INPUT_DATA!CG:CG))</f>
        <v/>
      </c>
      <c r="O29" s="802" t="str">
        <f>IF($B29=0,"",_xlfn.XLOOKUP($B29,INPUT_DATA!$BQ:$BQ,INPUT_DATA!CH:CH))</f>
        <v/>
      </c>
    </row>
    <row r="30" spans="2:15" x14ac:dyDescent="0.35">
      <c r="B30" s="798">
        <f>'03 - Monthly Asset Follow up'!B35</f>
        <v>0</v>
      </c>
      <c r="C30" s="430" t="str">
        <f>IF($B30=0,"",_xlfn.XLOOKUP($B30,INPUT_DATA!$BQ:$BQ,INPUT_DATA!BR:BR))</f>
        <v/>
      </c>
      <c r="D30" s="430" t="str">
        <f>IF($B30=0,"",_xlfn.XLOOKUP($B30,INPUT_DATA!$BQ:$BQ,INPUT_DATA!BS:BS))</f>
        <v/>
      </c>
      <c r="E30" s="430" t="str">
        <f>IF($B30=0,"",_xlfn.XLOOKUP($B30,INPUT_DATA!$BQ:$BQ,INPUT_DATA!BT:BT))</f>
        <v/>
      </c>
      <c r="F30" s="430" t="str">
        <f>IF($B30=0,"",_xlfn.XLOOKUP($B30,INPUT_DATA!$BQ:$BQ,INPUT_DATA!BU:BU))</f>
        <v/>
      </c>
      <c r="G30" s="430" t="str">
        <f>IF($B30=0,"",_xlfn.XLOOKUP($B30,INPUT_DATA!$BQ:$BQ,INPUT_DATA!BV:BV))</f>
        <v/>
      </c>
      <c r="H30" s="430" t="str">
        <f>IF($B30=0,"",_xlfn.XLOOKUP($B30,INPUT_DATA!$BQ:$BQ,INPUT_DATA!BW:BW))</f>
        <v/>
      </c>
      <c r="I30" s="430" t="str">
        <f>IF($B30=0,"",_xlfn.XLOOKUP($B30,INPUT_DATA!$BQ:$BQ,INPUT_DATA!BX:BX))</f>
        <v/>
      </c>
      <c r="J30" s="430" t="str">
        <f>IF($B30=0,"",_xlfn.XLOOKUP($B30,INPUT_DATA!$BQ:$BQ,INPUT_DATA!BY:BY))</f>
        <v/>
      </c>
      <c r="K30" s="802" t="str">
        <f>IF($B30=0,"",_xlfn.XLOOKUP($B30,INPUT_DATA!$BQ:$BQ,INPUT_DATA!CD:CD))</f>
        <v/>
      </c>
      <c r="L30" s="802" t="str">
        <f>IF($B30=0,"",_xlfn.XLOOKUP($B30,INPUT_DATA!$BQ:$BQ,INPUT_DATA!CE:CE))</f>
        <v/>
      </c>
      <c r="M30" s="802" t="str">
        <f>IF($B30=0,"",_xlfn.XLOOKUP($B30,INPUT_DATA!$BQ:$BQ,INPUT_DATA!CF:CF))</f>
        <v/>
      </c>
      <c r="N30" s="802" t="str">
        <f>IF($B30=0,"",_xlfn.XLOOKUP($B30,INPUT_DATA!$BQ:$BQ,INPUT_DATA!CG:CG))</f>
        <v/>
      </c>
      <c r="O30" s="802" t="str">
        <f>IF($B30=0,"",_xlfn.XLOOKUP($B30,INPUT_DATA!$BQ:$BQ,INPUT_DATA!CH:CH))</f>
        <v/>
      </c>
    </row>
    <row r="31" spans="2:15" x14ac:dyDescent="0.35">
      <c r="B31" s="798">
        <f>'03 - Monthly Asset Follow up'!B36</f>
        <v>0</v>
      </c>
      <c r="C31" s="430" t="str">
        <f>IF($B31=0,"",_xlfn.XLOOKUP($B31,INPUT_DATA!$BQ:$BQ,INPUT_DATA!BR:BR))</f>
        <v/>
      </c>
      <c r="D31" s="430" t="str">
        <f>IF($B31=0,"",_xlfn.XLOOKUP($B31,INPUT_DATA!$BQ:$BQ,INPUT_DATA!BS:BS))</f>
        <v/>
      </c>
      <c r="E31" s="430" t="str">
        <f>IF($B31=0,"",_xlfn.XLOOKUP($B31,INPUT_DATA!$BQ:$BQ,INPUT_DATA!BT:BT))</f>
        <v/>
      </c>
      <c r="F31" s="430" t="str">
        <f>IF($B31=0,"",_xlfn.XLOOKUP($B31,INPUT_DATA!$BQ:$BQ,INPUT_DATA!BU:BU))</f>
        <v/>
      </c>
      <c r="G31" s="430" t="str">
        <f>IF($B31=0,"",_xlfn.XLOOKUP($B31,INPUT_DATA!$BQ:$BQ,INPUT_DATA!BV:BV))</f>
        <v/>
      </c>
      <c r="H31" s="430" t="str">
        <f>IF($B31=0,"",_xlfn.XLOOKUP($B31,INPUT_DATA!$BQ:$BQ,INPUT_DATA!BW:BW))</f>
        <v/>
      </c>
      <c r="I31" s="430" t="str">
        <f>IF($B31=0,"",_xlfn.XLOOKUP($B31,INPUT_DATA!$BQ:$BQ,INPUT_DATA!BX:BX))</f>
        <v/>
      </c>
      <c r="J31" s="430" t="str">
        <f>IF($B31=0,"",_xlfn.XLOOKUP($B31,INPUT_DATA!$BQ:$BQ,INPUT_DATA!BY:BY))</f>
        <v/>
      </c>
      <c r="K31" s="802" t="str">
        <f>IF($B31=0,"",_xlfn.XLOOKUP($B31,INPUT_DATA!$BQ:$BQ,INPUT_DATA!CD:CD))</f>
        <v/>
      </c>
      <c r="L31" s="802" t="str">
        <f>IF($B31=0,"",_xlfn.XLOOKUP($B31,INPUT_DATA!$BQ:$BQ,INPUT_DATA!CE:CE))</f>
        <v/>
      </c>
      <c r="M31" s="802" t="str">
        <f>IF($B31=0,"",_xlfn.XLOOKUP($B31,INPUT_DATA!$BQ:$BQ,INPUT_DATA!CF:CF))</f>
        <v/>
      </c>
      <c r="N31" s="802" t="str">
        <f>IF($B31=0,"",_xlfn.XLOOKUP($B31,INPUT_DATA!$BQ:$BQ,INPUT_DATA!CG:CG))</f>
        <v/>
      </c>
      <c r="O31" s="802" t="str">
        <f>IF($B31=0,"",_xlfn.XLOOKUP($B31,INPUT_DATA!$BQ:$BQ,INPUT_DATA!CH:CH))</f>
        <v/>
      </c>
    </row>
    <row r="32" spans="2:15" x14ac:dyDescent="0.35">
      <c r="B32" s="798">
        <f>'03 - Monthly Asset Follow up'!B37</f>
        <v>0</v>
      </c>
      <c r="C32" s="430" t="str">
        <f>IF($B32=0,"",_xlfn.XLOOKUP($B32,INPUT_DATA!$BQ:$BQ,INPUT_DATA!BR:BR))</f>
        <v/>
      </c>
      <c r="D32" s="430" t="str">
        <f>IF($B32=0,"",_xlfn.XLOOKUP($B32,INPUT_DATA!$BQ:$BQ,INPUT_DATA!BS:BS))</f>
        <v/>
      </c>
      <c r="E32" s="430" t="str">
        <f>IF($B32=0,"",_xlfn.XLOOKUP($B32,INPUT_DATA!$BQ:$BQ,INPUT_DATA!BT:BT))</f>
        <v/>
      </c>
      <c r="F32" s="430" t="str">
        <f>IF($B32=0,"",_xlfn.XLOOKUP($B32,INPUT_DATA!$BQ:$BQ,INPUT_DATA!BU:BU))</f>
        <v/>
      </c>
      <c r="G32" s="430" t="str">
        <f>IF($B32=0,"",_xlfn.XLOOKUP($B32,INPUT_DATA!$BQ:$BQ,INPUT_DATA!BV:BV))</f>
        <v/>
      </c>
      <c r="H32" s="430" t="str">
        <f>IF($B32=0,"",_xlfn.XLOOKUP($B32,INPUT_DATA!$BQ:$BQ,INPUT_DATA!BW:BW))</f>
        <v/>
      </c>
      <c r="I32" s="430" t="str">
        <f>IF($B32=0,"",_xlfn.XLOOKUP($B32,INPUT_DATA!$BQ:$BQ,INPUT_DATA!BX:BX))</f>
        <v/>
      </c>
      <c r="J32" s="430" t="str">
        <f>IF($B32=0,"",_xlfn.XLOOKUP($B32,INPUT_DATA!$BQ:$BQ,INPUT_DATA!BY:BY))</f>
        <v/>
      </c>
      <c r="K32" s="802" t="str">
        <f>IF($B32=0,"",_xlfn.XLOOKUP($B32,INPUT_DATA!$BQ:$BQ,INPUT_DATA!CD:CD))</f>
        <v/>
      </c>
      <c r="L32" s="802" t="str">
        <f>IF($B32=0,"",_xlfn.XLOOKUP($B32,INPUT_DATA!$BQ:$BQ,INPUT_DATA!CE:CE))</f>
        <v/>
      </c>
      <c r="M32" s="802" t="str">
        <f>IF($B32=0,"",_xlfn.XLOOKUP($B32,INPUT_DATA!$BQ:$BQ,INPUT_DATA!CF:CF))</f>
        <v/>
      </c>
      <c r="N32" s="802" t="str">
        <f>IF($B32=0,"",_xlfn.XLOOKUP($B32,INPUT_DATA!$BQ:$BQ,INPUT_DATA!CG:CG))</f>
        <v/>
      </c>
      <c r="O32" s="802" t="str">
        <f>IF($B32=0,"",_xlfn.XLOOKUP($B32,INPUT_DATA!$BQ:$BQ,INPUT_DATA!CH:CH))</f>
        <v/>
      </c>
    </row>
    <row r="33" spans="2:15" x14ac:dyDescent="0.35">
      <c r="B33" s="798">
        <f>'03 - Monthly Asset Follow up'!B38</f>
        <v>0</v>
      </c>
      <c r="C33" s="430" t="str">
        <f>IF($B33=0,"",_xlfn.XLOOKUP($B33,INPUT_DATA!$BQ:$BQ,INPUT_DATA!BR:BR))</f>
        <v/>
      </c>
      <c r="D33" s="430" t="str">
        <f>IF($B33=0,"",_xlfn.XLOOKUP($B33,INPUT_DATA!$BQ:$BQ,INPUT_DATA!BS:BS))</f>
        <v/>
      </c>
      <c r="E33" s="430" t="str">
        <f>IF($B33=0,"",_xlfn.XLOOKUP($B33,INPUT_DATA!$BQ:$BQ,INPUT_DATA!BT:BT))</f>
        <v/>
      </c>
      <c r="F33" s="430" t="str">
        <f>IF($B33=0,"",_xlfn.XLOOKUP($B33,INPUT_DATA!$BQ:$BQ,INPUT_DATA!BU:BU))</f>
        <v/>
      </c>
      <c r="G33" s="430" t="str">
        <f>IF($B33=0,"",_xlfn.XLOOKUP($B33,INPUT_DATA!$BQ:$BQ,INPUT_DATA!BV:BV))</f>
        <v/>
      </c>
      <c r="H33" s="430" t="str">
        <f>IF($B33=0,"",_xlfn.XLOOKUP($B33,INPUT_DATA!$BQ:$BQ,INPUT_DATA!BW:BW))</f>
        <v/>
      </c>
      <c r="I33" s="430" t="str">
        <f>IF($B33=0,"",_xlfn.XLOOKUP($B33,INPUT_DATA!$BQ:$BQ,INPUT_DATA!BX:BX))</f>
        <v/>
      </c>
      <c r="J33" s="430" t="str">
        <f>IF($B33=0,"",_xlfn.XLOOKUP($B33,INPUT_DATA!$BQ:$BQ,INPUT_DATA!BY:BY))</f>
        <v/>
      </c>
      <c r="K33" s="802" t="str">
        <f>IF($B33=0,"",_xlfn.XLOOKUP($B33,INPUT_DATA!$BQ:$BQ,INPUT_DATA!CD:CD))</f>
        <v/>
      </c>
      <c r="L33" s="802" t="str">
        <f>IF($B33=0,"",_xlfn.XLOOKUP($B33,INPUT_DATA!$BQ:$BQ,INPUT_DATA!CE:CE))</f>
        <v/>
      </c>
      <c r="M33" s="802" t="str">
        <f>IF($B33=0,"",_xlfn.XLOOKUP($B33,INPUT_DATA!$BQ:$BQ,INPUT_DATA!CF:CF))</f>
        <v/>
      </c>
      <c r="N33" s="802" t="str">
        <f>IF($B33=0,"",_xlfn.XLOOKUP($B33,INPUT_DATA!$BQ:$BQ,INPUT_DATA!CG:CG))</f>
        <v/>
      </c>
      <c r="O33" s="802" t="str">
        <f>IF($B33=0,"",_xlfn.XLOOKUP($B33,INPUT_DATA!$BQ:$BQ,INPUT_DATA!CH:CH))</f>
        <v/>
      </c>
    </row>
    <row r="34" spans="2:15" x14ac:dyDescent="0.35">
      <c r="B34" s="798">
        <f>'03 - Monthly Asset Follow up'!B39</f>
        <v>0</v>
      </c>
      <c r="C34" s="430" t="str">
        <f>IF($B34=0,"",_xlfn.XLOOKUP($B34,INPUT_DATA!$BQ:$BQ,INPUT_DATA!BR:BR))</f>
        <v/>
      </c>
      <c r="D34" s="430" t="str">
        <f>IF($B34=0,"",_xlfn.XLOOKUP($B34,INPUT_DATA!$BQ:$BQ,INPUT_DATA!BS:BS))</f>
        <v/>
      </c>
      <c r="E34" s="430" t="str">
        <f>IF($B34=0,"",_xlfn.XLOOKUP($B34,INPUT_DATA!$BQ:$BQ,INPUT_DATA!BT:BT))</f>
        <v/>
      </c>
      <c r="F34" s="430" t="str">
        <f>IF($B34=0,"",_xlfn.XLOOKUP($B34,INPUT_DATA!$BQ:$BQ,INPUT_DATA!BU:BU))</f>
        <v/>
      </c>
      <c r="G34" s="430" t="str">
        <f>IF($B34=0,"",_xlfn.XLOOKUP($B34,INPUT_DATA!$BQ:$BQ,INPUT_DATA!BV:BV))</f>
        <v/>
      </c>
      <c r="H34" s="430" t="str">
        <f>IF($B34=0,"",_xlfn.XLOOKUP($B34,INPUT_DATA!$BQ:$BQ,INPUT_DATA!BW:BW))</f>
        <v/>
      </c>
      <c r="I34" s="430" t="str">
        <f>IF($B34=0,"",_xlfn.XLOOKUP($B34,INPUT_DATA!$BQ:$BQ,INPUT_DATA!BX:BX))</f>
        <v/>
      </c>
      <c r="J34" s="430" t="str">
        <f>IF($B34=0,"",_xlfn.XLOOKUP($B34,INPUT_DATA!$BQ:$BQ,INPUT_DATA!BY:BY))</f>
        <v/>
      </c>
      <c r="K34" s="802" t="str">
        <f>IF($B34=0,"",_xlfn.XLOOKUP($B34,INPUT_DATA!$BQ:$BQ,INPUT_DATA!CD:CD))</f>
        <v/>
      </c>
      <c r="L34" s="802" t="str">
        <f>IF($B34=0,"",_xlfn.XLOOKUP($B34,INPUT_DATA!$BQ:$BQ,INPUT_DATA!CE:CE))</f>
        <v/>
      </c>
      <c r="M34" s="802" t="str">
        <f>IF($B34=0,"",_xlfn.XLOOKUP($B34,INPUT_DATA!$BQ:$BQ,INPUT_DATA!CF:CF))</f>
        <v/>
      </c>
      <c r="N34" s="802" t="str">
        <f>IF($B34=0,"",_xlfn.XLOOKUP($B34,INPUT_DATA!$BQ:$BQ,INPUT_DATA!CG:CG))</f>
        <v/>
      </c>
      <c r="O34" s="802" t="str">
        <f>IF($B34=0,"",_xlfn.XLOOKUP($B34,INPUT_DATA!$BQ:$BQ,INPUT_DATA!CH:CH))</f>
        <v/>
      </c>
    </row>
    <row r="35" spans="2:15" x14ac:dyDescent="0.35">
      <c r="B35" s="798">
        <f>'03 - Monthly Asset Follow up'!B40</f>
        <v>0</v>
      </c>
      <c r="C35" s="430" t="str">
        <f>IF($B35=0,"",_xlfn.XLOOKUP($B35,INPUT_DATA!$BQ:$BQ,INPUT_DATA!BR:BR))</f>
        <v/>
      </c>
      <c r="D35" s="430" t="str">
        <f>IF($B35=0,"",_xlfn.XLOOKUP($B35,INPUT_DATA!$BQ:$BQ,INPUT_DATA!BS:BS))</f>
        <v/>
      </c>
      <c r="E35" s="430" t="str">
        <f>IF($B35=0,"",_xlfn.XLOOKUP($B35,INPUT_DATA!$BQ:$BQ,INPUT_DATA!BT:BT))</f>
        <v/>
      </c>
      <c r="F35" s="430" t="str">
        <f>IF($B35=0,"",_xlfn.XLOOKUP($B35,INPUT_DATA!$BQ:$BQ,INPUT_DATA!BU:BU))</f>
        <v/>
      </c>
      <c r="G35" s="430" t="str">
        <f>IF($B35=0,"",_xlfn.XLOOKUP($B35,INPUT_DATA!$BQ:$BQ,INPUT_DATA!BV:BV))</f>
        <v/>
      </c>
      <c r="H35" s="430" t="str">
        <f>IF($B35=0,"",_xlfn.XLOOKUP($B35,INPUT_DATA!$BQ:$BQ,INPUT_DATA!BW:BW))</f>
        <v/>
      </c>
      <c r="I35" s="430" t="str">
        <f>IF($B35=0,"",_xlfn.XLOOKUP($B35,INPUT_DATA!$BQ:$BQ,INPUT_DATA!BX:BX))</f>
        <v/>
      </c>
      <c r="J35" s="430" t="str">
        <f>IF($B35=0,"",_xlfn.XLOOKUP($B35,INPUT_DATA!$BQ:$BQ,INPUT_DATA!BY:BY))</f>
        <v/>
      </c>
      <c r="K35" s="802" t="str">
        <f>IF($B35=0,"",_xlfn.XLOOKUP($B35,INPUT_DATA!$BQ:$BQ,INPUT_DATA!CD:CD))</f>
        <v/>
      </c>
      <c r="L35" s="802" t="str">
        <f>IF($B35=0,"",_xlfn.XLOOKUP($B35,INPUT_DATA!$BQ:$BQ,INPUT_DATA!CE:CE))</f>
        <v/>
      </c>
      <c r="M35" s="802" t="str">
        <f>IF($B35=0,"",_xlfn.XLOOKUP($B35,INPUT_DATA!$BQ:$BQ,INPUT_DATA!CF:CF))</f>
        <v/>
      </c>
      <c r="N35" s="802" t="str">
        <f>IF($B35=0,"",_xlfn.XLOOKUP($B35,INPUT_DATA!$BQ:$BQ,INPUT_DATA!CG:CG))</f>
        <v/>
      </c>
      <c r="O35" s="802" t="str">
        <f>IF($B35=0,"",_xlfn.XLOOKUP($B35,INPUT_DATA!$BQ:$BQ,INPUT_DATA!CH:CH))</f>
        <v/>
      </c>
    </row>
    <row r="36" spans="2:15" x14ac:dyDescent="0.35">
      <c r="B36" s="798">
        <f>'03 - Monthly Asset Follow up'!B41</f>
        <v>0</v>
      </c>
      <c r="C36" s="430" t="str">
        <f>IF($B36=0,"",_xlfn.XLOOKUP($B36,INPUT_DATA!$BQ:$BQ,INPUT_DATA!BR:BR))</f>
        <v/>
      </c>
      <c r="D36" s="430" t="str">
        <f>IF($B36=0,"",_xlfn.XLOOKUP($B36,INPUT_DATA!$BQ:$BQ,INPUT_DATA!BS:BS))</f>
        <v/>
      </c>
      <c r="E36" s="430" t="str">
        <f>IF($B36=0,"",_xlfn.XLOOKUP($B36,INPUT_DATA!$BQ:$BQ,INPUT_DATA!BT:BT))</f>
        <v/>
      </c>
      <c r="F36" s="430" t="str">
        <f>IF($B36=0,"",_xlfn.XLOOKUP($B36,INPUT_DATA!$BQ:$BQ,INPUT_DATA!BU:BU))</f>
        <v/>
      </c>
      <c r="G36" s="430" t="str">
        <f>IF($B36=0,"",_xlfn.XLOOKUP($B36,INPUT_DATA!$BQ:$BQ,INPUT_DATA!BV:BV))</f>
        <v/>
      </c>
      <c r="H36" s="430" t="str">
        <f>IF($B36=0,"",_xlfn.XLOOKUP($B36,INPUT_DATA!$BQ:$BQ,INPUT_DATA!BW:BW))</f>
        <v/>
      </c>
      <c r="I36" s="430" t="str">
        <f>IF($B36=0,"",_xlfn.XLOOKUP($B36,INPUT_DATA!$BQ:$BQ,INPUT_DATA!BX:BX))</f>
        <v/>
      </c>
      <c r="J36" s="430" t="str">
        <f>IF($B36=0,"",_xlfn.XLOOKUP($B36,INPUT_DATA!$BQ:$BQ,INPUT_DATA!BY:BY))</f>
        <v/>
      </c>
      <c r="K36" s="802" t="str">
        <f>IF($B36=0,"",_xlfn.XLOOKUP($B36,INPUT_DATA!$BQ:$BQ,INPUT_DATA!CD:CD))</f>
        <v/>
      </c>
      <c r="L36" s="802" t="str">
        <f>IF($B36=0,"",_xlfn.XLOOKUP($B36,INPUT_DATA!$BQ:$BQ,INPUT_DATA!CE:CE))</f>
        <v/>
      </c>
      <c r="M36" s="802" t="str">
        <f>IF($B36=0,"",_xlfn.XLOOKUP($B36,INPUT_DATA!$BQ:$BQ,INPUT_DATA!CF:CF))</f>
        <v/>
      </c>
      <c r="N36" s="802" t="str">
        <f>IF($B36=0,"",_xlfn.XLOOKUP($B36,INPUT_DATA!$BQ:$BQ,INPUT_DATA!CG:CG))</f>
        <v/>
      </c>
      <c r="O36" s="802" t="str">
        <f>IF($B36=0,"",_xlfn.XLOOKUP($B36,INPUT_DATA!$BQ:$BQ,INPUT_DATA!CH:CH))</f>
        <v/>
      </c>
    </row>
    <row r="37" spans="2:15" x14ac:dyDescent="0.35">
      <c r="B37" s="798">
        <f>'03 - Monthly Asset Follow up'!B42</f>
        <v>0</v>
      </c>
      <c r="C37" s="430" t="str">
        <f>IF($B37=0,"",_xlfn.XLOOKUP($B37,INPUT_DATA!$BQ:$BQ,INPUT_DATA!BR:BR))</f>
        <v/>
      </c>
      <c r="D37" s="430" t="str">
        <f>IF($B37=0,"",_xlfn.XLOOKUP($B37,INPUT_DATA!$BQ:$BQ,INPUT_DATA!BS:BS))</f>
        <v/>
      </c>
      <c r="E37" s="430" t="str">
        <f>IF($B37=0,"",_xlfn.XLOOKUP($B37,INPUT_DATA!$BQ:$BQ,INPUT_DATA!BT:BT))</f>
        <v/>
      </c>
      <c r="F37" s="430" t="str">
        <f>IF($B37=0,"",_xlfn.XLOOKUP($B37,INPUT_DATA!$BQ:$BQ,INPUT_DATA!BU:BU))</f>
        <v/>
      </c>
      <c r="G37" s="430" t="str">
        <f>IF($B37=0,"",_xlfn.XLOOKUP($B37,INPUT_DATA!$BQ:$BQ,INPUT_DATA!BV:BV))</f>
        <v/>
      </c>
      <c r="H37" s="430" t="str">
        <f>IF($B37=0,"",_xlfn.XLOOKUP($B37,INPUT_DATA!$BQ:$BQ,INPUT_DATA!BW:BW))</f>
        <v/>
      </c>
      <c r="I37" s="430" t="str">
        <f>IF($B37=0,"",_xlfn.XLOOKUP($B37,INPUT_DATA!$BQ:$BQ,INPUT_DATA!BX:BX))</f>
        <v/>
      </c>
      <c r="J37" s="430" t="str">
        <f>IF($B37=0,"",_xlfn.XLOOKUP($B37,INPUT_DATA!$BQ:$BQ,INPUT_DATA!BY:BY))</f>
        <v/>
      </c>
      <c r="K37" s="802" t="str">
        <f>IF($B37=0,"",_xlfn.XLOOKUP($B37,INPUT_DATA!$BQ:$BQ,INPUT_DATA!CD:CD))</f>
        <v/>
      </c>
      <c r="L37" s="802" t="str">
        <f>IF($B37=0,"",_xlfn.XLOOKUP($B37,INPUT_DATA!$BQ:$BQ,INPUT_DATA!CE:CE))</f>
        <v/>
      </c>
      <c r="M37" s="802" t="str">
        <f>IF($B37=0,"",_xlfn.XLOOKUP($B37,INPUT_DATA!$BQ:$BQ,INPUT_DATA!CF:CF))</f>
        <v/>
      </c>
      <c r="N37" s="802" t="str">
        <f>IF($B37=0,"",_xlfn.XLOOKUP($B37,INPUT_DATA!$BQ:$BQ,INPUT_DATA!CG:CG))</f>
        <v/>
      </c>
      <c r="O37" s="802" t="str">
        <f>IF($B37=0,"",_xlfn.XLOOKUP($B37,INPUT_DATA!$BQ:$BQ,INPUT_DATA!CH:CH))</f>
        <v/>
      </c>
    </row>
    <row r="38" spans="2:15" x14ac:dyDescent="0.35">
      <c r="B38" s="798">
        <f>'03 - Monthly Asset Follow up'!B43</f>
        <v>0</v>
      </c>
      <c r="C38" s="430" t="str">
        <f>IF($B38=0,"",_xlfn.XLOOKUP($B38,INPUT_DATA!$BQ:$BQ,INPUT_DATA!BR:BR))</f>
        <v/>
      </c>
      <c r="D38" s="430" t="str">
        <f>IF($B38=0,"",_xlfn.XLOOKUP($B38,INPUT_DATA!$BQ:$BQ,INPUT_DATA!BS:BS))</f>
        <v/>
      </c>
      <c r="E38" s="430" t="str">
        <f>IF($B38=0,"",_xlfn.XLOOKUP($B38,INPUT_DATA!$BQ:$BQ,INPUT_DATA!BT:BT))</f>
        <v/>
      </c>
      <c r="F38" s="430" t="str">
        <f>IF($B38=0,"",_xlfn.XLOOKUP($B38,INPUT_DATA!$BQ:$BQ,INPUT_DATA!BU:BU))</f>
        <v/>
      </c>
      <c r="G38" s="430" t="str">
        <f>IF($B38=0,"",_xlfn.XLOOKUP($B38,INPUT_DATA!$BQ:$BQ,INPUT_DATA!BV:BV))</f>
        <v/>
      </c>
      <c r="H38" s="430" t="str">
        <f>IF($B38=0,"",_xlfn.XLOOKUP($B38,INPUT_DATA!$BQ:$BQ,INPUT_DATA!BW:BW))</f>
        <v/>
      </c>
      <c r="I38" s="430" t="str">
        <f>IF($B38=0,"",_xlfn.XLOOKUP($B38,INPUT_DATA!$BQ:$BQ,INPUT_DATA!BX:BX))</f>
        <v/>
      </c>
      <c r="J38" s="430" t="str">
        <f>IF($B38=0,"",_xlfn.XLOOKUP($B38,INPUT_DATA!$BQ:$BQ,INPUT_DATA!BY:BY))</f>
        <v/>
      </c>
      <c r="K38" s="802" t="str">
        <f>IF($B38=0,"",_xlfn.XLOOKUP($B38,INPUT_DATA!$BQ:$BQ,INPUT_DATA!CD:CD))</f>
        <v/>
      </c>
      <c r="L38" s="802" t="str">
        <f>IF($B38=0,"",_xlfn.XLOOKUP($B38,INPUT_DATA!$BQ:$BQ,INPUT_DATA!CE:CE))</f>
        <v/>
      </c>
      <c r="M38" s="802" t="str">
        <f>IF($B38=0,"",_xlfn.XLOOKUP($B38,INPUT_DATA!$BQ:$BQ,INPUT_DATA!CF:CF))</f>
        <v/>
      </c>
      <c r="N38" s="802" t="str">
        <f>IF($B38=0,"",_xlfn.XLOOKUP($B38,INPUT_DATA!$BQ:$BQ,INPUT_DATA!CG:CG))</f>
        <v/>
      </c>
      <c r="O38" s="802" t="str">
        <f>IF($B38=0,"",_xlfn.XLOOKUP($B38,INPUT_DATA!$BQ:$BQ,INPUT_DATA!CH:CH))</f>
        <v/>
      </c>
    </row>
    <row r="39" spans="2:15" x14ac:dyDescent="0.35">
      <c r="B39" s="798">
        <f>'03 - Monthly Asset Follow up'!B44</f>
        <v>0</v>
      </c>
      <c r="C39" s="430" t="str">
        <f>IF($B39=0,"",_xlfn.XLOOKUP($B39,INPUT_DATA!$BQ:$BQ,INPUT_DATA!BR:BR))</f>
        <v/>
      </c>
      <c r="D39" s="430" t="str">
        <f>IF($B39=0,"",_xlfn.XLOOKUP($B39,INPUT_DATA!$BQ:$BQ,INPUT_DATA!BS:BS))</f>
        <v/>
      </c>
      <c r="E39" s="430" t="str">
        <f>IF($B39=0,"",_xlfn.XLOOKUP($B39,INPUT_DATA!$BQ:$BQ,INPUT_DATA!BT:BT))</f>
        <v/>
      </c>
      <c r="F39" s="430" t="str">
        <f>IF($B39=0,"",_xlfn.XLOOKUP($B39,INPUT_DATA!$BQ:$BQ,INPUT_DATA!BU:BU))</f>
        <v/>
      </c>
      <c r="G39" s="430" t="str">
        <f>IF($B39=0,"",_xlfn.XLOOKUP($B39,INPUT_DATA!$BQ:$BQ,INPUT_DATA!BV:BV))</f>
        <v/>
      </c>
      <c r="H39" s="430" t="str">
        <f>IF($B39=0,"",_xlfn.XLOOKUP($B39,INPUT_DATA!$BQ:$BQ,INPUT_DATA!BW:BW))</f>
        <v/>
      </c>
      <c r="I39" s="430" t="str">
        <f>IF($B39=0,"",_xlfn.XLOOKUP($B39,INPUT_DATA!$BQ:$BQ,INPUT_DATA!BX:BX))</f>
        <v/>
      </c>
      <c r="J39" s="430" t="str">
        <f>IF($B39=0,"",_xlfn.XLOOKUP($B39,INPUT_DATA!$BQ:$BQ,INPUT_DATA!BY:BY))</f>
        <v/>
      </c>
      <c r="K39" s="802" t="str">
        <f>IF($B39=0,"",_xlfn.XLOOKUP($B39,INPUT_DATA!$BQ:$BQ,INPUT_DATA!CD:CD))</f>
        <v/>
      </c>
      <c r="L39" s="802" t="str">
        <f>IF($B39=0,"",_xlfn.XLOOKUP($B39,INPUT_DATA!$BQ:$BQ,INPUT_DATA!CE:CE))</f>
        <v/>
      </c>
      <c r="M39" s="802" t="str">
        <f>IF($B39=0,"",_xlfn.XLOOKUP($B39,INPUT_DATA!$BQ:$BQ,INPUT_DATA!CF:CF))</f>
        <v/>
      </c>
      <c r="N39" s="802" t="str">
        <f>IF($B39=0,"",_xlfn.XLOOKUP($B39,INPUT_DATA!$BQ:$BQ,INPUT_DATA!CG:CG))</f>
        <v/>
      </c>
      <c r="O39" s="802" t="str">
        <f>IF($B39=0,"",_xlfn.XLOOKUP($B39,INPUT_DATA!$BQ:$BQ,INPUT_DATA!CH:CH))</f>
        <v/>
      </c>
    </row>
    <row r="40" spans="2:15" x14ac:dyDescent="0.35">
      <c r="B40" s="798">
        <f>'03 - Monthly Asset Follow up'!B45</f>
        <v>0</v>
      </c>
      <c r="C40" s="430" t="str">
        <f>IF($B40=0,"",_xlfn.XLOOKUP($B40,INPUT_DATA!$BQ:$BQ,INPUT_DATA!BR:BR))</f>
        <v/>
      </c>
      <c r="D40" s="430" t="str">
        <f>IF($B40=0,"",_xlfn.XLOOKUP($B40,INPUT_DATA!$BQ:$BQ,INPUT_DATA!BS:BS))</f>
        <v/>
      </c>
      <c r="E40" s="430" t="str">
        <f>IF($B40=0,"",_xlfn.XLOOKUP($B40,INPUT_DATA!$BQ:$BQ,INPUT_DATA!BT:BT))</f>
        <v/>
      </c>
      <c r="F40" s="430" t="str">
        <f>IF($B40=0,"",_xlfn.XLOOKUP($B40,INPUT_DATA!$BQ:$BQ,INPUT_DATA!BU:BU))</f>
        <v/>
      </c>
      <c r="G40" s="430" t="str">
        <f>IF($B40=0,"",_xlfn.XLOOKUP($B40,INPUT_DATA!$BQ:$BQ,INPUT_DATA!BV:BV))</f>
        <v/>
      </c>
      <c r="H40" s="430" t="str">
        <f>IF($B40=0,"",_xlfn.XLOOKUP($B40,INPUT_DATA!$BQ:$BQ,INPUT_DATA!BW:BW))</f>
        <v/>
      </c>
      <c r="I40" s="430" t="str">
        <f>IF($B40=0,"",_xlfn.XLOOKUP($B40,INPUT_DATA!$BQ:$BQ,INPUT_DATA!BX:BX))</f>
        <v/>
      </c>
      <c r="J40" s="430" t="str">
        <f>IF($B40=0,"",_xlfn.XLOOKUP($B40,INPUT_DATA!$BQ:$BQ,INPUT_DATA!BY:BY))</f>
        <v/>
      </c>
      <c r="K40" s="802" t="str">
        <f>IF($B40=0,"",_xlfn.XLOOKUP($B40,INPUT_DATA!$BQ:$BQ,INPUT_DATA!CD:CD))</f>
        <v/>
      </c>
      <c r="L40" s="802" t="str">
        <f>IF($B40=0,"",_xlfn.XLOOKUP($B40,INPUT_DATA!$BQ:$BQ,INPUT_DATA!CE:CE))</f>
        <v/>
      </c>
      <c r="M40" s="802" t="str">
        <f>IF($B40=0,"",_xlfn.XLOOKUP($B40,INPUT_DATA!$BQ:$BQ,INPUT_DATA!CF:CF))</f>
        <v/>
      </c>
      <c r="N40" s="802" t="str">
        <f>IF($B40=0,"",_xlfn.XLOOKUP($B40,INPUT_DATA!$BQ:$BQ,INPUT_DATA!CG:CG))</f>
        <v/>
      </c>
      <c r="O40" s="802" t="str">
        <f>IF($B40=0,"",_xlfn.XLOOKUP($B40,INPUT_DATA!$BQ:$BQ,INPUT_DATA!CH:CH))</f>
        <v/>
      </c>
    </row>
    <row r="41" spans="2:15" x14ac:dyDescent="0.35">
      <c r="B41" s="798">
        <f>'03 - Monthly Asset Follow up'!B46</f>
        <v>0</v>
      </c>
      <c r="C41" s="430" t="str">
        <f>IF($B41=0,"",_xlfn.XLOOKUP($B41,INPUT_DATA!$BQ:$BQ,INPUT_DATA!BR:BR))</f>
        <v/>
      </c>
      <c r="D41" s="430" t="str">
        <f>IF($B41=0,"",_xlfn.XLOOKUP($B41,INPUT_DATA!$BQ:$BQ,INPUT_DATA!BS:BS))</f>
        <v/>
      </c>
      <c r="E41" s="430" t="str">
        <f>IF($B41=0,"",_xlfn.XLOOKUP($B41,INPUT_DATA!$BQ:$BQ,INPUT_DATA!BT:BT))</f>
        <v/>
      </c>
      <c r="F41" s="430" t="str">
        <f>IF($B41=0,"",_xlfn.XLOOKUP($B41,INPUT_DATA!$BQ:$BQ,INPUT_DATA!BU:BU))</f>
        <v/>
      </c>
      <c r="G41" s="430" t="str">
        <f>IF($B41=0,"",_xlfn.XLOOKUP($B41,INPUT_DATA!$BQ:$BQ,INPUT_DATA!BV:BV))</f>
        <v/>
      </c>
      <c r="H41" s="430" t="str">
        <f>IF($B41=0,"",_xlfn.XLOOKUP($B41,INPUT_DATA!$BQ:$BQ,INPUT_DATA!BW:BW))</f>
        <v/>
      </c>
      <c r="I41" s="430" t="str">
        <f>IF($B41=0,"",_xlfn.XLOOKUP($B41,INPUT_DATA!$BQ:$BQ,INPUT_DATA!BX:BX))</f>
        <v/>
      </c>
      <c r="J41" s="430" t="str">
        <f>IF($B41=0,"",_xlfn.XLOOKUP($B41,INPUT_DATA!$BQ:$BQ,INPUT_DATA!BY:BY))</f>
        <v/>
      </c>
      <c r="K41" s="802" t="str">
        <f>IF($B41=0,"",_xlfn.XLOOKUP($B41,INPUT_DATA!$BQ:$BQ,INPUT_DATA!CD:CD))</f>
        <v/>
      </c>
      <c r="L41" s="802" t="str">
        <f>IF($B41=0,"",_xlfn.XLOOKUP($B41,INPUT_DATA!$BQ:$BQ,INPUT_DATA!CE:CE))</f>
        <v/>
      </c>
      <c r="M41" s="802" t="str">
        <f>IF($B41=0,"",_xlfn.XLOOKUP($B41,INPUT_DATA!$BQ:$BQ,INPUT_DATA!CF:CF))</f>
        <v/>
      </c>
      <c r="N41" s="802" t="str">
        <f>IF($B41=0,"",_xlfn.XLOOKUP($B41,INPUT_DATA!$BQ:$BQ,INPUT_DATA!CG:CG))</f>
        <v/>
      </c>
      <c r="O41" s="802" t="str">
        <f>IF($B41=0,"",_xlfn.XLOOKUP($B41,INPUT_DATA!$BQ:$BQ,INPUT_DATA!CH:CH))</f>
        <v/>
      </c>
    </row>
    <row r="42" spans="2:15" x14ac:dyDescent="0.35">
      <c r="B42" s="798">
        <f>'03 - Monthly Asset Follow up'!B47</f>
        <v>0</v>
      </c>
      <c r="C42" s="430" t="str">
        <f>IF($B42=0,"",_xlfn.XLOOKUP($B42,INPUT_DATA!$BQ:$BQ,INPUT_DATA!BR:BR))</f>
        <v/>
      </c>
      <c r="D42" s="430" t="str">
        <f>IF($B42=0,"",_xlfn.XLOOKUP($B42,INPUT_DATA!$BQ:$BQ,INPUT_DATA!BS:BS))</f>
        <v/>
      </c>
      <c r="E42" s="430" t="str">
        <f>IF($B42=0,"",_xlfn.XLOOKUP($B42,INPUT_DATA!$BQ:$BQ,INPUT_DATA!BT:BT))</f>
        <v/>
      </c>
      <c r="F42" s="430" t="str">
        <f>IF($B42=0,"",_xlfn.XLOOKUP($B42,INPUT_DATA!$BQ:$BQ,INPUT_DATA!BU:BU))</f>
        <v/>
      </c>
      <c r="G42" s="430" t="str">
        <f>IF($B42=0,"",_xlfn.XLOOKUP($B42,INPUT_DATA!$BQ:$BQ,INPUT_DATA!BV:BV))</f>
        <v/>
      </c>
      <c r="H42" s="430" t="str">
        <f>IF($B42=0,"",_xlfn.XLOOKUP($B42,INPUT_DATA!$BQ:$BQ,INPUT_DATA!BW:BW))</f>
        <v/>
      </c>
      <c r="I42" s="430" t="str">
        <f>IF($B42=0,"",_xlfn.XLOOKUP($B42,INPUT_DATA!$BQ:$BQ,INPUT_DATA!BX:BX))</f>
        <v/>
      </c>
      <c r="J42" s="430" t="str">
        <f>IF($B42=0,"",_xlfn.XLOOKUP($B42,INPUT_DATA!$BQ:$BQ,INPUT_DATA!BY:BY))</f>
        <v/>
      </c>
      <c r="K42" s="802" t="str">
        <f>IF($B42=0,"",_xlfn.XLOOKUP($B42,INPUT_DATA!$BQ:$BQ,INPUT_DATA!CD:CD))</f>
        <v/>
      </c>
      <c r="L42" s="802" t="str">
        <f>IF($B42=0,"",_xlfn.XLOOKUP($B42,INPUT_DATA!$BQ:$BQ,INPUT_DATA!CE:CE))</f>
        <v/>
      </c>
      <c r="M42" s="802" t="str">
        <f>IF($B42=0,"",_xlfn.XLOOKUP($B42,INPUT_DATA!$BQ:$BQ,INPUT_DATA!CF:CF))</f>
        <v/>
      </c>
      <c r="N42" s="802" t="str">
        <f>IF($B42=0,"",_xlfn.XLOOKUP($B42,INPUT_DATA!$BQ:$BQ,INPUT_DATA!CG:CG))</f>
        <v/>
      </c>
      <c r="O42" s="802" t="str">
        <f>IF($B42=0,"",_xlfn.XLOOKUP($B42,INPUT_DATA!$BQ:$BQ,INPUT_DATA!CH:CH))</f>
        <v/>
      </c>
    </row>
    <row r="43" spans="2:15" x14ac:dyDescent="0.35">
      <c r="B43" s="798">
        <f>'03 - Monthly Asset Follow up'!B48</f>
        <v>0</v>
      </c>
      <c r="C43" s="430" t="str">
        <f>IF($B43=0,"",_xlfn.XLOOKUP($B43,INPUT_DATA!$BQ:$BQ,INPUT_DATA!BR:BR))</f>
        <v/>
      </c>
      <c r="D43" s="430" t="str">
        <f>IF($B43=0,"",_xlfn.XLOOKUP($B43,INPUT_DATA!$BQ:$BQ,INPUT_DATA!BS:BS))</f>
        <v/>
      </c>
      <c r="E43" s="430" t="str">
        <f>IF($B43=0,"",_xlfn.XLOOKUP($B43,INPUT_DATA!$BQ:$BQ,INPUT_DATA!BT:BT))</f>
        <v/>
      </c>
      <c r="F43" s="430" t="str">
        <f>IF($B43=0,"",_xlfn.XLOOKUP($B43,INPUT_DATA!$BQ:$BQ,INPUT_DATA!BU:BU))</f>
        <v/>
      </c>
      <c r="G43" s="430" t="str">
        <f>IF($B43=0,"",_xlfn.XLOOKUP($B43,INPUT_DATA!$BQ:$BQ,INPUT_DATA!BV:BV))</f>
        <v/>
      </c>
      <c r="H43" s="430" t="str">
        <f>IF($B43=0,"",_xlfn.XLOOKUP($B43,INPUT_DATA!$BQ:$BQ,INPUT_DATA!BW:BW))</f>
        <v/>
      </c>
      <c r="I43" s="430" t="str">
        <f>IF($B43=0,"",_xlfn.XLOOKUP($B43,INPUT_DATA!$BQ:$BQ,INPUT_DATA!BX:BX))</f>
        <v/>
      </c>
      <c r="J43" s="430" t="str">
        <f>IF($B43=0,"",_xlfn.XLOOKUP($B43,INPUT_DATA!$BQ:$BQ,INPUT_DATA!BY:BY))</f>
        <v/>
      </c>
      <c r="K43" s="802" t="str">
        <f>IF($B43=0,"",_xlfn.XLOOKUP($B43,INPUT_DATA!$BQ:$BQ,INPUT_DATA!CD:CD))</f>
        <v/>
      </c>
      <c r="L43" s="802" t="str">
        <f>IF($B43=0,"",_xlfn.XLOOKUP($B43,INPUT_DATA!$BQ:$BQ,INPUT_DATA!CE:CE))</f>
        <v/>
      </c>
      <c r="M43" s="802" t="str">
        <f>IF($B43=0,"",_xlfn.XLOOKUP($B43,INPUT_DATA!$BQ:$BQ,INPUT_DATA!CF:CF))</f>
        <v/>
      </c>
      <c r="N43" s="802" t="str">
        <f>IF($B43=0,"",_xlfn.XLOOKUP($B43,INPUT_DATA!$BQ:$BQ,INPUT_DATA!CG:CG))</f>
        <v/>
      </c>
      <c r="O43" s="802" t="str">
        <f>IF($B43=0,"",_xlfn.XLOOKUP($B43,INPUT_DATA!$BQ:$BQ,INPUT_DATA!CH:CH))</f>
        <v/>
      </c>
    </row>
    <row r="44" spans="2:15" x14ac:dyDescent="0.35">
      <c r="B44" s="798">
        <f>'03 - Monthly Asset Follow up'!B49</f>
        <v>0</v>
      </c>
      <c r="C44" s="430" t="str">
        <f>IF($B44=0,"",_xlfn.XLOOKUP($B44,INPUT_DATA!$BQ:$BQ,INPUT_DATA!BR:BR))</f>
        <v/>
      </c>
      <c r="D44" s="430" t="str">
        <f>IF($B44=0,"",_xlfn.XLOOKUP($B44,INPUT_DATA!$BQ:$BQ,INPUT_DATA!BS:BS))</f>
        <v/>
      </c>
      <c r="E44" s="430" t="str">
        <f>IF($B44=0,"",_xlfn.XLOOKUP($B44,INPUT_DATA!$BQ:$BQ,INPUT_DATA!BT:BT))</f>
        <v/>
      </c>
      <c r="F44" s="430" t="str">
        <f>IF($B44=0,"",_xlfn.XLOOKUP($B44,INPUT_DATA!$BQ:$BQ,INPUT_DATA!BU:BU))</f>
        <v/>
      </c>
      <c r="G44" s="430" t="str">
        <f>IF($B44=0,"",_xlfn.XLOOKUP($B44,INPUT_DATA!$BQ:$BQ,INPUT_DATA!BV:BV))</f>
        <v/>
      </c>
      <c r="H44" s="430" t="str">
        <f>IF($B44=0,"",_xlfn.XLOOKUP($B44,INPUT_DATA!$BQ:$BQ,INPUT_DATA!BW:BW))</f>
        <v/>
      </c>
      <c r="I44" s="430" t="str">
        <f>IF($B44=0,"",_xlfn.XLOOKUP($B44,INPUT_DATA!$BQ:$BQ,INPUT_DATA!BX:BX))</f>
        <v/>
      </c>
      <c r="J44" s="430" t="str">
        <f>IF($B44=0,"",_xlfn.XLOOKUP($B44,INPUT_DATA!$BQ:$BQ,INPUT_DATA!BY:BY))</f>
        <v/>
      </c>
      <c r="K44" s="802" t="str">
        <f>IF($B44=0,"",_xlfn.XLOOKUP($B44,INPUT_DATA!$BQ:$BQ,INPUT_DATA!CD:CD))</f>
        <v/>
      </c>
      <c r="L44" s="802" t="str">
        <f>IF($B44=0,"",_xlfn.XLOOKUP($B44,INPUT_DATA!$BQ:$BQ,INPUT_DATA!CE:CE))</f>
        <v/>
      </c>
      <c r="M44" s="802" t="str">
        <f>IF($B44=0,"",_xlfn.XLOOKUP($B44,INPUT_DATA!$BQ:$BQ,INPUT_DATA!CF:CF))</f>
        <v/>
      </c>
      <c r="N44" s="802" t="str">
        <f>IF($B44=0,"",_xlfn.XLOOKUP($B44,INPUT_DATA!$BQ:$BQ,INPUT_DATA!CG:CG))</f>
        <v/>
      </c>
      <c r="O44" s="802" t="str">
        <f>IF($B44=0,"",_xlfn.XLOOKUP($B44,INPUT_DATA!$BQ:$BQ,INPUT_DATA!CH:CH))</f>
        <v/>
      </c>
    </row>
    <row r="45" spans="2:15" x14ac:dyDescent="0.35">
      <c r="B45" s="798">
        <f>'03 - Monthly Asset Follow up'!B50</f>
        <v>0</v>
      </c>
      <c r="C45" s="430" t="str">
        <f>IF($B45=0,"",_xlfn.XLOOKUP($B45,INPUT_DATA!$BQ:$BQ,INPUT_DATA!BR:BR))</f>
        <v/>
      </c>
      <c r="D45" s="430" t="str">
        <f>IF($B45=0,"",_xlfn.XLOOKUP($B45,INPUT_DATA!$BQ:$BQ,INPUT_DATA!BS:BS))</f>
        <v/>
      </c>
      <c r="E45" s="430" t="str">
        <f>IF($B45=0,"",_xlfn.XLOOKUP($B45,INPUT_DATA!$BQ:$BQ,INPUT_DATA!BT:BT))</f>
        <v/>
      </c>
      <c r="F45" s="430" t="str">
        <f>IF($B45=0,"",_xlfn.XLOOKUP($B45,INPUT_DATA!$BQ:$BQ,INPUT_DATA!BU:BU))</f>
        <v/>
      </c>
      <c r="G45" s="430" t="str">
        <f>IF($B45=0,"",_xlfn.XLOOKUP($B45,INPUT_DATA!$BQ:$BQ,INPUT_DATA!BV:BV))</f>
        <v/>
      </c>
      <c r="H45" s="430" t="str">
        <f>IF($B45=0,"",_xlfn.XLOOKUP($B45,INPUT_DATA!$BQ:$BQ,INPUT_DATA!BW:BW))</f>
        <v/>
      </c>
      <c r="I45" s="430" t="str">
        <f>IF($B45=0,"",_xlfn.XLOOKUP($B45,INPUT_DATA!$BQ:$BQ,INPUT_DATA!BX:BX))</f>
        <v/>
      </c>
      <c r="J45" s="430" t="str">
        <f>IF($B45=0,"",_xlfn.XLOOKUP($B45,INPUT_DATA!$BQ:$BQ,INPUT_DATA!BY:BY))</f>
        <v/>
      </c>
      <c r="K45" s="802" t="str">
        <f>IF($B45=0,"",_xlfn.XLOOKUP($B45,INPUT_DATA!$BQ:$BQ,INPUT_DATA!CD:CD))</f>
        <v/>
      </c>
      <c r="L45" s="802" t="str">
        <f>IF($B45=0,"",_xlfn.XLOOKUP($B45,INPUT_DATA!$BQ:$BQ,INPUT_DATA!CE:CE))</f>
        <v/>
      </c>
      <c r="M45" s="802" t="str">
        <f>IF($B45=0,"",_xlfn.XLOOKUP($B45,INPUT_DATA!$BQ:$BQ,INPUT_DATA!CF:CF))</f>
        <v/>
      </c>
      <c r="N45" s="802" t="str">
        <f>IF($B45=0,"",_xlfn.XLOOKUP($B45,INPUT_DATA!$BQ:$BQ,INPUT_DATA!CG:CG))</f>
        <v/>
      </c>
      <c r="O45" s="802" t="str">
        <f>IF($B45=0,"",_xlfn.XLOOKUP($B45,INPUT_DATA!$BQ:$BQ,INPUT_DATA!CH:CH))</f>
        <v/>
      </c>
    </row>
    <row r="46" spans="2:15" x14ac:dyDescent="0.35">
      <c r="B46" s="798">
        <f>'03 - Monthly Asset Follow up'!B51</f>
        <v>0</v>
      </c>
      <c r="C46" s="430" t="str">
        <f>IF($B46=0,"",_xlfn.XLOOKUP($B46,INPUT_DATA!$BQ:$BQ,INPUT_DATA!BR:BR))</f>
        <v/>
      </c>
      <c r="D46" s="430" t="str">
        <f>IF($B46=0,"",_xlfn.XLOOKUP($B46,INPUT_DATA!$BQ:$BQ,INPUT_DATA!BS:BS))</f>
        <v/>
      </c>
      <c r="E46" s="430" t="str">
        <f>IF($B46=0,"",_xlfn.XLOOKUP($B46,INPUT_DATA!$BQ:$BQ,INPUT_DATA!BT:BT))</f>
        <v/>
      </c>
      <c r="F46" s="430" t="str">
        <f>IF($B46=0,"",_xlfn.XLOOKUP($B46,INPUT_DATA!$BQ:$BQ,INPUT_DATA!BU:BU))</f>
        <v/>
      </c>
      <c r="G46" s="430" t="str">
        <f>IF($B46=0,"",_xlfn.XLOOKUP($B46,INPUT_DATA!$BQ:$BQ,INPUT_DATA!BV:BV))</f>
        <v/>
      </c>
      <c r="H46" s="430" t="str">
        <f>IF($B46=0,"",_xlfn.XLOOKUP($B46,INPUT_DATA!$BQ:$BQ,INPUT_DATA!BW:BW))</f>
        <v/>
      </c>
      <c r="I46" s="430" t="str">
        <f>IF($B46=0,"",_xlfn.XLOOKUP($B46,INPUT_DATA!$BQ:$BQ,INPUT_DATA!BX:BX))</f>
        <v/>
      </c>
      <c r="J46" s="430" t="str">
        <f>IF($B46=0,"",_xlfn.XLOOKUP($B46,INPUT_DATA!$BQ:$BQ,INPUT_DATA!BY:BY))</f>
        <v/>
      </c>
      <c r="K46" s="802" t="str">
        <f>IF($B46=0,"",_xlfn.XLOOKUP($B46,INPUT_DATA!$BQ:$BQ,INPUT_DATA!CD:CD))</f>
        <v/>
      </c>
      <c r="L46" s="802" t="str">
        <f>IF($B46=0,"",_xlfn.XLOOKUP($B46,INPUT_DATA!$BQ:$BQ,INPUT_DATA!CE:CE))</f>
        <v/>
      </c>
      <c r="M46" s="802" t="str">
        <f>IF($B46=0,"",_xlfn.XLOOKUP($B46,INPUT_DATA!$BQ:$BQ,INPUT_DATA!CF:CF))</f>
        <v/>
      </c>
      <c r="N46" s="802" t="str">
        <f>IF($B46=0,"",_xlfn.XLOOKUP($B46,INPUT_DATA!$BQ:$BQ,INPUT_DATA!CG:CG))</f>
        <v/>
      </c>
      <c r="O46" s="802" t="str">
        <f>IF($B46=0,"",_xlfn.XLOOKUP($B46,INPUT_DATA!$BQ:$BQ,INPUT_DATA!CH:CH))</f>
        <v/>
      </c>
    </row>
    <row r="47" spans="2:15" x14ac:dyDescent="0.35">
      <c r="B47" s="798">
        <f>'03 - Monthly Asset Follow up'!B52</f>
        <v>0</v>
      </c>
      <c r="C47" s="430" t="str">
        <f>IF($B47=0,"",_xlfn.XLOOKUP($B47,INPUT_DATA!$BQ:$BQ,INPUT_DATA!BR:BR))</f>
        <v/>
      </c>
      <c r="D47" s="430" t="str">
        <f>IF($B47=0,"",_xlfn.XLOOKUP($B47,INPUT_DATA!$BQ:$BQ,INPUT_DATA!BS:BS))</f>
        <v/>
      </c>
      <c r="E47" s="430" t="str">
        <f>IF($B47=0,"",_xlfn.XLOOKUP($B47,INPUT_DATA!$BQ:$BQ,INPUT_DATA!BT:BT))</f>
        <v/>
      </c>
      <c r="F47" s="430" t="str">
        <f>IF($B47=0,"",_xlfn.XLOOKUP($B47,INPUT_DATA!$BQ:$BQ,INPUT_DATA!BU:BU))</f>
        <v/>
      </c>
      <c r="G47" s="430" t="str">
        <f>IF($B47=0,"",_xlfn.XLOOKUP($B47,INPUT_DATA!$BQ:$BQ,INPUT_DATA!BV:BV))</f>
        <v/>
      </c>
      <c r="H47" s="430" t="str">
        <f>IF($B47=0,"",_xlfn.XLOOKUP($B47,INPUT_DATA!$BQ:$BQ,INPUT_DATA!BW:BW))</f>
        <v/>
      </c>
      <c r="I47" s="430" t="str">
        <f>IF($B47=0,"",_xlfn.XLOOKUP($B47,INPUT_DATA!$BQ:$BQ,INPUT_DATA!BX:BX))</f>
        <v/>
      </c>
      <c r="J47" s="430" t="str">
        <f>IF($B47=0,"",_xlfn.XLOOKUP($B47,INPUT_DATA!$BQ:$BQ,INPUT_DATA!BY:BY))</f>
        <v/>
      </c>
      <c r="K47" s="802" t="str">
        <f>IF($B47=0,"",_xlfn.XLOOKUP($B47,INPUT_DATA!$BQ:$BQ,INPUT_DATA!CD:CD))</f>
        <v/>
      </c>
      <c r="L47" s="802" t="str">
        <f>IF($B47=0,"",_xlfn.XLOOKUP($B47,INPUT_DATA!$BQ:$BQ,INPUT_DATA!CE:CE))</f>
        <v/>
      </c>
      <c r="M47" s="802" t="str">
        <f>IF($B47=0,"",_xlfn.XLOOKUP($B47,INPUT_DATA!$BQ:$BQ,INPUT_DATA!CF:CF))</f>
        <v/>
      </c>
      <c r="N47" s="802" t="str">
        <f>IF($B47=0,"",_xlfn.XLOOKUP($B47,INPUT_DATA!$BQ:$BQ,INPUT_DATA!CG:CG))</f>
        <v/>
      </c>
      <c r="O47" s="802" t="str">
        <f>IF($B47=0,"",_xlfn.XLOOKUP($B47,INPUT_DATA!$BQ:$BQ,INPUT_DATA!CH:CH))</f>
        <v/>
      </c>
    </row>
    <row r="48" spans="2:15" x14ac:dyDescent="0.35">
      <c r="B48" s="798">
        <f>'03 - Monthly Asset Follow up'!B53</f>
        <v>0</v>
      </c>
      <c r="C48" s="430" t="str">
        <f>IF($B48=0,"",_xlfn.XLOOKUP($B48,INPUT_DATA!$BQ:$BQ,INPUT_DATA!BR:BR))</f>
        <v/>
      </c>
      <c r="D48" s="430" t="str">
        <f>IF($B48=0,"",_xlfn.XLOOKUP($B48,INPUT_DATA!$BQ:$BQ,INPUT_DATA!BS:BS))</f>
        <v/>
      </c>
      <c r="E48" s="430" t="str">
        <f>IF($B48=0,"",_xlfn.XLOOKUP($B48,INPUT_DATA!$BQ:$BQ,INPUT_DATA!BT:BT))</f>
        <v/>
      </c>
      <c r="F48" s="430" t="str">
        <f>IF($B48=0,"",_xlfn.XLOOKUP($B48,INPUT_DATA!$BQ:$BQ,INPUT_DATA!BU:BU))</f>
        <v/>
      </c>
      <c r="G48" s="430" t="str">
        <f>IF($B48=0,"",_xlfn.XLOOKUP($B48,INPUT_DATA!$BQ:$BQ,INPUT_DATA!BV:BV))</f>
        <v/>
      </c>
      <c r="H48" s="430" t="str">
        <f>IF($B48=0,"",_xlfn.XLOOKUP($B48,INPUT_DATA!$BQ:$BQ,INPUT_DATA!BW:BW))</f>
        <v/>
      </c>
      <c r="I48" s="430" t="str">
        <f>IF($B48=0,"",_xlfn.XLOOKUP($B48,INPUT_DATA!$BQ:$BQ,INPUT_DATA!BX:BX))</f>
        <v/>
      </c>
      <c r="J48" s="430" t="str">
        <f>IF($B48=0,"",_xlfn.XLOOKUP($B48,INPUT_DATA!$BQ:$BQ,INPUT_DATA!BY:BY))</f>
        <v/>
      </c>
      <c r="K48" s="802" t="str">
        <f>IF($B48=0,"",_xlfn.XLOOKUP($B48,INPUT_DATA!$BQ:$BQ,INPUT_DATA!CD:CD))</f>
        <v/>
      </c>
      <c r="L48" s="802" t="str">
        <f>IF($B48=0,"",_xlfn.XLOOKUP($B48,INPUT_DATA!$BQ:$BQ,INPUT_DATA!CE:CE))</f>
        <v/>
      </c>
      <c r="M48" s="802" t="str">
        <f>IF($B48=0,"",_xlfn.XLOOKUP($B48,INPUT_DATA!$BQ:$BQ,INPUT_DATA!CF:CF))</f>
        <v/>
      </c>
      <c r="N48" s="802" t="str">
        <f>IF($B48=0,"",_xlfn.XLOOKUP($B48,INPUT_DATA!$BQ:$BQ,INPUT_DATA!CG:CG))</f>
        <v/>
      </c>
      <c r="O48" s="802" t="str">
        <f>IF($B48=0,"",_xlfn.XLOOKUP($B48,INPUT_DATA!$BQ:$BQ,INPUT_DATA!CH:CH))</f>
        <v/>
      </c>
    </row>
    <row r="49" spans="2:15" x14ac:dyDescent="0.35">
      <c r="B49" s="798">
        <f>'03 - Monthly Asset Follow up'!B54</f>
        <v>0</v>
      </c>
      <c r="C49" s="430" t="str">
        <f>IF($B49=0,"",_xlfn.XLOOKUP($B49,INPUT_DATA!$BQ:$BQ,INPUT_DATA!BR:BR))</f>
        <v/>
      </c>
      <c r="D49" s="430" t="str">
        <f>IF($B49=0,"",_xlfn.XLOOKUP($B49,INPUT_DATA!$BQ:$BQ,INPUT_DATA!BS:BS))</f>
        <v/>
      </c>
      <c r="E49" s="430" t="str">
        <f>IF($B49=0,"",_xlfn.XLOOKUP($B49,INPUT_DATA!$BQ:$BQ,INPUT_DATA!BT:BT))</f>
        <v/>
      </c>
      <c r="F49" s="430" t="str">
        <f>IF($B49=0,"",_xlfn.XLOOKUP($B49,INPUT_DATA!$BQ:$BQ,INPUT_DATA!BU:BU))</f>
        <v/>
      </c>
      <c r="G49" s="430" t="str">
        <f>IF($B49=0,"",_xlfn.XLOOKUP($B49,INPUT_DATA!$BQ:$BQ,INPUT_DATA!BV:BV))</f>
        <v/>
      </c>
      <c r="H49" s="430" t="str">
        <f>IF($B49=0,"",_xlfn.XLOOKUP($B49,INPUT_DATA!$BQ:$BQ,INPUT_DATA!BW:BW))</f>
        <v/>
      </c>
      <c r="I49" s="430" t="str">
        <f>IF($B49=0,"",_xlfn.XLOOKUP($B49,INPUT_DATA!$BQ:$BQ,INPUT_DATA!BX:BX))</f>
        <v/>
      </c>
      <c r="J49" s="430" t="str">
        <f>IF($B49=0,"",_xlfn.XLOOKUP($B49,INPUT_DATA!$BQ:$BQ,INPUT_DATA!BY:BY))</f>
        <v/>
      </c>
      <c r="K49" s="802" t="str">
        <f>IF($B49=0,"",_xlfn.XLOOKUP($B49,INPUT_DATA!$BQ:$BQ,INPUT_DATA!CD:CD))</f>
        <v/>
      </c>
      <c r="L49" s="802" t="str">
        <f>IF($B49=0,"",_xlfn.XLOOKUP($B49,INPUT_DATA!$BQ:$BQ,INPUT_DATA!CE:CE))</f>
        <v/>
      </c>
      <c r="M49" s="802" t="str">
        <f>IF($B49=0,"",_xlfn.XLOOKUP($B49,INPUT_DATA!$BQ:$BQ,INPUT_DATA!CF:CF))</f>
        <v/>
      </c>
      <c r="N49" s="802" t="str">
        <f>IF($B49=0,"",_xlfn.XLOOKUP($B49,INPUT_DATA!$BQ:$BQ,INPUT_DATA!CG:CG))</f>
        <v/>
      </c>
      <c r="O49" s="802" t="str">
        <f>IF($B49=0,"",_xlfn.XLOOKUP($B49,INPUT_DATA!$BQ:$BQ,INPUT_DATA!CH:CH))</f>
        <v/>
      </c>
    </row>
    <row r="50" spans="2:15" x14ac:dyDescent="0.35">
      <c r="B50" s="798">
        <f>'03 - Monthly Asset Follow up'!B55</f>
        <v>0</v>
      </c>
      <c r="C50" s="430" t="str">
        <f>IF($B50=0,"",_xlfn.XLOOKUP($B50,INPUT_DATA!$BQ:$BQ,INPUT_DATA!BR:BR))</f>
        <v/>
      </c>
      <c r="D50" s="430" t="str">
        <f>IF($B50=0,"",_xlfn.XLOOKUP($B50,INPUT_DATA!$BQ:$BQ,INPUT_DATA!BS:BS))</f>
        <v/>
      </c>
      <c r="E50" s="430" t="str">
        <f>IF($B50=0,"",_xlfn.XLOOKUP($B50,INPUT_DATA!$BQ:$BQ,INPUT_DATA!BT:BT))</f>
        <v/>
      </c>
      <c r="F50" s="430" t="str">
        <f>IF($B50=0,"",_xlfn.XLOOKUP($B50,INPUT_DATA!$BQ:$BQ,INPUT_DATA!BU:BU))</f>
        <v/>
      </c>
      <c r="G50" s="430" t="str">
        <f>IF($B50=0,"",_xlfn.XLOOKUP($B50,INPUT_DATA!$BQ:$BQ,INPUT_DATA!BV:BV))</f>
        <v/>
      </c>
      <c r="H50" s="430" t="str">
        <f>IF($B50=0,"",_xlfn.XLOOKUP($B50,INPUT_DATA!$BQ:$BQ,INPUT_DATA!BW:BW))</f>
        <v/>
      </c>
      <c r="I50" s="430" t="str">
        <f>IF($B50=0,"",_xlfn.XLOOKUP($B50,INPUT_DATA!$BQ:$BQ,INPUT_DATA!BX:BX))</f>
        <v/>
      </c>
      <c r="J50" s="430" t="str">
        <f>IF($B50=0,"",_xlfn.XLOOKUP($B50,INPUT_DATA!$BQ:$BQ,INPUT_DATA!BY:BY))</f>
        <v/>
      </c>
      <c r="K50" s="802" t="str">
        <f>IF($B50=0,"",_xlfn.XLOOKUP($B50,INPUT_DATA!$BQ:$BQ,INPUT_DATA!CD:CD))</f>
        <v/>
      </c>
      <c r="L50" s="802" t="str">
        <f>IF($B50=0,"",_xlfn.XLOOKUP($B50,INPUT_DATA!$BQ:$BQ,INPUT_DATA!CE:CE))</f>
        <v/>
      </c>
      <c r="M50" s="802" t="str">
        <f>IF($B50=0,"",_xlfn.XLOOKUP($B50,INPUT_DATA!$BQ:$BQ,INPUT_DATA!CF:CF))</f>
        <v/>
      </c>
      <c r="N50" s="802" t="str">
        <f>IF($B50=0,"",_xlfn.XLOOKUP($B50,INPUT_DATA!$BQ:$BQ,INPUT_DATA!CG:CG))</f>
        <v/>
      </c>
      <c r="O50" s="802" t="str">
        <f>IF($B50=0,"",_xlfn.XLOOKUP($B50,INPUT_DATA!$BQ:$BQ,INPUT_DATA!CH:CH))</f>
        <v/>
      </c>
    </row>
    <row r="51" spans="2:15" x14ac:dyDescent="0.35">
      <c r="B51" s="798">
        <f>'03 - Monthly Asset Follow up'!B56</f>
        <v>0</v>
      </c>
      <c r="C51" s="430" t="str">
        <f>IF($B51=0,"",_xlfn.XLOOKUP($B51,INPUT_DATA!$BQ:$BQ,INPUT_DATA!BR:BR))</f>
        <v/>
      </c>
      <c r="D51" s="430" t="str">
        <f>IF($B51=0,"",_xlfn.XLOOKUP($B51,INPUT_DATA!$BQ:$BQ,INPUT_DATA!BS:BS))</f>
        <v/>
      </c>
      <c r="E51" s="430" t="str">
        <f>IF($B51=0,"",_xlfn.XLOOKUP($B51,INPUT_DATA!$BQ:$BQ,INPUT_DATA!BT:BT))</f>
        <v/>
      </c>
      <c r="F51" s="430" t="str">
        <f>IF($B51=0,"",_xlfn.XLOOKUP($B51,INPUT_DATA!$BQ:$BQ,INPUT_DATA!BU:BU))</f>
        <v/>
      </c>
      <c r="G51" s="430" t="str">
        <f>IF($B51=0,"",_xlfn.XLOOKUP($B51,INPUT_DATA!$BQ:$BQ,INPUT_DATA!BV:BV))</f>
        <v/>
      </c>
      <c r="H51" s="430" t="str">
        <f>IF($B51=0,"",_xlfn.XLOOKUP($B51,INPUT_DATA!$BQ:$BQ,INPUT_DATA!BW:BW))</f>
        <v/>
      </c>
      <c r="I51" s="430" t="str">
        <f>IF($B51=0,"",_xlfn.XLOOKUP($B51,INPUT_DATA!$BQ:$BQ,INPUT_DATA!BX:BX))</f>
        <v/>
      </c>
      <c r="J51" s="430" t="str">
        <f>IF($B51=0,"",_xlfn.XLOOKUP($B51,INPUT_DATA!$BQ:$BQ,INPUT_DATA!BY:BY))</f>
        <v/>
      </c>
      <c r="K51" s="802" t="str">
        <f>IF($B51=0,"",_xlfn.XLOOKUP($B51,INPUT_DATA!$BQ:$BQ,INPUT_DATA!CD:CD))</f>
        <v/>
      </c>
      <c r="L51" s="802" t="str">
        <f>IF($B51=0,"",_xlfn.XLOOKUP($B51,INPUT_DATA!$BQ:$BQ,INPUT_DATA!CE:CE))</f>
        <v/>
      </c>
      <c r="M51" s="802" t="str">
        <f>IF($B51=0,"",_xlfn.XLOOKUP($B51,INPUT_DATA!$BQ:$BQ,INPUT_DATA!CF:CF))</f>
        <v/>
      </c>
      <c r="N51" s="802" t="str">
        <f>IF($B51=0,"",_xlfn.XLOOKUP($B51,INPUT_DATA!$BQ:$BQ,INPUT_DATA!CG:CG))</f>
        <v/>
      </c>
      <c r="O51" s="802" t="str">
        <f>IF($B51=0,"",_xlfn.XLOOKUP($B51,INPUT_DATA!$BQ:$BQ,INPUT_DATA!CH:CH))</f>
        <v/>
      </c>
    </row>
    <row r="52" spans="2:15" x14ac:dyDescent="0.35">
      <c r="B52" s="798">
        <f>'03 - Monthly Asset Follow up'!B57</f>
        <v>0</v>
      </c>
      <c r="C52" s="430" t="str">
        <f>IF($B52=0,"",_xlfn.XLOOKUP($B52,INPUT_DATA!$BQ:$BQ,INPUT_DATA!BR:BR))</f>
        <v/>
      </c>
      <c r="D52" s="430" t="str">
        <f>IF($B52=0,"",_xlfn.XLOOKUP($B52,INPUT_DATA!$BQ:$BQ,INPUT_DATA!BS:BS))</f>
        <v/>
      </c>
      <c r="E52" s="430" t="str">
        <f>IF($B52=0,"",_xlfn.XLOOKUP($B52,INPUT_DATA!$BQ:$BQ,INPUT_DATA!BT:BT))</f>
        <v/>
      </c>
      <c r="F52" s="430" t="str">
        <f>IF($B52=0,"",_xlfn.XLOOKUP($B52,INPUT_DATA!$BQ:$BQ,INPUT_DATA!BU:BU))</f>
        <v/>
      </c>
      <c r="G52" s="430" t="str">
        <f>IF($B52=0,"",_xlfn.XLOOKUP($B52,INPUT_DATA!$BQ:$BQ,INPUT_DATA!BV:BV))</f>
        <v/>
      </c>
      <c r="H52" s="430" t="str">
        <f>IF($B52=0,"",_xlfn.XLOOKUP($B52,INPUT_DATA!$BQ:$BQ,INPUT_DATA!BW:BW))</f>
        <v/>
      </c>
      <c r="I52" s="430" t="str">
        <f>IF($B52=0,"",_xlfn.XLOOKUP($B52,INPUT_DATA!$BQ:$BQ,INPUT_DATA!BX:BX))</f>
        <v/>
      </c>
      <c r="J52" s="430" t="str">
        <f>IF($B52=0,"",_xlfn.XLOOKUP($B52,INPUT_DATA!$BQ:$BQ,INPUT_DATA!BY:BY))</f>
        <v/>
      </c>
      <c r="K52" s="802" t="str">
        <f>IF($B52=0,"",_xlfn.XLOOKUP($B52,INPUT_DATA!$BQ:$BQ,INPUT_DATA!CD:CD))</f>
        <v/>
      </c>
      <c r="L52" s="802" t="str">
        <f>IF($B52=0,"",_xlfn.XLOOKUP($B52,INPUT_DATA!$BQ:$BQ,INPUT_DATA!CE:CE))</f>
        <v/>
      </c>
      <c r="M52" s="802" t="str">
        <f>IF($B52=0,"",_xlfn.XLOOKUP($B52,INPUT_DATA!$BQ:$BQ,INPUT_DATA!CF:CF))</f>
        <v/>
      </c>
      <c r="N52" s="802" t="str">
        <f>IF($B52=0,"",_xlfn.XLOOKUP($B52,INPUT_DATA!$BQ:$BQ,INPUT_DATA!CG:CG))</f>
        <v/>
      </c>
      <c r="O52" s="802" t="str">
        <f>IF($B52=0,"",_xlfn.XLOOKUP($B52,INPUT_DATA!$BQ:$BQ,INPUT_DATA!CH:CH))</f>
        <v/>
      </c>
    </row>
    <row r="53" spans="2:15" x14ac:dyDescent="0.35">
      <c r="B53" s="798">
        <f>'03 - Monthly Asset Follow up'!B58</f>
        <v>0</v>
      </c>
      <c r="C53" s="430" t="str">
        <f>IF($B53=0,"",_xlfn.XLOOKUP($B53,INPUT_DATA!$BQ:$BQ,INPUT_DATA!BR:BR))</f>
        <v/>
      </c>
      <c r="D53" s="430" t="str">
        <f>IF($B53=0,"",_xlfn.XLOOKUP($B53,INPUT_DATA!$BQ:$BQ,INPUT_DATA!BS:BS))</f>
        <v/>
      </c>
      <c r="E53" s="430" t="str">
        <f>IF($B53=0,"",_xlfn.XLOOKUP($B53,INPUT_DATA!$BQ:$BQ,INPUT_DATA!BT:BT))</f>
        <v/>
      </c>
      <c r="F53" s="430" t="str">
        <f>IF($B53=0,"",_xlfn.XLOOKUP($B53,INPUT_DATA!$BQ:$BQ,INPUT_DATA!BU:BU))</f>
        <v/>
      </c>
      <c r="G53" s="430" t="str">
        <f>IF($B53=0,"",_xlfn.XLOOKUP($B53,INPUT_DATA!$BQ:$BQ,INPUT_DATA!BV:BV))</f>
        <v/>
      </c>
      <c r="H53" s="430" t="str">
        <f>IF($B53=0,"",_xlfn.XLOOKUP($B53,INPUT_DATA!$BQ:$BQ,INPUT_DATA!BW:BW))</f>
        <v/>
      </c>
      <c r="I53" s="430" t="str">
        <f>IF($B53=0,"",_xlfn.XLOOKUP($B53,INPUT_DATA!$BQ:$BQ,INPUT_DATA!BX:BX))</f>
        <v/>
      </c>
      <c r="J53" s="430" t="str">
        <f>IF($B53=0,"",_xlfn.XLOOKUP($B53,INPUT_DATA!$BQ:$BQ,INPUT_DATA!BY:BY))</f>
        <v/>
      </c>
      <c r="K53" s="802" t="str">
        <f>IF($B53=0,"",_xlfn.XLOOKUP($B53,INPUT_DATA!$BQ:$BQ,INPUT_DATA!CD:CD))</f>
        <v/>
      </c>
      <c r="L53" s="802" t="str">
        <f>IF($B53=0,"",_xlfn.XLOOKUP($B53,INPUT_DATA!$BQ:$BQ,INPUT_DATA!CE:CE))</f>
        <v/>
      </c>
      <c r="M53" s="802" t="str">
        <f>IF($B53=0,"",_xlfn.XLOOKUP($B53,INPUT_DATA!$BQ:$BQ,INPUT_DATA!CF:CF))</f>
        <v/>
      </c>
      <c r="N53" s="802" t="str">
        <f>IF($B53=0,"",_xlfn.XLOOKUP($B53,INPUT_DATA!$BQ:$BQ,INPUT_DATA!CG:CG))</f>
        <v/>
      </c>
      <c r="O53" s="802" t="str">
        <f>IF($B53=0,"",_xlfn.XLOOKUP($B53,INPUT_DATA!$BQ:$BQ,INPUT_DATA!CH:CH))</f>
        <v/>
      </c>
    </row>
    <row r="54" spans="2:15" x14ac:dyDescent="0.35">
      <c r="B54" s="798">
        <f>'03 - Monthly Asset Follow up'!B59</f>
        <v>0</v>
      </c>
      <c r="C54" s="430" t="str">
        <f>IF($B54=0,"",_xlfn.XLOOKUP($B54,INPUT_DATA!$BQ:$BQ,INPUT_DATA!BR:BR))</f>
        <v/>
      </c>
      <c r="D54" s="430" t="str">
        <f>IF($B54=0,"",_xlfn.XLOOKUP($B54,INPUT_DATA!$BQ:$BQ,INPUT_DATA!BS:BS))</f>
        <v/>
      </c>
      <c r="E54" s="430" t="str">
        <f>IF($B54=0,"",_xlfn.XLOOKUP($B54,INPUT_DATA!$BQ:$BQ,INPUT_DATA!BT:BT))</f>
        <v/>
      </c>
      <c r="F54" s="430" t="str">
        <f>IF($B54=0,"",_xlfn.XLOOKUP($B54,INPUT_DATA!$BQ:$BQ,INPUT_DATA!BU:BU))</f>
        <v/>
      </c>
      <c r="G54" s="430" t="str">
        <f>IF($B54=0,"",_xlfn.XLOOKUP($B54,INPUT_DATA!$BQ:$BQ,INPUT_DATA!BV:BV))</f>
        <v/>
      </c>
      <c r="H54" s="430" t="str">
        <f>IF($B54=0,"",_xlfn.XLOOKUP($B54,INPUT_DATA!$BQ:$BQ,INPUT_DATA!BW:BW))</f>
        <v/>
      </c>
      <c r="I54" s="430" t="str">
        <f>IF($B54=0,"",_xlfn.XLOOKUP($B54,INPUT_DATA!$BQ:$BQ,INPUT_DATA!BX:BX))</f>
        <v/>
      </c>
      <c r="J54" s="430" t="str">
        <f>IF($B54=0,"",_xlfn.XLOOKUP($B54,INPUT_DATA!$BQ:$BQ,INPUT_DATA!BY:BY))</f>
        <v/>
      </c>
      <c r="K54" s="802" t="str">
        <f>IF($B54=0,"",_xlfn.XLOOKUP($B54,INPUT_DATA!$BQ:$BQ,INPUT_DATA!CD:CD))</f>
        <v/>
      </c>
      <c r="L54" s="802" t="str">
        <f>IF($B54=0,"",_xlfn.XLOOKUP($B54,INPUT_DATA!$BQ:$BQ,INPUT_DATA!CE:CE))</f>
        <v/>
      </c>
      <c r="M54" s="802" t="str">
        <f>IF($B54=0,"",_xlfn.XLOOKUP($B54,INPUT_DATA!$BQ:$BQ,INPUT_DATA!CF:CF))</f>
        <v/>
      </c>
      <c r="N54" s="802" t="str">
        <f>IF($B54=0,"",_xlfn.XLOOKUP($B54,INPUT_DATA!$BQ:$BQ,INPUT_DATA!CG:CG))</f>
        <v/>
      </c>
      <c r="O54" s="802" t="str">
        <f>IF($B54=0,"",_xlfn.XLOOKUP($B54,INPUT_DATA!$BQ:$BQ,INPUT_DATA!CH:CH))</f>
        <v/>
      </c>
    </row>
    <row r="55" spans="2:15" x14ac:dyDescent="0.35">
      <c r="B55" s="798">
        <f>'03 - Monthly Asset Follow up'!B60</f>
        <v>0</v>
      </c>
      <c r="C55" s="430" t="str">
        <f>IF($B55=0,"",_xlfn.XLOOKUP($B55,INPUT_DATA!$BQ:$BQ,INPUT_DATA!BR:BR))</f>
        <v/>
      </c>
      <c r="D55" s="430" t="str">
        <f>IF($B55=0,"",_xlfn.XLOOKUP($B55,INPUT_DATA!$BQ:$BQ,INPUT_DATA!BS:BS))</f>
        <v/>
      </c>
      <c r="E55" s="430" t="str">
        <f>IF($B55=0,"",_xlfn.XLOOKUP($B55,INPUT_DATA!$BQ:$BQ,INPUT_DATA!BT:BT))</f>
        <v/>
      </c>
      <c r="F55" s="430" t="str">
        <f>IF($B55=0,"",_xlfn.XLOOKUP($B55,INPUT_DATA!$BQ:$BQ,INPUT_DATA!BU:BU))</f>
        <v/>
      </c>
      <c r="G55" s="430" t="str">
        <f>IF($B55=0,"",_xlfn.XLOOKUP($B55,INPUT_DATA!$BQ:$BQ,INPUT_DATA!BV:BV))</f>
        <v/>
      </c>
      <c r="H55" s="430" t="str">
        <f>IF($B55=0,"",_xlfn.XLOOKUP($B55,INPUT_DATA!$BQ:$BQ,INPUT_DATA!BW:BW))</f>
        <v/>
      </c>
      <c r="I55" s="430" t="str">
        <f>IF($B55=0,"",_xlfn.XLOOKUP($B55,INPUT_DATA!$BQ:$BQ,INPUT_DATA!BX:BX))</f>
        <v/>
      </c>
      <c r="J55" s="430" t="str">
        <f>IF($B55=0,"",_xlfn.XLOOKUP($B55,INPUT_DATA!$BQ:$BQ,INPUT_DATA!BY:BY))</f>
        <v/>
      </c>
      <c r="K55" s="802" t="str">
        <f>IF($B55=0,"",_xlfn.XLOOKUP($B55,INPUT_DATA!$BQ:$BQ,INPUT_DATA!CD:CD))</f>
        <v/>
      </c>
      <c r="L55" s="802" t="str">
        <f>IF($B55=0,"",_xlfn.XLOOKUP($B55,INPUT_DATA!$BQ:$BQ,INPUT_DATA!CE:CE))</f>
        <v/>
      </c>
      <c r="M55" s="802" t="str">
        <f>IF($B55=0,"",_xlfn.XLOOKUP($B55,INPUT_DATA!$BQ:$BQ,INPUT_DATA!CF:CF))</f>
        <v/>
      </c>
      <c r="N55" s="802" t="str">
        <f>IF($B55=0,"",_xlfn.XLOOKUP($B55,INPUT_DATA!$BQ:$BQ,INPUT_DATA!CG:CG))</f>
        <v/>
      </c>
      <c r="O55" s="802" t="str">
        <f>IF($B55=0,"",_xlfn.XLOOKUP($B55,INPUT_DATA!$BQ:$BQ,INPUT_DATA!CH:CH))</f>
        <v/>
      </c>
    </row>
    <row r="56" spans="2:15" x14ac:dyDescent="0.35">
      <c r="B56" s="798">
        <f>'03 - Monthly Asset Follow up'!B61</f>
        <v>0</v>
      </c>
      <c r="C56" s="430" t="str">
        <f>IF($B56=0,"",_xlfn.XLOOKUP($B56,INPUT_DATA!$BQ:$BQ,INPUT_DATA!BR:BR))</f>
        <v/>
      </c>
      <c r="D56" s="430" t="str">
        <f>IF($B56=0,"",_xlfn.XLOOKUP($B56,INPUT_DATA!$BQ:$BQ,INPUT_DATA!BS:BS))</f>
        <v/>
      </c>
      <c r="E56" s="430" t="str">
        <f>IF($B56=0,"",_xlfn.XLOOKUP($B56,INPUT_DATA!$BQ:$BQ,INPUT_DATA!BT:BT))</f>
        <v/>
      </c>
      <c r="F56" s="430" t="str">
        <f>IF($B56=0,"",_xlfn.XLOOKUP($B56,INPUT_DATA!$BQ:$BQ,INPUT_DATA!BU:BU))</f>
        <v/>
      </c>
      <c r="G56" s="430" t="str">
        <f>IF($B56=0,"",_xlfn.XLOOKUP($B56,INPUT_DATA!$BQ:$BQ,INPUT_DATA!BV:BV))</f>
        <v/>
      </c>
      <c r="H56" s="430" t="str">
        <f>IF($B56=0,"",_xlfn.XLOOKUP($B56,INPUT_DATA!$BQ:$BQ,INPUT_DATA!BW:BW))</f>
        <v/>
      </c>
      <c r="I56" s="430" t="str">
        <f>IF($B56=0,"",_xlfn.XLOOKUP($B56,INPUT_DATA!$BQ:$BQ,INPUT_DATA!BX:BX))</f>
        <v/>
      </c>
      <c r="J56" s="430" t="str">
        <f>IF($B56=0,"",_xlfn.XLOOKUP($B56,INPUT_DATA!$BQ:$BQ,INPUT_DATA!BY:BY))</f>
        <v/>
      </c>
      <c r="K56" s="802" t="str">
        <f>IF($B56=0,"",_xlfn.XLOOKUP($B56,INPUT_DATA!$BQ:$BQ,INPUT_DATA!CD:CD))</f>
        <v/>
      </c>
      <c r="L56" s="802" t="str">
        <f>IF($B56=0,"",_xlfn.XLOOKUP($B56,INPUT_DATA!$BQ:$BQ,INPUT_DATA!CE:CE))</f>
        <v/>
      </c>
      <c r="M56" s="802" t="str">
        <f>IF($B56=0,"",_xlfn.XLOOKUP($B56,INPUT_DATA!$BQ:$BQ,INPUT_DATA!CF:CF))</f>
        <v/>
      </c>
      <c r="N56" s="802" t="str">
        <f>IF($B56=0,"",_xlfn.XLOOKUP($B56,INPUT_DATA!$BQ:$BQ,INPUT_DATA!CG:CG))</f>
        <v/>
      </c>
      <c r="O56" s="802" t="str">
        <f>IF($B56=0,"",_xlfn.XLOOKUP($B56,INPUT_DATA!$BQ:$BQ,INPUT_DATA!CH:CH))</f>
        <v/>
      </c>
    </row>
    <row r="57" spans="2:15" x14ac:dyDescent="0.35">
      <c r="B57" s="798">
        <f>'03 - Monthly Asset Follow up'!B62</f>
        <v>0</v>
      </c>
      <c r="C57" s="430" t="str">
        <f>IF($B57=0,"",_xlfn.XLOOKUP($B57,INPUT_DATA!$BQ:$BQ,INPUT_DATA!BR:BR))</f>
        <v/>
      </c>
      <c r="D57" s="430" t="str">
        <f>IF($B57=0,"",_xlfn.XLOOKUP($B57,INPUT_DATA!$BQ:$BQ,INPUT_DATA!BS:BS))</f>
        <v/>
      </c>
      <c r="E57" s="430" t="str">
        <f>IF($B57=0,"",_xlfn.XLOOKUP($B57,INPUT_DATA!$BQ:$BQ,INPUT_DATA!BT:BT))</f>
        <v/>
      </c>
      <c r="F57" s="430" t="str">
        <f>IF($B57=0,"",_xlfn.XLOOKUP($B57,INPUT_DATA!$BQ:$BQ,INPUT_DATA!BU:BU))</f>
        <v/>
      </c>
      <c r="G57" s="430" t="str">
        <f>IF($B57=0,"",_xlfn.XLOOKUP($B57,INPUT_DATA!$BQ:$BQ,INPUT_DATA!BV:BV))</f>
        <v/>
      </c>
      <c r="H57" s="430" t="str">
        <f>IF($B57=0,"",_xlfn.XLOOKUP($B57,INPUT_DATA!$BQ:$BQ,INPUT_DATA!BW:BW))</f>
        <v/>
      </c>
      <c r="I57" s="430" t="str">
        <f>IF($B57=0,"",_xlfn.XLOOKUP($B57,INPUT_DATA!$BQ:$BQ,INPUT_DATA!BX:BX))</f>
        <v/>
      </c>
      <c r="J57" s="430" t="str">
        <f>IF($B57=0,"",_xlfn.XLOOKUP($B57,INPUT_DATA!$BQ:$BQ,INPUT_DATA!BY:BY))</f>
        <v/>
      </c>
      <c r="K57" s="802" t="str">
        <f>IF($B57=0,"",_xlfn.XLOOKUP($B57,INPUT_DATA!$BQ:$BQ,INPUT_DATA!CD:CD))</f>
        <v/>
      </c>
      <c r="L57" s="802" t="str">
        <f>IF($B57=0,"",_xlfn.XLOOKUP($B57,INPUT_DATA!$BQ:$BQ,INPUT_DATA!CE:CE))</f>
        <v/>
      </c>
      <c r="M57" s="802" t="str">
        <f>IF($B57=0,"",_xlfn.XLOOKUP($B57,INPUT_DATA!$BQ:$BQ,INPUT_DATA!CF:CF))</f>
        <v/>
      </c>
      <c r="N57" s="802" t="str">
        <f>IF($B57=0,"",_xlfn.XLOOKUP($B57,INPUT_DATA!$BQ:$BQ,INPUT_DATA!CG:CG))</f>
        <v/>
      </c>
      <c r="O57" s="802" t="str">
        <f>IF($B57=0,"",_xlfn.XLOOKUP($B57,INPUT_DATA!$BQ:$BQ,INPUT_DATA!CH:CH))</f>
        <v/>
      </c>
    </row>
    <row r="58" spans="2:15" x14ac:dyDescent="0.35">
      <c r="B58" s="798">
        <f>'03 - Monthly Asset Follow up'!B63</f>
        <v>0</v>
      </c>
      <c r="C58" s="430" t="str">
        <f>IF($B58=0,"",_xlfn.XLOOKUP($B58,INPUT_DATA!$BQ:$BQ,INPUT_DATA!BR:BR))</f>
        <v/>
      </c>
      <c r="D58" s="430" t="str">
        <f>IF($B58=0,"",_xlfn.XLOOKUP($B58,INPUT_DATA!$BQ:$BQ,INPUT_DATA!BS:BS))</f>
        <v/>
      </c>
      <c r="E58" s="430" t="str">
        <f>IF($B58=0,"",_xlfn.XLOOKUP($B58,INPUT_DATA!$BQ:$BQ,INPUT_DATA!BT:BT))</f>
        <v/>
      </c>
      <c r="F58" s="430" t="str">
        <f>IF($B58=0,"",_xlfn.XLOOKUP($B58,INPUT_DATA!$BQ:$BQ,INPUT_DATA!BU:BU))</f>
        <v/>
      </c>
      <c r="G58" s="430" t="str">
        <f>IF($B58=0,"",_xlfn.XLOOKUP($B58,INPUT_DATA!$BQ:$BQ,INPUT_DATA!BV:BV))</f>
        <v/>
      </c>
      <c r="H58" s="430" t="str">
        <f>IF($B58=0,"",_xlfn.XLOOKUP($B58,INPUT_DATA!$BQ:$BQ,INPUT_DATA!BW:BW))</f>
        <v/>
      </c>
      <c r="I58" s="430" t="str">
        <f>IF($B58=0,"",_xlfn.XLOOKUP($B58,INPUT_DATA!$BQ:$BQ,INPUT_DATA!BX:BX))</f>
        <v/>
      </c>
      <c r="J58" s="430" t="str">
        <f>IF($B58=0,"",_xlfn.XLOOKUP($B58,INPUT_DATA!$BQ:$BQ,INPUT_DATA!BY:BY))</f>
        <v/>
      </c>
      <c r="K58" s="802" t="str">
        <f>IF($B58=0,"",_xlfn.XLOOKUP($B58,INPUT_DATA!$BQ:$BQ,INPUT_DATA!CD:CD))</f>
        <v/>
      </c>
      <c r="L58" s="802" t="str">
        <f>IF($B58=0,"",_xlfn.XLOOKUP($B58,INPUT_DATA!$BQ:$BQ,INPUT_DATA!CE:CE))</f>
        <v/>
      </c>
      <c r="M58" s="802" t="str">
        <f>IF($B58=0,"",_xlfn.XLOOKUP($B58,INPUT_DATA!$BQ:$BQ,INPUT_DATA!CF:CF))</f>
        <v/>
      </c>
      <c r="N58" s="802" t="str">
        <f>IF($B58=0,"",_xlfn.XLOOKUP($B58,INPUT_DATA!$BQ:$BQ,INPUT_DATA!CG:CG))</f>
        <v/>
      </c>
      <c r="O58" s="802" t="str">
        <f>IF($B58=0,"",_xlfn.XLOOKUP($B58,INPUT_DATA!$BQ:$BQ,INPUT_DATA!CH:CH))</f>
        <v/>
      </c>
    </row>
    <row r="59" spans="2:15" x14ac:dyDescent="0.35">
      <c r="B59" s="798">
        <f>'03 - Monthly Asset Follow up'!B64</f>
        <v>0</v>
      </c>
      <c r="C59" s="430" t="str">
        <f>IF($B59=0,"",_xlfn.XLOOKUP($B59,INPUT_DATA!$BQ:$BQ,INPUT_DATA!BR:BR))</f>
        <v/>
      </c>
      <c r="D59" s="430" t="str">
        <f>IF($B59=0,"",_xlfn.XLOOKUP($B59,INPUT_DATA!$BQ:$BQ,INPUT_DATA!BS:BS))</f>
        <v/>
      </c>
      <c r="E59" s="430" t="str">
        <f>IF($B59=0,"",_xlfn.XLOOKUP($B59,INPUT_DATA!$BQ:$BQ,INPUT_DATA!BT:BT))</f>
        <v/>
      </c>
      <c r="F59" s="430" t="str">
        <f>IF($B59=0,"",_xlfn.XLOOKUP($B59,INPUT_DATA!$BQ:$BQ,INPUT_DATA!BU:BU))</f>
        <v/>
      </c>
      <c r="G59" s="430" t="str">
        <f>IF($B59=0,"",_xlfn.XLOOKUP($B59,INPUT_DATA!$BQ:$BQ,INPUT_DATA!BV:BV))</f>
        <v/>
      </c>
      <c r="H59" s="430" t="str">
        <f>IF($B59=0,"",_xlfn.XLOOKUP($B59,INPUT_DATA!$BQ:$BQ,INPUT_DATA!BW:BW))</f>
        <v/>
      </c>
      <c r="I59" s="430" t="str">
        <f>IF($B59=0,"",_xlfn.XLOOKUP($B59,INPUT_DATA!$BQ:$BQ,INPUT_DATA!BX:BX))</f>
        <v/>
      </c>
      <c r="J59" s="430" t="str">
        <f>IF($B59=0,"",_xlfn.XLOOKUP($B59,INPUT_DATA!$BQ:$BQ,INPUT_DATA!BY:BY))</f>
        <v/>
      </c>
      <c r="K59" s="802" t="str">
        <f>IF($B59=0,"",_xlfn.XLOOKUP($B59,INPUT_DATA!$BQ:$BQ,INPUT_DATA!CD:CD))</f>
        <v/>
      </c>
      <c r="L59" s="802" t="str">
        <f>IF($B59=0,"",_xlfn.XLOOKUP($B59,INPUT_DATA!$BQ:$BQ,INPUT_DATA!CE:CE))</f>
        <v/>
      </c>
      <c r="M59" s="802" t="str">
        <f>IF($B59=0,"",_xlfn.XLOOKUP($B59,INPUT_DATA!$BQ:$BQ,INPUT_DATA!CF:CF))</f>
        <v/>
      </c>
      <c r="N59" s="802" t="str">
        <f>IF($B59=0,"",_xlfn.XLOOKUP($B59,INPUT_DATA!$BQ:$BQ,INPUT_DATA!CG:CG))</f>
        <v/>
      </c>
      <c r="O59" s="802" t="str">
        <f>IF($B59=0,"",_xlfn.XLOOKUP($B59,INPUT_DATA!$BQ:$BQ,INPUT_DATA!CH:CH))</f>
        <v/>
      </c>
    </row>
    <row r="60" spans="2:15" x14ac:dyDescent="0.35">
      <c r="B60" s="798">
        <f>'03 - Monthly Asset Follow up'!B65</f>
        <v>0</v>
      </c>
      <c r="C60" s="430" t="str">
        <f>IF($B60=0,"",_xlfn.XLOOKUP($B60,INPUT_DATA!$BQ:$BQ,INPUT_DATA!BR:BR))</f>
        <v/>
      </c>
      <c r="D60" s="430" t="str">
        <f>IF($B60=0,"",_xlfn.XLOOKUP($B60,INPUT_DATA!$BQ:$BQ,INPUT_DATA!BS:BS))</f>
        <v/>
      </c>
      <c r="E60" s="430" t="str">
        <f>IF($B60=0,"",_xlfn.XLOOKUP($B60,INPUT_DATA!$BQ:$BQ,INPUT_DATA!BT:BT))</f>
        <v/>
      </c>
      <c r="F60" s="430" t="str">
        <f>IF($B60=0,"",_xlfn.XLOOKUP($B60,INPUT_DATA!$BQ:$BQ,INPUT_DATA!BU:BU))</f>
        <v/>
      </c>
      <c r="G60" s="430" t="str">
        <f>IF($B60=0,"",_xlfn.XLOOKUP($B60,INPUT_DATA!$BQ:$BQ,INPUT_DATA!BV:BV))</f>
        <v/>
      </c>
      <c r="H60" s="430" t="str">
        <f>IF($B60=0,"",_xlfn.XLOOKUP($B60,INPUT_DATA!$BQ:$BQ,INPUT_DATA!BW:BW))</f>
        <v/>
      </c>
      <c r="I60" s="430" t="str">
        <f>IF($B60=0,"",_xlfn.XLOOKUP($B60,INPUT_DATA!$BQ:$BQ,INPUT_DATA!BX:BX))</f>
        <v/>
      </c>
      <c r="J60" s="430" t="str">
        <f>IF($B60=0,"",_xlfn.XLOOKUP($B60,INPUT_DATA!$BQ:$BQ,INPUT_DATA!BY:BY))</f>
        <v/>
      </c>
      <c r="K60" s="802" t="str">
        <f>IF($B60=0,"",_xlfn.XLOOKUP($B60,INPUT_DATA!$BQ:$BQ,INPUT_DATA!CD:CD))</f>
        <v/>
      </c>
      <c r="L60" s="802" t="str">
        <f>IF($B60=0,"",_xlfn.XLOOKUP($B60,INPUT_DATA!$BQ:$BQ,INPUT_DATA!CE:CE))</f>
        <v/>
      </c>
      <c r="M60" s="802" t="str">
        <f>IF($B60=0,"",_xlfn.XLOOKUP($B60,INPUT_DATA!$BQ:$BQ,INPUT_DATA!CF:CF))</f>
        <v/>
      </c>
      <c r="N60" s="802" t="str">
        <f>IF($B60=0,"",_xlfn.XLOOKUP($B60,INPUT_DATA!$BQ:$BQ,INPUT_DATA!CG:CG))</f>
        <v/>
      </c>
      <c r="O60" s="802" t="str">
        <f>IF($B60=0,"",_xlfn.XLOOKUP($B60,INPUT_DATA!$BQ:$BQ,INPUT_DATA!CH:CH))</f>
        <v/>
      </c>
    </row>
    <row r="61" spans="2:15" x14ac:dyDescent="0.35">
      <c r="B61" s="798">
        <f>'03 - Monthly Asset Follow up'!B66</f>
        <v>0</v>
      </c>
      <c r="C61" s="430" t="str">
        <f>IF($B61=0,"",_xlfn.XLOOKUP($B61,INPUT_DATA!$BQ:$BQ,INPUT_DATA!BR:BR))</f>
        <v/>
      </c>
      <c r="D61" s="430" t="str">
        <f>IF($B61=0,"",_xlfn.XLOOKUP($B61,INPUT_DATA!$BQ:$BQ,INPUT_DATA!BS:BS))</f>
        <v/>
      </c>
      <c r="E61" s="430" t="str">
        <f>IF($B61=0,"",_xlfn.XLOOKUP($B61,INPUT_DATA!$BQ:$BQ,INPUT_DATA!BT:BT))</f>
        <v/>
      </c>
      <c r="F61" s="430" t="str">
        <f>IF($B61=0,"",_xlfn.XLOOKUP($B61,INPUT_DATA!$BQ:$BQ,INPUT_DATA!BU:BU))</f>
        <v/>
      </c>
      <c r="G61" s="430" t="str">
        <f>IF($B61=0,"",_xlfn.XLOOKUP($B61,INPUT_DATA!$BQ:$BQ,INPUT_DATA!BV:BV))</f>
        <v/>
      </c>
      <c r="H61" s="430" t="str">
        <f>IF($B61=0,"",_xlfn.XLOOKUP($B61,INPUT_DATA!$BQ:$BQ,INPUT_DATA!BW:BW))</f>
        <v/>
      </c>
      <c r="I61" s="430" t="str">
        <f>IF($B61=0,"",_xlfn.XLOOKUP($B61,INPUT_DATA!$BQ:$BQ,INPUT_DATA!BX:BX))</f>
        <v/>
      </c>
      <c r="J61" s="430" t="str">
        <f>IF($B61=0,"",_xlfn.XLOOKUP($B61,INPUT_DATA!$BQ:$BQ,INPUT_DATA!BY:BY))</f>
        <v/>
      </c>
      <c r="K61" s="802" t="str">
        <f>IF($B61=0,"",_xlfn.XLOOKUP($B61,INPUT_DATA!$BQ:$BQ,INPUT_DATA!CD:CD))</f>
        <v/>
      </c>
      <c r="L61" s="802" t="str">
        <f>IF($B61=0,"",_xlfn.XLOOKUP($B61,INPUT_DATA!$BQ:$BQ,INPUT_DATA!CE:CE))</f>
        <v/>
      </c>
      <c r="M61" s="802" t="str">
        <f>IF($B61=0,"",_xlfn.XLOOKUP($B61,INPUT_DATA!$BQ:$BQ,INPUT_DATA!CF:CF))</f>
        <v/>
      </c>
      <c r="N61" s="802" t="str">
        <f>IF($B61=0,"",_xlfn.XLOOKUP($B61,INPUT_DATA!$BQ:$BQ,INPUT_DATA!CG:CG))</f>
        <v/>
      </c>
      <c r="O61" s="802" t="str">
        <f>IF($B61=0,"",_xlfn.XLOOKUP($B61,INPUT_DATA!$BQ:$BQ,INPUT_DATA!CH:CH))</f>
        <v/>
      </c>
    </row>
    <row r="62" spans="2:15" x14ac:dyDescent="0.35">
      <c r="B62" s="798">
        <f>'03 - Monthly Asset Follow up'!B67</f>
        <v>0</v>
      </c>
      <c r="C62" s="430" t="str">
        <f>IF($B62=0,"",_xlfn.XLOOKUP($B62,INPUT_DATA!$BQ:$BQ,INPUT_DATA!BR:BR))</f>
        <v/>
      </c>
      <c r="D62" s="430" t="str">
        <f>IF($B62=0,"",_xlfn.XLOOKUP($B62,INPUT_DATA!$BQ:$BQ,INPUT_DATA!BS:BS))</f>
        <v/>
      </c>
      <c r="E62" s="430" t="str">
        <f>IF($B62=0,"",_xlfn.XLOOKUP($B62,INPUT_DATA!$BQ:$BQ,INPUT_DATA!BT:BT))</f>
        <v/>
      </c>
      <c r="F62" s="430" t="str">
        <f>IF($B62=0,"",_xlfn.XLOOKUP($B62,INPUT_DATA!$BQ:$BQ,INPUT_DATA!BU:BU))</f>
        <v/>
      </c>
      <c r="G62" s="430" t="str">
        <f>IF($B62=0,"",_xlfn.XLOOKUP($B62,INPUT_DATA!$BQ:$BQ,INPUT_DATA!BV:BV))</f>
        <v/>
      </c>
      <c r="H62" s="430" t="str">
        <f>IF($B62=0,"",_xlfn.XLOOKUP($B62,INPUT_DATA!$BQ:$BQ,INPUT_DATA!BW:BW))</f>
        <v/>
      </c>
      <c r="I62" s="430" t="str">
        <f>IF($B62=0,"",_xlfn.XLOOKUP($B62,INPUT_DATA!$BQ:$BQ,INPUT_DATA!BX:BX))</f>
        <v/>
      </c>
      <c r="J62" s="430" t="str">
        <f>IF($B62=0,"",_xlfn.XLOOKUP($B62,INPUT_DATA!$BQ:$BQ,INPUT_DATA!BY:BY))</f>
        <v/>
      </c>
      <c r="K62" s="802" t="str">
        <f>IF($B62=0,"",_xlfn.XLOOKUP($B62,INPUT_DATA!$BQ:$BQ,INPUT_DATA!CD:CD))</f>
        <v/>
      </c>
      <c r="L62" s="802" t="str">
        <f>IF($B62=0,"",_xlfn.XLOOKUP($B62,INPUT_DATA!$BQ:$BQ,INPUT_DATA!CE:CE))</f>
        <v/>
      </c>
      <c r="M62" s="802" t="str">
        <f>IF($B62=0,"",_xlfn.XLOOKUP($B62,INPUT_DATA!$BQ:$BQ,INPUT_DATA!CF:CF))</f>
        <v/>
      </c>
      <c r="N62" s="802" t="str">
        <f>IF($B62=0,"",_xlfn.XLOOKUP($B62,INPUT_DATA!$BQ:$BQ,INPUT_DATA!CG:CG))</f>
        <v/>
      </c>
      <c r="O62" s="802" t="str">
        <f>IF($B62=0,"",_xlfn.XLOOKUP($B62,INPUT_DATA!$BQ:$BQ,INPUT_DATA!CH:CH))</f>
        <v/>
      </c>
    </row>
    <row r="63" spans="2:15" x14ac:dyDescent="0.35">
      <c r="B63" s="798">
        <f>'03 - Monthly Asset Follow up'!B68</f>
        <v>0</v>
      </c>
      <c r="C63" s="430" t="str">
        <f>IF($B63=0,"",_xlfn.XLOOKUP($B63,INPUT_DATA!$BQ:$BQ,INPUT_DATA!BR:BR))</f>
        <v/>
      </c>
      <c r="D63" s="430" t="str">
        <f>IF($B63=0,"",_xlfn.XLOOKUP($B63,INPUT_DATA!$BQ:$BQ,INPUT_DATA!BS:BS))</f>
        <v/>
      </c>
      <c r="E63" s="430" t="str">
        <f>IF($B63=0,"",_xlfn.XLOOKUP($B63,INPUT_DATA!$BQ:$BQ,INPUT_DATA!BT:BT))</f>
        <v/>
      </c>
      <c r="F63" s="430" t="str">
        <f>IF($B63=0,"",_xlfn.XLOOKUP($B63,INPUT_DATA!$BQ:$BQ,INPUT_DATA!BU:BU))</f>
        <v/>
      </c>
      <c r="G63" s="430" t="str">
        <f>IF($B63=0,"",_xlfn.XLOOKUP($B63,INPUT_DATA!$BQ:$BQ,INPUT_DATA!BV:BV))</f>
        <v/>
      </c>
      <c r="H63" s="430" t="str">
        <f>IF($B63=0,"",_xlfn.XLOOKUP($B63,INPUT_DATA!$BQ:$BQ,INPUT_DATA!BW:BW))</f>
        <v/>
      </c>
      <c r="I63" s="430" t="str">
        <f>IF($B63=0,"",_xlfn.XLOOKUP($B63,INPUT_DATA!$BQ:$BQ,INPUT_DATA!BX:BX))</f>
        <v/>
      </c>
      <c r="J63" s="430" t="str">
        <f>IF($B63=0,"",_xlfn.XLOOKUP($B63,INPUT_DATA!$BQ:$BQ,INPUT_DATA!BY:BY))</f>
        <v/>
      </c>
      <c r="K63" s="802" t="str">
        <f>IF($B63=0,"",_xlfn.XLOOKUP($B63,INPUT_DATA!$BQ:$BQ,INPUT_DATA!CD:CD))</f>
        <v/>
      </c>
      <c r="L63" s="802" t="str">
        <f>IF($B63=0,"",_xlfn.XLOOKUP($B63,INPUT_DATA!$BQ:$BQ,INPUT_DATA!CE:CE))</f>
        <v/>
      </c>
      <c r="M63" s="802" t="str">
        <f>IF($B63=0,"",_xlfn.XLOOKUP($B63,INPUT_DATA!$BQ:$BQ,INPUT_DATA!CF:CF))</f>
        <v/>
      </c>
      <c r="N63" s="802" t="str">
        <f>IF($B63=0,"",_xlfn.XLOOKUP($B63,INPUT_DATA!$BQ:$BQ,INPUT_DATA!CG:CG))</f>
        <v/>
      </c>
      <c r="O63" s="802" t="str">
        <f>IF($B63=0,"",_xlfn.XLOOKUP($B63,INPUT_DATA!$BQ:$BQ,INPUT_DATA!CH:CH))</f>
        <v/>
      </c>
    </row>
    <row r="64" spans="2:15" x14ac:dyDescent="0.35">
      <c r="B64" s="798">
        <f>'03 - Monthly Asset Follow up'!B69</f>
        <v>0</v>
      </c>
      <c r="C64" s="430" t="str">
        <f>IF($B64=0,"",_xlfn.XLOOKUP($B64,INPUT_DATA!$BQ:$BQ,INPUT_DATA!BR:BR))</f>
        <v/>
      </c>
      <c r="D64" s="430" t="str">
        <f>IF($B64=0,"",_xlfn.XLOOKUP($B64,INPUT_DATA!$BQ:$BQ,INPUT_DATA!BS:BS))</f>
        <v/>
      </c>
      <c r="E64" s="430" t="str">
        <f>IF($B64=0,"",_xlfn.XLOOKUP($B64,INPUT_DATA!$BQ:$BQ,INPUT_DATA!BT:BT))</f>
        <v/>
      </c>
      <c r="F64" s="430" t="str">
        <f>IF($B64=0,"",_xlfn.XLOOKUP($B64,INPUT_DATA!$BQ:$BQ,INPUT_DATA!BU:BU))</f>
        <v/>
      </c>
      <c r="G64" s="430" t="str">
        <f>IF($B64=0,"",_xlfn.XLOOKUP($B64,INPUT_DATA!$BQ:$BQ,INPUT_DATA!BV:BV))</f>
        <v/>
      </c>
      <c r="H64" s="430" t="str">
        <f>IF($B64=0,"",_xlfn.XLOOKUP($B64,INPUT_DATA!$BQ:$BQ,INPUT_DATA!BW:BW))</f>
        <v/>
      </c>
      <c r="I64" s="430" t="str">
        <f>IF($B64=0,"",_xlfn.XLOOKUP($B64,INPUT_DATA!$BQ:$BQ,INPUT_DATA!BX:BX))</f>
        <v/>
      </c>
      <c r="J64" s="430" t="str">
        <f>IF($B64=0,"",_xlfn.XLOOKUP($B64,INPUT_DATA!$BQ:$BQ,INPUT_DATA!BY:BY))</f>
        <v/>
      </c>
      <c r="K64" s="802" t="str">
        <f>IF($B64=0,"",_xlfn.XLOOKUP($B64,INPUT_DATA!$BQ:$BQ,INPUT_DATA!CD:CD))</f>
        <v/>
      </c>
      <c r="L64" s="802" t="str">
        <f>IF($B64=0,"",_xlfn.XLOOKUP($B64,INPUT_DATA!$BQ:$BQ,INPUT_DATA!CE:CE))</f>
        <v/>
      </c>
      <c r="M64" s="802" t="str">
        <f>IF($B64=0,"",_xlfn.XLOOKUP($B64,INPUT_DATA!$BQ:$BQ,INPUT_DATA!CF:CF))</f>
        <v/>
      </c>
      <c r="N64" s="802" t="str">
        <f>IF($B64=0,"",_xlfn.XLOOKUP($B64,INPUT_DATA!$BQ:$BQ,INPUT_DATA!CG:CG))</f>
        <v/>
      </c>
      <c r="O64" s="802" t="str">
        <f>IF($B64=0,"",_xlfn.XLOOKUP($B64,INPUT_DATA!$BQ:$BQ,INPUT_DATA!CH:CH))</f>
        <v/>
      </c>
    </row>
    <row r="65" spans="2:15" x14ac:dyDescent="0.35">
      <c r="B65" s="798">
        <f>'03 - Monthly Asset Follow up'!B70</f>
        <v>0</v>
      </c>
      <c r="C65" s="430" t="str">
        <f>IF($B65=0,"",_xlfn.XLOOKUP($B65,INPUT_DATA!$BQ:$BQ,INPUT_DATA!BR:BR))</f>
        <v/>
      </c>
      <c r="D65" s="430" t="str">
        <f>IF($B65=0,"",_xlfn.XLOOKUP($B65,INPUT_DATA!$BQ:$BQ,INPUT_DATA!BS:BS))</f>
        <v/>
      </c>
      <c r="E65" s="430" t="str">
        <f>IF($B65=0,"",_xlfn.XLOOKUP($B65,INPUT_DATA!$BQ:$BQ,INPUT_DATA!BT:BT))</f>
        <v/>
      </c>
      <c r="F65" s="430" t="str">
        <f>IF($B65=0,"",_xlfn.XLOOKUP($B65,INPUT_DATA!$BQ:$BQ,INPUT_DATA!BU:BU))</f>
        <v/>
      </c>
      <c r="G65" s="430" t="str">
        <f>IF($B65=0,"",_xlfn.XLOOKUP($B65,INPUT_DATA!$BQ:$BQ,INPUT_DATA!BV:BV))</f>
        <v/>
      </c>
      <c r="H65" s="430" t="str">
        <f>IF($B65=0,"",_xlfn.XLOOKUP($B65,INPUT_DATA!$BQ:$BQ,INPUT_DATA!BW:BW))</f>
        <v/>
      </c>
      <c r="I65" s="430" t="str">
        <f>IF($B65=0,"",_xlfn.XLOOKUP($B65,INPUT_DATA!$BQ:$BQ,INPUT_DATA!BX:BX))</f>
        <v/>
      </c>
      <c r="J65" s="430" t="str">
        <f>IF($B65=0,"",_xlfn.XLOOKUP($B65,INPUT_DATA!$BQ:$BQ,INPUT_DATA!BY:BY))</f>
        <v/>
      </c>
      <c r="K65" s="802" t="str">
        <f>IF($B65=0,"",_xlfn.XLOOKUP($B65,INPUT_DATA!$BQ:$BQ,INPUT_DATA!CD:CD))</f>
        <v/>
      </c>
      <c r="L65" s="802" t="str">
        <f>IF($B65=0,"",_xlfn.XLOOKUP($B65,INPUT_DATA!$BQ:$BQ,INPUT_DATA!CE:CE))</f>
        <v/>
      </c>
      <c r="M65" s="802" t="str">
        <f>IF($B65=0,"",_xlfn.XLOOKUP($B65,INPUT_DATA!$BQ:$BQ,INPUT_DATA!CF:CF))</f>
        <v/>
      </c>
      <c r="N65" s="802" t="str">
        <f>IF($B65=0,"",_xlfn.XLOOKUP($B65,INPUT_DATA!$BQ:$BQ,INPUT_DATA!CG:CG))</f>
        <v/>
      </c>
      <c r="O65" s="802" t="str">
        <f>IF($B65=0,"",_xlfn.XLOOKUP($B65,INPUT_DATA!$BQ:$BQ,INPUT_DATA!CH:CH))</f>
        <v/>
      </c>
    </row>
    <row r="66" spans="2:15" x14ac:dyDescent="0.35">
      <c r="B66" s="798">
        <f>'03 - Monthly Asset Follow up'!B71</f>
        <v>0</v>
      </c>
      <c r="C66" s="430" t="str">
        <f>IF($B66=0,"",_xlfn.XLOOKUP($B66,INPUT_DATA!$BQ:$BQ,INPUT_DATA!BR:BR))</f>
        <v/>
      </c>
      <c r="D66" s="430" t="str">
        <f>IF($B66=0,"",_xlfn.XLOOKUP($B66,INPUT_DATA!$BQ:$BQ,INPUT_DATA!BS:BS))</f>
        <v/>
      </c>
      <c r="E66" s="430" t="str">
        <f>IF($B66=0,"",_xlfn.XLOOKUP($B66,INPUT_DATA!$BQ:$BQ,INPUT_DATA!BT:BT))</f>
        <v/>
      </c>
      <c r="F66" s="430" t="str">
        <f>IF($B66=0,"",_xlfn.XLOOKUP($B66,INPUT_DATA!$BQ:$BQ,INPUT_DATA!BU:BU))</f>
        <v/>
      </c>
      <c r="G66" s="430" t="str">
        <f>IF($B66=0,"",_xlfn.XLOOKUP($B66,INPUT_DATA!$BQ:$BQ,INPUT_DATA!BV:BV))</f>
        <v/>
      </c>
      <c r="H66" s="430" t="str">
        <f>IF($B66=0,"",_xlfn.XLOOKUP($B66,INPUT_DATA!$BQ:$BQ,INPUT_DATA!BW:BW))</f>
        <v/>
      </c>
      <c r="I66" s="430" t="str">
        <f>IF($B66=0,"",_xlfn.XLOOKUP($B66,INPUT_DATA!$BQ:$BQ,INPUT_DATA!BX:BX))</f>
        <v/>
      </c>
      <c r="J66" s="430" t="str">
        <f>IF($B66=0,"",_xlfn.XLOOKUP($B66,INPUT_DATA!$BQ:$BQ,INPUT_DATA!BY:BY))</f>
        <v/>
      </c>
      <c r="K66" s="802" t="str">
        <f>IF($B66=0,"",_xlfn.XLOOKUP($B66,INPUT_DATA!$BQ:$BQ,INPUT_DATA!CD:CD))</f>
        <v/>
      </c>
      <c r="L66" s="802" t="str">
        <f>IF($B66=0,"",_xlfn.XLOOKUP($B66,INPUT_DATA!$BQ:$BQ,INPUT_DATA!CE:CE))</f>
        <v/>
      </c>
      <c r="M66" s="802" t="str">
        <f>IF($B66=0,"",_xlfn.XLOOKUP($B66,INPUT_DATA!$BQ:$BQ,INPUT_DATA!CF:CF))</f>
        <v/>
      </c>
      <c r="N66" s="802" t="str">
        <f>IF($B66=0,"",_xlfn.XLOOKUP($B66,INPUT_DATA!$BQ:$BQ,INPUT_DATA!CG:CG))</f>
        <v/>
      </c>
      <c r="O66" s="802" t="str">
        <f>IF($B66=0,"",_xlfn.XLOOKUP($B66,INPUT_DATA!$BQ:$BQ,INPUT_DATA!CH:CH))</f>
        <v/>
      </c>
    </row>
    <row r="67" spans="2:15" x14ac:dyDescent="0.35">
      <c r="B67" s="798">
        <f>'03 - Monthly Asset Follow up'!B72</f>
        <v>0</v>
      </c>
      <c r="C67" s="430" t="str">
        <f>IF($B67=0,"",_xlfn.XLOOKUP($B67,INPUT_DATA!$BQ:$BQ,INPUT_DATA!BR:BR))</f>
        <v/>
      </c>
      <c r="D67" s="430" t="str">
        <f>IF($B67=0,"",_xlfn.XLOOKUP($B67,INPUT_DATA!$BQ:$BQ,INPUT_DATA!BS:BS))</f>
        <v/>
      </c>
      <c r="E67" s="430" t="str">
        <f>IF($B67=0,"",_xlfn.XLOOKUP($B67,INPUT_DATA!$BQ:$BQ,INPUT_DATA!BT:BT))</f>
        <v/>
      </c>
      <c r="F67" s="430" t="str">
        <f>IF($B67=0,"",_xlfn.XLOOKUP($B67,INPUT_DATA!$BQ:$BQ,INPUT_DATA!BU:BU))</f>
        <v/>
      </c>
      <c r="G67" s="430" t="str">
        <f>IF($B67=0,"",_xlfn.XLOOKUP($B67,INPUT_DATA!$BQ:$BQ,INPUT_DATA!BV:BV))</f>
        <v/>
      </c>
      <c r="H67" s="430" t="str">
        <f>IF($B67=0,"",_xlfn.XLOOKUP($B67,INPUT_DATA!$BQ:$BQ,INPUT_DATA!BW:BW))</f>
        <v/>
      </c>
      <c r="I67" s="430" t="str">
        <f>IF($B67=0,"",_xlfn.XLOOKUP($B67,INPUT_DATA!$BQ:$BQ,INPUT_DATA!BX:BX))</f>
        <v/>
      </c>
      <c r="J67" s="430" t="str">
        <f>IF($B67=0,"",_xlfn.XLOOKUP($B67,INPUT_DATA!$BQ:$BQ,INPUT_DATA!BY:BY))</f>
        <v/>
      </c>
      <c r="K67" s="802" t="str">
        <f>IF($B67=0,"",_xlfn.XLOOKUP($B67,INPUT_DATA!$BQ:$BQ,INPUT_DATA!CD:CD))</f>
        <v/>
      </c>
      <c r="L67" s="802" t="str">
        <f>IF($B67=0,"",_xlfn.XLOOKUP($B67,INPUT_DATA!$BQ:$BQ,INPUT_DATA!CE:CE))</f>
        <v/>
      </c>
      <c r="M67" s="802" t="str">
        <f>IF($B67=0,"",_xlfn.XLOOKUP($B67,INPUT_DATA!$BQ:$BQ,INPUT_DATA!CF:CF))</f>
        <v/>
      </c>
      <c r="N67" s="802" t="str">
        <f>IF($B67=0,"",_xlfn.XLOOKUP($B67,INPUT_DATA!$BQ:$BQ,INPUT_DATA!CG:CG))</f>
        <v/>
      </c>
      <c r="O67" s="802" t="str">
        <f>IF($B67=0,"",_xlfn.XLOOKUP($B67,INPUT_DATA!$BQ:$BQ,INPUT_DATA!CH:CH))</f>
        <v/>
      </c>
    </row>
    <row r="68" spans="2:15" x14ac:dyDescent="0.35">
      <c r="B68" s="798">
        <f>'03 - Monthly Asset Follow up'!B73</f>
        <v>0</v>
      </c>
      <c r="C68" s="430" t="str">
        <f>IF($B68=0,"",_xlfn.XLOOKUP($B68,INPUT_DATA!$BQ:$BQ,INPUT_DATA!BR:BR))</f>
        <v/>
      </c>
      <c r="D68" s="430" t="str">
        <f>IF($B68=0,"",_xlfn.XLOOKUP($B68,INPUT_DATA!$BQ:$BQ,INPUT_DATA!BS:BS))</f>
        <v/>
      </c>
      <c r="E68" s="430" t="str">
        <f>IF($B68=0,"",_xlfn.XLOOKUP($B68,INPUT_DATA!$BQ:$BQ,INPUT_DATA!BT:BT))</f>
        <v/>
      </c>
      <c r="F68" s="430" t="str">
        <f>IF($B68=0,"",_xlfn.XLOOKUP($B68,INPUT_DATA!$BQ:$BQ,INPUT_DATA!BU:BU))</f>
        <v/>
      </c>
      <c r="G68" s="430" t="str">
        <f>IF($B68=0,"",_xlfn.XLOOKUP($B68,INPUT_DATA!$BQ:$BQ,INPUT_DATA!BV:BV))</f>
        <v/>
      </c>
      <c r="H68" s="430" t="str">
        <f>IF($B68=0,"",_xlfn.XLOOKUP($B68,INPUT_DATA!$BQ:$BQ,INPUT_DATA!BW:BW))</f>
        <v/>
      </c>
      <c r="I68" s="430" t="str">
        <f>IF($B68=0,"",_xlfn.XLOOKUP($B68,INPUT_DATA!$BQ:$BQ,INPUT_DATA!BX:BX))</f>
        <v/>
      </c>
      <c r="J68" s="430" t="str">
        <f>IF($B68=0,"",_xlfn.XLOOKUP($B68,INPUT_DATA!$BQ:$BQ,INPUT_DATA!BY:BY))</f>
        <v/>
      </c>
      <c r="K68" s="802" t="str">
        <f>IF($B68=0,"",_xlfn.XLOOKUP($B68,INPUT_DATA!$BQ:$BQ,INPUT_DATA!CD:CD))</f>
        <v/>
      </c>
      <c r="L68" s="802" t="str">
        <f>IF($B68=0,"",_xlfn.XLOOKUP($B68,INPUT_DATA!$BQ:$BQ,INPUT_DATA!CE:CE))</f>
        <v/>
      </c>
      <c r="M68" s="802" t="str">
        <f>IF($B68=0,"",_xlfn.XLOOKUP($B68,INPUT_DATA!$BQ:$BQ,INPUT_DATA!CF:CF))</f>
        <v/>
      </c>
      <c r="N68" s="802" t="str">
        <f>IF($B68=0,"",_xlfn.XLOOKUP($B68,INPUT_DATA!$BQ:$BQ,INPUT_DATA!CG:CG))</f>
        <v/>
      </c>
      <c r="O68" s="802" t="str">
        <f>IF($B68=0,"",_xlfn.XLOOKUP($B68,INPUT_DATA!$BQ:$BQ,INPUT_DATA!CH:CH))</f>
        <v/>
      </c>
    </row>
    <row r="69" spans="2:15" x14ac:dyDescent="0.35">
      <c r="B69" s="798">
        <f>'03 - Monthly Asset Follow up'!B74</f>
        <v>0</v>
      </c>
      <c r="C69" s="430" t="str">
        <f>IF($B69=0,"",_xlfn.XLOOKUP($B69,INPUT_DATA!$BQ:$BQ,INPUT_DATA!BR:BR))</f>
        <v/>
      </c>
      <c r="D69" s="430" t="str">
        <f>IF($B69=0,"",_xlfn.XLOOKUP($B69,INPUT_DATA!$BQ:$BQ,INPUT_DATA!BS:BS))</f>
        <v/>
      </c>
      <c r="E69" s="430" t="str">
        <f>IF($B69=0,"",_xlfn.XLOOKUP($B69,INPUT_DATA!$BQ:$BQ,INPUT_DATA!BT:BT))</f>
        <v/>
      </c>
      <c r="F69" s="430" t="str">
        <f>IF($B69=0,"",_xlfn.XLOOKUP($B69,INPUT_DATA!$BQ:$BQ,INPUT_DATA!BU:BU))</f>
        <v/>
      </c>
      <c r="G69" s="430" t="str">
        <f>IF($B69=0,"",_xlfn.XLOOKUP($B69,INPUT_DATA!$BQ:$BQ,INPUT_DATA!BV:BV))</f>
        <v/>
      </c>
      <c r="H69" s="430" t="str">
        <f>IF($B69=0,"",_xlfn.XLOOKUP($B69,INPUT_DATA!$BQ:$BQ,INPUT_DATA!BW:BW))</f>
        <v/>
      </c>
      <c r="I69" s="430" t="str">
        <f>IF($B69=0,"",_xlfn.XLOOKUP($B69,INPUT_DATA!$BQ:$BQ,INPUT_DATA!BX:BX))</f>
        <v/>
      </c>
      <c r="J69" s="430" t="str">
        <f>IF($B69=0,"",_xlfn.XLOOKUP($B69,INPUT_DATA!$BQ:$BQ,INPUT_DATA!BY:BY))</f>
        <v/>
      </c>
      <c r="K69" s="802" t="str">
        <f>IF($B69=0,"",_xlfn.XLOOKUP($B69,INPUT_DATA!$BQ:$BQ,INPUT_DATA!CD:CD))</f>
        <v/>
      </c>
      <c r="L69" s="802" t="str">
        <f>IF($B69=0,"",_xlfn.XLOOKUP($B69,INPUT_DATA!$BQ:$BQ,INPUT_DATA!CE:CE))</f>
        <v/>
      </c>
      <c r="M69" s="802" t="str">
        <f>IF($B69=0,"",_xlfn.XLOOKUP($B69,INPUT_DATA!$BQ:$BQ,INPUT_DATA!CF:CF))</f>
        <v/>
      </c>
      <c r="N69" s="802" t="str">
        <f>IF($B69=0,"",_xlfn.XLOOKUP($B69,INPUT_DATA!$BQ:$BQ,INPUT_DATA!CG:CG))</f>
        <v/>
      </c>
      <c r="O69" s="802" t="str">
        <f>IF($B69=0,"",_xlfn.XLOOKUP($B69,INPUT_DATA!$BQ:$BQ,INPUT_DATA!CH:CH))</f>
        <v/>
      </c>
    </row>
    <row r="70" spans="2:15" x14ac:dyDescent="0.35">
      <c r="B70" s="798">
        <f>'03 - Monthly Asset Follow up'!B75</f>
        <v>0</v>
      </c>
      <c r="C70" s="430" t="str">
        <f>IF($B70=0,"",_xlfn.XLOOKUP($B70,INPUT_DATA!$BQ:$BQ,INPUT_DATA!BR:BR))</f>
        <v/>
      </c>
      <c r="D70" s="430" t="str">
        <f>IF($B70=0,"",_xlfn.XLOOKUP($B70,INPUT_DATA!$BQ:$BQ,INPUT_DATA!BS:BS))</f>
        <v/>
      </c>
      <c r="E70" s="430" t="str">
        <f>IF($B70=0,"",_xlfn.XLOOKUP($B70,INPUT_DATA!$BQ:$BQ,INPUT_DATA!BT:BT))</f>
        <v/>
      </c>
      <c r="F70" s="430" t="str">
        <f>IF($B70=0,"",_xlfn.XLOOKUP($B70,INPUT_DATA!$BQ:$BQ,INPUT_DATA!BU:BU))</f>
        <v/>
      </c>
      <c r="G70" s="430" t="str">
        <f>IF($B70=0,"",_xlfn.XLOOKUP($B70,INPUT_DATA!$BQ:$BQ,INPUT_DATA!BV:BV))</f>
        <v/>
      </c>
      <c r="H70" s="430" t="str">
        <f>IF($B70=0,"",_xlfn.XLOOKUP($B70,INPUT_DATA!$BQ:$BQ,INPUT_DATA!BW:BW))</f>
        <v/>
      </c>
      <c r="I70" s="430" t="str">
        <f>IF($B70=0,"",_xlfn.XLOOKUP($B70,INPUT_DATA!$BQ:$BQ,INPUT_DATA!BX:BX))</f>
        <v/>
      </c>
      <c r="J70" s="430" t="str">
        <f>IF($B70=0,"",_xlfn.XLOOKUP($B70,INPUT_DATA!$BQ:$BQ,INPUT_DATA!BY:BY))</f>
        <v/>
      </c>
      <c r="K70" s="802" t="str">
        <f>IF($B70=0,"",_xlfn.XLOOKUP($B70,INPUT_DATA!$BQ:$BQ,INPUT_DATA!CD:CD))</f>
        <v/>
      </c>
      <c r="L70" s="802" t="str">
        <f>IF($B70=0,"",_xlfn.XLOOKUP($B70,INPUT_DATA!$BQ:$BQ,INPUT_DATA!CE:CE))</f>
        <v/>
      </c>
      <c r="M70" s="802" t="str">
        <f>IF($B70=0,"",_xlfn.XLOOKUP($B70,INPUT_DATA!$BQ:$BQ,INPUT_DATA!CF:CF))</f>
        <v/>
      </c>
      <c r="N70" s="802" t="str">
        <f>IF($B70=0,"",_xlfn.XLOOKUP($B70,INPUT_DATA!$BQ:$BQ,INPUT_DATA!CG:CG))</f>
        <v/>
      </c>
      <c r="O70" s="802" t="str">
        <f>IF($B70=0,"",_xlfn.XLOOKUP($B70,INPUT_DATA!$BQ:$BQ,INPUT_DATA!CH:CH))</f>
        <v/>
      </c>
    </row>
    <row r="71" spans="2:15" x14ac:dyDescent="0.35">
      <c r="B71" s="798">
        <f>'03 - Monthly Asset Follow up'!B76</f>
        <v>0</v>
      </c>
      <c r="C71" s="430" t="str">
        <f>IF($B71=0,"",_xlfn.XLOOKUP($B71,INPUT_DATA!$BQ:$BQ,INPUT_DATA!BR:BR))</f>
        <v/>
      </c>
      <c r="D71" s="430" t="str">
        <f>IF($B71=0,"",_xlfn.XLOOKUP($B71,INPUT_DATA!$BQ:$BQ,INPUT_DATA!BS:BS))</f>
        <v/>
      </c>
      <c r="E71" s="430" t="str">
        <f>IF($B71=0,"",_xlfn.XLOOKUP($B71,INPUT_DATA!$BQ:$BQ,INPUT_DATA!BT:BT))</f>
        <v/>
      </c>
      <c r="F71" s="430" t="str">
        <f>IF($B71=0,"",_xlfn.XLOOKUP($B71,INPUT_DATA!$BQ:$BQ,INPUT_DATA!BU:BU))</f>
        <v/>
      </c>
      <c r="G71" s="430" t="str">
        <f>IF($B71=0,"",_xlfn.XLOOKUP($B71,INPUT_DATA!$BQ:$BQ,INPUT_DATA!BV:BV))</f>
        <v/>
      </c>
      <c r="H71" s="430" t="str">
        <f>IF($B71=0,"",_xlfn.XLOOKUP($B71,INPUT_DATA!$BQ:$BQ,INPUT_DATA!BW:BW))</f>
        <v/>
      </c>
      <c r="I71" s="430" t="str">
        <f>IF($B71=0,"",_xlfn.XLOOKUP($B71,INPUT_DATA!$BQ:$BQ,INPUT_DATA!BX:BX))</f>
        <v/>
      </c>
      <c r="J71" s="430" t="str">
        <f>IF($B71=0,"",_xlfn.XLOOKUP($B71,INPUT_DATA!$BQ:$BQ,INPUT_DATA!BY:BY))</f>
        <v/>
      </c>
      <c r="K71" s="802" t="str">
        <f>IF($B71=0,"",_xlfn.XLOOKUP($B71,INPUT_DATA!$BQ:$BQ,INPUT_DATA!CD:CD))</f>
        <v/>
      </c>
      <c r="L71" s="802" t="str">
        <f>IF($B71=0,"",_xlfn.XLOOKUP($B71,INPUT_DATA!$BQ:$BQ,INPUT_DATA!CE:CE))</f>
        <v/>
      </c>
      <c r="M71" s="802" t="str">
        <f>IF($B71=0,"",_xlfn.XLOOKUP($B71,INPUT_DATA!$BQ:$BQ,INPUT_DATA!CF:CF))</f>
        <v/>
      </c>
      <c r="N71" s="802" t="str">
        <f>IF($B71=0,"",_xlfn.XLOOKUP($B71,INPUT_DATA!$BQ:$BQ,INPUT_DATA!CG:CG))</f>
        <v/>
      </c>
      <c r="O71" s="802" t="str">
        <f>IF($B71=0,"",_xlfn.XLOOKUP($B71,INPUT_DATA!$BQ:$BQ,INPUT_DATA!CH:CH))</f>
        <v/>
      </c>
    </row>
    <row r="72" spans="2:15" x14ac:dyDescent="0.35">
      <c r="B72" s="798">
        <f>'03 - Monthly Asset Follow up'!B77</f>
        <v>0</v>
      </c>
      <c r="C72" s="430" t="str">
        <f>IF($B72=0,"",_xlfn.XLOOKUP($B72,INPUT_DATA!$BQ:$BQ,INPUT_DATA!BR:BR))</f>
        <v/>
      </c>
      <c r="D72" s="430" t="str">
        <f>IF($B72=0,"",_xlfn.XLOOKUP($B72,INPUT_DATA!$BQ:$BQ,INPUT_DATA!BS:BS))</f>
        <v/>
      </c>
      <c r="E72" s="430" t="str">
        <f>IF($B72=0,"",_xlfn.XLOOKUP($B72,INPUT_DATA!$BQ:$BQ,INPUT_DATA!BT:BT))</f>
        <v/>
      </c>
      <c r="F72" s="430" t="str">
        <f>IF($B72=0,"",_xlfn.XLOOKUP($B72,INPUT_DATA!$BQ:$BQ,INPUT_DATA!BU:BU))</f>
        <v/>
      </c>
      <c r="G72" s="430" t="str">
        <f>IF($B72=0,"",_xlfn.XLOOKUP($B72,INPUT_DATA!$BQ:$BQ,INPUT_DATA!BV:BV))</f>
        <v/>
      </c>
      <c r="H72" s="430" t="str">
        <f>IF($B72=0,"",_xlfn.XLOOKUP($B72,INPUT_DATA!$BQ:$BQ,INPUT_DATA!BW:BW))</f>
        <v/>
      </c>
      <c r="I72" s="430" t="str">
        <f>IF($B72=0,"",_xlfn.XLOOKUP($B72,INPUT_DATA!$BQ:$BQ,INPUT_DATA!BX:BX))</f>
        <v/>
      </c>
      <c r="J72" s="430" t="str">
        <f>IF($B72=0,"",_xlfn.XLOOKUP($B72,INPUT_DATA!$BQ:$BQ,INPUT_DATA!BY:BY))</f>
        <v/>
      </c>
      <c r="K72" s="802" t="str">
        <f>IF($B72=0,"",_xlfn.XLOOKUP($B72,INPUT_DATA!$BQ:$BQ,INPUT_DATA!CD:CD))</f>
        <v/>
      </c>
      <c r="L72" s="802" t="str">
        <f>IF($B72=0,"",_xlfn.XLOOKUP($B72,INPUT_DATA!$BQ:$BQ,INPUT_DATA!CE:CE))</f>
        <v/>
      </c>
      <c r="M72" s="802" t="str">
        <f>IF($B72=0,"",_xlfn.XLOOKUP($B72,INPUT_DATA!$BQ:$BQ,INPUT_DATA!CF:CF))</f>
        <v/>
      </c>
      <c r="N72" s="802" t="str">
        <f>IF($B72=0,"",_xlfn.XLOOKUP($B72,INPUT_DATA!$BQ:$BQ,INPUT_DATA!CG:CG))</f>
        <v/>
      </c>
      <c r="O72" s="802" t="str">
        <f>IF($B72=0,"",_xlfn.XLOOKUP($B72,INPUT_DATA!$BQ:$BQ,INPUT_DATA!CH:CH))</f>
        <v/>
      </c>
    </row>
  </sheetData>
  <phoneticPr fontId="111" type="noConversion"/>
  <conditionalFormatting sqref="B12:B72">
    <cfRule type="cellIs" dxfId="47" priority="1" operator="lessThanOrEqual">
      <formula>0</formula>
    </cfRule>
  </conditionalFormatting>
  <pageMargins left="0.7" right="0.7" top="0.75" bottom="0.75" header="0.3" footer="0.3"/>
  <pageSetup paperSize="9" scale="5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554C5-BD80-4CFD-8144-1BFE361F1126}">
  <sheetPr>
    <tabColor theme="0" tint="-0.249977111117893"/>
  </sheetPr>
  <dimension ref="A1:L72"/>
  <sheetViews>
    <sheetView showGridLines="0" zoomScale="80" zoomScaleNormal="80" workbookViewId="0">
      <selection activeCell="F12" sqref="F12"/>
    </sheetView>
  </sheetViews>
  <sheetFormatPr defaultColWidth="10.81640625" defaultRowHeight="14.5" x14ac:dyDescent="0.35"/>
  <cols>
    <col min="1" max="1" width="4.453125" style="413" customWidth="1"/>
    <col min="2" max="2" width="23" style="413" customWidth="1"/>
    <col min="3" max="8" width="29.54296875" style="413" customWidth="1"/>
    <col min="9" max="9" width="3.54296875" style="413" customWidth="1"/>
    <col min="10" max="16384" width="10.81640625" style="413"/>
  </cols>
  <sheetData>
    <row r="1" spans="1:12" x14ac:dyDescent="0.35">
      <c r="A1" s="104"/>
      <c r="B1" s="104"/>
      <c r="C1" s="104"/>
      <c r="D1" s="104"/>
      <c r="E1" s="104"/>
      <c r="F1" s="104"/>
      <c r="G1" s="104"/>
      <c r="H1" s="104"/>
      <c r="I1" s="104"/>
      <c r="J1" s="104"/>
      <c r="K1" s="104"/>
    </row>
    <row r="2" spans="1:12" x14ac:dyDescent="0.35">
      <c r="A2" s="104"/>
      <c r="B2" s="106"/>
      <c r="C2" s="106"/>
      <c r="D2" s="106"/>
      <c r="E2" s="106"/>
      <c r="F2" s="300"/>
      <c r="G2" s="300"/>
      <c r="H2" s="300"/>
      <c r="I2" s="106"/>
      <c r="J2" s="106"/>
      <c r="K2" s="106"/>
    </row>
    <row r="3" spans="1:12" ht="14.5" customHeight="1" x14ac:dyDescent="0.35">
      <c r="A3" s="104"/>
      <c r="B3" s="106"/>
      <c r="C3" s="106"/>
      <c r="D3" s="106"/>
      <c r="E3" s="691"/>
      <c r="F3" s="696"/>
      <c r="G3" s="144" t="s">
        <v>134</v>
      </c>
      <c r="H3" s="697">
        <f>'00 - Cover'!$F$16</f>
        <v>45491</v>
      </c>
      <c r="I3" s="105"/>
      <c r="J3" s="105"/>
      <c r="K3" s="105"/>
    </row>
    <row r="4" spans="1:12" ht="14.5" customHeight="1" x14ac:dyDescent="0.35">
      <c r="A4" s="104"/>
      <c r="B4" s="106"/>
      <c r="C4" s="106"/>
      <c r="D4" s="106"/>
      <c r="E4" s="691"/>
      <c r="F4" s="696"/>
      <c r="G4" s="144" t="s">
        <v>655</v>
      </c>
      <c r="H4" s="697">
        <f>'00 - Cover'!$F$15</f>
        <v>45488</v>
      </c>
      <c r="I4" s="105"/>
      <c r="J4" s="105"/>
      <c r="K4" s="105"/>
    </row>
    <row r="5" spans="1:12" ht="14.5" customHeight="1" x14ac:dyDescent="0.35">
      <c r="A5" s="104"/>
      <c r="B5" s="106"/>
      <c r="C5" s="106"/>
      <c r="D5" s="106"/>
      <c r="E5" s="691"/>
      <c r="F5" s="696"/>
      <c r="G5" s="144" t="s">
        <v>94</v>
      </c>
      <c r="H5" s="697">
        <f>'00 - Cover'!$F$16</f>
        <v>45491</v>
      </c>
      <c r="I5" s="105"/>
      <c r="J5" s="105"/>
      <c r="K5" s="105"/>
    </row>
    <row r="6" spans="1:12" ht="14.5" customHeight="1" x14ac:dyDescent="0.35">
      <c r="A6" s="104"/>
      <c r="B6" s="106"/>
      <c r="C6" s="106"/>
      <c r="D6" s="106"/>
      <c r="E6" s="691"/>
      <c r="F6" s="696"/>
      <c r="G6" s="144" t="s">
        <v>87</v>
      </c>
      <c r="H6" s="697">
        <f>'00 - Cover'!$F$17</f>
        <v>45498</v>
      </c>
      <c r="I6" s="106"/>
      <c r="J6" s="106"/>
      <c r="K6" s="106"/>
    </row>
    <row r="7" spans="1:12" x14ac:dyDescent="0.35">
      <c r="A7" s="104"/>
      <c r="B7" s="106"/>
      <c r="C7" s="106"/>
      <c r="D7" s="106"/>
      <c r="E7" s="106"/>
      <c r="F7" s="106"/>
      <c r="G7" s="106"/>
      <c r="H7" s="106"/>
      <c r="I7" s="106"/>
      <c r="J7" s="106"/>
      <c r="K7" s="106"/>
      <c r="L7" s="106"/>
    </row>
    <row r="8" spans="1:12" x14ac:dyDescent="0.35">
      <c r="A8" s="412"/>
      <c r="J8" s="106"/>
      <c r="K8" s="106"/>
      <c r="L8" s="106"/>
    </row>
    <row r="9" spans="1:12" ht="15.5" x14ac:dyDescent="0.35">
      <c r="B9" s="594" t="s">
        <v>552</v>
      </c>
      <c r="C9" s="595"/>
      <c r="D9" s="596"/>
      <c r="E9" s="596"/>
      <c r="F9" s="596"/>
      <c r="G9" s="596"/>
      <c r="H9" s="596"/>
      <c r="I9" s="596"/>
      <c r="J9" s="106"/>
      <c r="K9" s="106"/>
      <c r="L9" s="106"/>
    </row>
    <row r="10" spans="1:12" ht="15" thickBot="1" x14ac:dyDescent="0.4">
      <c r="J10" s="106"/>
      <c r="K10" s="106"/>
      <c r="L10" s="106"/>
    </row>
    <row r="11" spans="1:12" ht="55.5" customHeight="1" thickBot="1" x14ac:dyDescent="0.4">
      <c r="A11" s="429"/>
      <c r="B11" s="614" t="s">
        <v>708</v>
      </c>
      <c r="C11" s="615" t="s">
        <v>554</v>
      </c>
      <c r="D11" s="615" t="s">
        <v>555</v>
      </c>
      <c r="E11" s="615" t="s">
        <v>556</v>
      </c>
      <c r="F11" s="615" t="s">
        <v>557</v>
      </c>
      <c r="G11" s="615" t="s">
        <v>558</v>
      </c>
      <c r="H11" s="616" t="s">
        <v>559</v>
      </c>
    </row>
    <row r="12" spans="1:12" ht="15" thickTop="1" x14ac:dyDescent="0.35">
      <c r="A12" s="429"/>
      <c r="B12" s="800">
        <f>'03 - Monthly Asset Follow up'!B17</f>
        <v>45473</v>
      </c>
      <c r="C12" s="611">
        <f>IF($B12=0,"",'03 - Monthly Asset Follow up'!D17)</f>
        <v>0</v>
      </c>
      <c r="D12" s="612">
        <f t="shared" ref="D12:H27" si="0">IF($B12=0,"",IF(D13="",C12,C12+D13))</f>
        <v>751085014.37</v>
      </c>
      <c r="E12" s="611">
        <f>IF($B12=0,"",_xlfn.XLOOKUP($B12,INPUT_DATA!$BQ:$BQ,INPUT_DATA!BZ:BZ))</f>
        <v>0</v>
      </c>
      <c r="F12" s="998">
        <f t="shared" si="0"/>
        <v>0</v>
      </c>
      <c r="G12" s="611">
        <f>IF($B12=0,"",'04 - Monthly Collection'!AA13)</f>
        <v>0</v>
      </c>
      <c r="H12" s="613">
        <f t="shared" si="0"/>
        <v>0</v>
      </c>
    </row>
    <row r="13" spans="1:12" x14ac:dyDescent="0.35">
      <c r="A13" s="429"/>
      <c r="B13" s="798">
        <f>'03 - Monthly Asset Follow up'!B18</f>
        <v>45443</v>
      </c>
      <c r="C13" s="430">
        <f>IF($B13=0,"",'03 - Monthly Asset Follow up'!D18)</f>
        <v>0</v>
      </c>
      <c r="D13" s="431">
        <f t="shared" si="0"/>
        <v>751085014.37</v>
      </c>
      <c r="E13" s="804">
        <f>IF($B13=0,"",_xlfn.XLOOKUP($B13,INPUT_DATA!$BQ:$BQ,INPUT_DATA!BZ:BZ))</f>
        <v>0</v>
      </c>
      <c r="F13" s="431">
        <f t="shared" si="0"/>
        <v>0</v>
      </c>
      <c r="G13" s="430">
        <f>IF($B13=0,"",'04 - Monthly Collection'!AA14)</f>
        <v>0</v>
      </c>
      <c r="H13" s="432">
        <f t="shared" si="0"/>
        <v>0</v>
      </c>
    </row>
    <row r="14" spans="1:12" x14ac:dyDescent="0.35">
      <c r="A14" s="429"/>
      <c r="B14" s="798">
        <f>'03 - Monthly Asset Follow up'!B19</f>
        <v>45412</v>
      </c>
      <c r="C14" s="430">
        <f>IF($B14=0,"",'03 - Monthly Asset Follow up'!D19)</f>
        <v>0</v>
      </c>
      <c r="D14" s="431">
        <f t="shared" si="0"/>
        <v>751085014.37</v>
      </c>
      <c r="E14" s="804">
        <f>IF($B14=0,"",_xlfn.XLOOKUP($B14,INPUT_DATA!$BQ:$BQ,INPUT_DATA!BZ:BZ))</f>
        <v>0</v>
      </c>
      <c r="F14" s="431">
        <f t="shared" si="0"/>
        <v>0</v>
      </c>
      <c r="G14" s="430">
        <f>IF($B14=0,"",'04 - Monthly Collection'!AA15)</f>
        <v>0</v>
      </c>
      <c r="H14" s="432">
        <f t="shared" si="0"/>
        <v>0</v>
      </c>
    </row>
    <row r="15" spans="1:12" x14ac:dyDescent="0.35">
      <c r="B15" s="798">
        <f>'03 - Monthly Asset Follow up'!B20</f>
        <v>45382</v>
      </c>
      <c r="C15" s="430">
        <f>IF($B15=0,"",'03 - Monthly Asset Follow up'!D20)</f>
        <v>0</v>
      </c>
      <c r="D15" s="431">
        <f t="shared" si="0"/>
        <v>751085014.37</v>
      </c>
      <c r="E15" s="804">
        <f>IF($B15=0,"",_xlfn.XLOOKUP($B15,INPUT_DATA!$BQ:$BQ,INPUT_DATA!BZ:BZ))</f>
        <v>0</v>
      </c>
      <c r="F15" s="431">
        <f t="shared" si="0"/>
        <v>0</v>
      </c>
      <c r="G15" s="430">
        <f>IF($B15=0,"",'04 - Monthly Collection'!AA16)</f>
        <v>0</v>
      </c>
      <c r="H15" s="432">
        <f t="shared" si="0"/>
        <v>0</v>
      </c>
    </row>
    <row r="16" spans="1:12" x14ac:dyDescent="0.35">
      <c r="B16" s="798">
        <f>'03 - Monthly Asset Follow up'!B21</f>
        <v>45351</v>
      </c>
      <c r="C16" s="430">
        <f>IF($B16=0,"",'03 - Monthly Asset Follow up'!D21)</f>
        <v>0</v>
      </c>
      <c r="D16" s="431">
        <f t="shared" si="0"/>
        <v>751085014.37</v>
      </c>
      <c r="E16" s="804">
        <f>IF($B16=0,"",_xlfn.XLOOKUP($B16,INPUT_DATA!$BQ:$BQ,INPUT_DATA!BZ:BZ))</f>
        <v>0</v>
      </c>
      <c r="F16" s="431">
        <f t="shared" si="0"/>
        <v>0</v>
      </c>
      <c r="G16" s="430">
        <f>IF($B16=0,"",'04 - Monthly Collection'!AA17)</f>
        <v>0</v>
      </c>
      <c r="H16" s="432">
        <f t="shared" si="0"/>
        <v>0</v>
      </c>
    </row>
    <row r="17" spans="2:8" x14ac:dyDescent="0.35">
      <c r="B17" s="798">
        <f>'03 - Monthly Asset Follow up'!B22</f>
        <v>45322</v>
      </c>
      <c r="C17" s="430">
        <f>IF($B17=0,"",'03 - Monthly Asset Follow up'!D22)</f>
        <v>0</v>
      </c>
      <c r="D17" s="431">
        <f>IF($B17=0,"",IF(D18="",C17,C17+D18))</f>
        <v>751085014.37</v>
      </c>
      <c r="E17" s="804">
        <f>IF($B17=0,"",_xlfn.XLOOKUP($B17,INPUT_DATA!$BQ:$BQ,INPUT_DATA!BZ:BZ))</f>
        <v>0</v>
      </c>
      <c r="F17" s="431">
        <f t="shared" si="0"/>
        <v>0</v>
      </c>
      <c r="G17" s="430">
        <f>IF($B17=0,"",'04 - Monthly Collection'!AA18)</f>
        <v>0</v>
      </c>
      <c r="H17" s="432">
        <f t="shared" si="0"/>
        <v>0</v>
      </c>
    </row>
    <row r="18" spans="2:8" x14ac:dyDescent="0.35">
      <c r="B18" s="798">
        <f>'03 - Monthly Asset Follow up'!B23</f>
        <v>45291</v>
      </c>
      <c r="C18" s="430">
        <f>IF($B18=0,"",'03 - Monthly Asset Follow up'!D23)</f>
        <v>0</v>
      </c>
      <c r="D18" s="431">
        <f t="shared" ref="D18:D72" si="1">IF($B18=0,"",IF(D19="",C18,C18+D19))</f>
        <v>751085014.37</v>
      </c>
      <c r="E18" s="804">
        <f>IF($B18=0,"",_xlfn.XLOOKUP($B18,INPUT_DATA!$BQ:$BQ,INPUT_DATA!BZ:BZ))</f>
        <v>0</v>
      </c>
      <c r="F18" s="431">
        <f t="shared" si="0"/>
        <v>0</v>
      </c>
      <c r="G18" s="430">
        <f>IF($B18=0,"",'04 - Monthly Collection'!AA19)</f>
        <v>0</v>
      </c>
      <c r="H18" s="432">
        <f t="shared" si="0"/>
        <v>0</v>
      </c>
    </row>
    <row r="19" spans="2:8" x14ac:dyDescent="0.35">
      <c r="B19" s="798">
        <f>'03 - Monthly Asset Follow up'!B24</f>
        <v>45260</v>
      </c>
      <c r="C19" s="430">
        <f>IF($B19=0,"",'03 - Monthly Asset Follow up'!D24)</f>
        <v>0</v>
      </c>
      <c r="D19" s="431">
        <f t="shared" si="1"/>
        <v>751085014.37</v>
      </c>
      <c r="E19" s="804">
        <f>IF($B19=0,"",_xlfn.XLOOKUP($B19,INPUT_DATA!$BQ:$BQ,INPUT_DATA!BZ:BZ))</f>
        <v>0</v>
      </c>
      <c r="F19" s="431">
        <f t="shared" si="0"/>
        <v>0</v>
      </c>
      <c r="G19" s="430">
        <f>IF($B19=0,"",'04 - Monthly Collection'!AA20)</f>
        <v>0</v>
      </c>
      <c r="H19" s="432">
        <f t="shared" si="0"/>
        <v>0</v>
      </c>
    </row>
    <row r="20" spans="2:8" x14ac:dyDescent="0.35">
      <c r="B20" s="798">
        <f>'03 - Monthly Asset Follow up'!B25</f>
        <v>45230</v>
      </c>
      <c r="C20" s="430">
        <f>IF($B20=0,"",'03 - Monthly Asset Follow up'!D25)</f>
        <v>751085014.37</v>
      </c>
      <c r="D20" s="431">
        <f t="shared" si="1"/>
        <v>751085014.37</v>
      </c>
      <c r="E20" s="804">
        <f>IF($B20=0,"",_xlfn.XLOOKUP($B20,INPUT_DATA!$BQ:$BQ,INPUT_DATA!BZ:BZ))</f>
        <v>0</v>
      </c>
      <c r="F20" s="431">
        <f t="shared" si="0"/>
        <v>0</v>
      </c>
      <c r="G20" s="430">
        <f>IF($B20=0,"",'04 - Monthly Collection'!AA21)</f>
        <v>0</v>
      </c>
      <c r="H20" s="432">
        <f t="shared" si="0"/>
        <v>0</v>
      </c>
    </row>
    <row r="21" spans="2:8" x14ac:dyDescent="0.35">
      <c r="B21" s="798">
        <f>'03 - Monthly Asset Follow up'!B26</f>
        <v>0</v>
      </c>
      <c r="C21" s="430" t="str">
        <f>IF($B21=0,"",'03 - Monthly Asset Follow up'!D26)</f>
        <v/>
      </c>
      <c r="D21" s="431" t="str">
        <f t="shared" si="1"/>
        <v/>
      </c>
      <c r="E21" s="804" t="str">
        <f>IF($B21=0,"",_xlfn.XLOOKUP($B21,INPUT_DATA!$BQ:$BQ,INPUT_DATA!BZ:BZ))</f>
        <v/>
      </c>
      <c r="F21" s="431" t="str">
        <f t="shared" si="0"/>
        <v/>
      </c>
      <c r="G21" s="430" t="str">
        <f>IF($B21=0,"",'04 - Monthly Collection'!AA22)</f>
        <v/>
      </c>
      <c r="H21" s="432" t="str">
        <f t="shared" si="0"/>
        <v/>
      </c>
    </row>
    <row r="22" spans="2:8" x14ac:dyDescent="0.35">
      <c r="B22" s="798">
        <f>'03 - Monthly Asset Follow up'!B27</f>
        <v>0</v>
      </c>
      <c r="C22" s="430" t="str">
        <f>IF($B22=0,"",'03 - Monthly Asset Follow up'!D27)</f>
        <v/>
      </c>
      <c r="D22" s="431" t="str">
        <f t="shared" si="1"/>
        <v/>
      </c>
      <c r="E22" s="804" t="str">
        <f>IF($B22=0,"",_xlfn.XLOOKUP($B22,INPUT_DATA!$BQ:$BQ,INPUT_DATA!BZ:BZ))</f>
        <v/>
      </c>
      <c r="F22" s="431" t="str">
        <f t="shared" si="0"/>
        <v/>
      </c>
      <c r="G22" s="430" t="str">
        <f>IF($B22=0,"",'04 - Monthly Collection'!AA23)</f>
        <v/>
      </c>
      <c r="H22" s="432" t="str">
        <f t="shared" si="0"/>
        <v/>
      </c>
    </row>
    <row r="23" spans="2:8" x14ac:dyDescent="0.35">
      <c r="B23" s="798">
        <f>'03 - Monthly Asset Follow up'!B28</f>
        <v>0</v>
      </c>
      <c r="C23" s="430" t="str">
        <f>IF($B23=0,"",'03 - Monthly Asset Follow up'!D28)</f>
        <v/>
      </c>
      <c r="D23" s="431" t="str">
        <f t="shared" si="1"/>
        <v/>
      </c>
      <c r="E23" s="804" t="str">
        <f>IF($B23=0,"",_xlfn.XLOOKUP($B23,INPUT_DATA!$BQ:$BQ,INPUT_DATA!BZ:BZ))</f>
        <v/>
      </c>
      <c r="F23" s="431" t="str">
        <f t="shared" si="0"/>
        <v/>
      </c>
      <c r="G23" s="430" t="str">
        <f>IF($B23=0,"",'04 - Monthly Collection'!AA24)</f>
        <v/>
      </c>
      <c r="H23" s="432" t="str">
        <f t="shared" si="0"/>
        <v/>
      </c>
    </row>
    <row r="24" spans="2:8" x14ac:dyDescent="0.35">
      <c r="B24" s="798">
        <f>'03 - Monthly Asset Follow up'!B29</f>
        <v>0</v>
      </c>
      <c r="C24" s="430" t="str">
        <f>IF($B24=0,"",'03 - Monthly Asset Follow up'!D29)</f>
        <v/>
      </c>
      <c r="D24" s="431" t="str">
        <f t="shared" si="1"/>
        <v/>
      </c>
      <c r="E24" s="804" t="str">
        <f>IF($B24=0,"",_xlfn.XLOOKUP($B24,INPUT_DATA!$BQ:$BQ,INPUT_DATA!BZ:BZ))</f>
        <v/>
      </c>
      <c r="F24" s="431" t="str">
        <f t="shared" si="0"/>
        <v/>
      </c>
      <c r="G24" s="430" t="str">
        <f>IF($B24=0,"",'04 - Monthly Collection'!AA25)</f>
        <v/>
      </c>
      <c r="H24" s="432" t="str">
        <f t="shared" si="0"/>
        <v/>
      </c>
    </row>
    <row r="25" spans="2:8" x14ac:dyDescent="0.35">
      <c r="B25" s="798">
        <f>'03 - Monthly Asset Follow up'!B30</f>
        <v>0</v>
      </c>
      <c r="C25" s="430" t="str">
        <f>IF($B25=0,"",'03 - Monthly Asset Follow up'!D30)</f>
        <v/>
      </c>
      <c r="D25" s="431" t="str">
        <f t="shared" si="1"/>
        <v/>
      </c>
      <c r="E25" s="804" t="str">
        <f>IF($B25=0,"",_xlfn.XLOOKUP($B25,INPUT_DATA!$BQ:$BQ,INPUT_DATA!BZ:BZ))</f>
        <v/>
      </c>
      <c r="F25" s="431" t="str">
        <f t="shared" si="0"/>
        <v/>
      </c>
      <c r="G25" s="430" t="str">
        <f>IF($B25=0,"",'04 - Monthly Collection'!AA26)</f>
        <v/>
      </c>
      <c r="H25" s="432" t="str">
        <f t="shared" si="0"/>
        <v/>
      </c>
    </row>
    <row r="26" spans="2:8" x14ac:dyDescent="0.35">
      <c r="B26" s="798">
        <f>'03 - Monthly Asset Follow up'!B31</f>
        <v>0</v>
      </c>
      <c r="C26" s="430" t="str">
        <f>IF($B26=0,"",'03 - Monthly Asset Follow up'!D31)</f>
        <v/>
      </c>
      <c r="D26" s="431" t="str">
        <f t="shared" si="1"/>
        <v/>
      </c>
      <c r="E26" s="804" t="str">
        <f>IF($B26=0,"",_xlfn.XLOOKUP($B26,INPUT_DATA!$BQ:$BQ,INPUT_DATA!BZ:BZ))</f>
        <v/>
      </c>
      <c r="F26" s="431" t="str">
        <f t="shared" si="0"/>
        <v/>
      </c>
      <c r="G26" s="430" t="str">
        <f>IF($B26=0,"",'04 - Monthly Collection'!AA27)</f>
        <v/>
      </c>
      <c r="H26" s="432" t="str">
        <f t="shared" si="0"/>
        <v/>
      </c>
    </row>
    <row r="27" spans="2:8" x14ac:dyDescent="0.35">
      <c r="B27" s="798">
        <f>'03 - Monthly Asset Follow up'!B32</f>
        <v>0</v>
      </c>
      <c r="C27" s="430" t="str">
        <f>IF($B27=0,"",'03 - Monthly Asset Follow up'!D32)</f>
        <v/>
      </c>
      <c r="D27" s="431" t="str">
        <f t="shared" si="1"/>
        <v/>
      </c>
      <c r="E27" s="804" t="str">
        <f>IF($B27=0,"",_xlfn.XLOOKUP($B27,INPUT_DATA!$BQ:$BQ,INPUT_DATA!BZ:BZ))</f>
        <v/>
      </c>
      <c r="F27" s="431" t="str">
        <f t="shared" si="0"/>
        <v/>
      </c>
      <c r="G27" s="430" t="str">
        <f>IF($B27=0,"",'04 - Monthly Collection'!AA28)</f>
        <v/>
      </c>
      <c r="H27" s="432" t="str">
        <f t="shared" si="0"/>
        <v/>
      </c>
    </row>
    <row r="28" spans="2:8" x14ac:dyDescent="0.35">
      <c r="B28" s="798">
        <f>'03 - Monthly Asset Follow up'!B33</f>
        <v>0</v>
      </c>
      <c r="C28" s="430" t="str">
        <f>IF($B28=0,"",'03 - Monthly Asset Follow up'!D33)</f>
        <v/>
      </c>
      <c r="D28" s="431" t="str">
        <f t="shared" si="1"/>
        <v/>
      </c>
      <c r="E28" s="804" t="str">
        <f>IF($B28=0,"",_xlfn.XLOOKUP($B28,INPUT_DATA!$BQ:$BQ,INPUT_DATA!BZ:BZ))</f>
        <v/>
      </c>
      <c r="F28" s="431" t="str">
        <f t="shared" ref="F28:F72" si="2">IF($B28=0,"",IF(F29="",E28,E28+F29))</f>
        <v/>
      </c>
      <c r="G28" s="430" t="str">
        <f>IF($B28=0,"",'04 - Monthly Collection'!AA29)</f>
        <v/>
      </c>
      <c r="H28" s="432" t="str">
        <f t="shared" ref="H28:H72" si="3">IF($B28=0,"",IF(H29="",G28,G28+H29))</f>
        <v/>
      </c>
    </row>
    <row r="29" spans="2:8" x14ac:dyDescent="0.35">
      <c r="B29" s="798">
        <f>'03 - Monthly Asset Follow up'!B34</f>
        <v>0</v>
      </c>
      <c r="C29" s="430" t="str">
        <f>IF($B29=0,"",'03 - Monthly Asset Follow up'!D34)</f>
        <v/>
      </c>
      <c r="D29" s="431" t="str">
        <f t="shared" si="1"/>
        <v/>
      </c>
      <c r="E29" s="804" t="str">
        <f>IF($B29=0,"",_xlfn.XLOOKUP($B29,INPUT_DATA!$BQ:$BQ,INPUT_DATA!BZ:BZ))</f>
        <v/>
      </c>
      <c r="F29" s="431" t="str">
        <f t="shared" si="2"/>
        <v/>
      </c>
      <c r="G29" s="430" t="str">
        <f>IF($B29=0,"",'04 - Monthly Collection'!AA30)</f>
        <v/>
      </c>
      <c r="H29" s="432" t="str">
        <f t="shared" si="3"/>
        <v/>
      </c>
    </row>
    <row r="30" spans="2:8" x14ac:dyDescent="0.35">
      <c r="B30" s="798">
        <f>'03 - Monthly Asset Follow up'!B35</f>
        <v>0</v>
      </c>
      <c r="C30" s="430" t="str">
        <f>IF($B30=0,"",'03 - Monthly Asset Follow up'!D35)</f>
        <v/>
      </c>
      <c r="D30" s="431" t="str">
        <f t="shared" si="1"/>
        <v/>
      </c>
      <c r="E30" s="804" t="str">
        <f>IF($B30=0,"",_xlfn.XLOOKUP($B30,INPUT_DATA!$BQ:$BQ,INPUT_DATA!BZ:BZ))</f>
        <v/>
      </c>
      <c r="F30" s="431" t="str">
        <f t="shared" si="2"/>
        <v/>
      </c>
      <c r="G30" s="430" t="str">
        <f>IF($B30=0,"",'04 - Monthly Collection'!AA31)</f>
        <v/>
      </c>
      <c r="H30" s="432" t="str">
        <f t="shared" si="3"/>
        <v/>
      </c>
    </row>
    <row r="31" spans="2:8" x14ac:dyDescent="0.35">
      <c r="B31" s="798">
        <f>'03 - Monthly Asset Follow up'!B36</f>
        <v>0</v>
      </c>
      <c r="C31" s="430" t="str">
        <f>IF($B31=0,"",'03 - Monthly Asset Follow up'!D36)</f>
        <v/>
      </c>
      <c r="D31" s="431" t="str">
        <f t="shared" si="1"/>
        <v/>
      </c>
      <c r="E31" s="804" t="str">
        <f>IF($B31=0,"",_xlfn.XLOOKUP($B31,INPUT_DATA!$BQ:$BQ,INPUT_DATA!BZ:BZ))</f>
        <v/>
      </c>
      <c r="F31" s="431" t="str">
        <f t="shared" si="2"/>
        <v/>
      </c>
      <c r="G31" s="430" t="str">
        <f>IF($B31=0,"",'04 - Monthly Collection'!AA32)</f>
        <v/>
      </c>
      <c r="H31" s="432" t="str">
        <f t="shared" si="3"/>
        <v/>
      </c>
    </row>
    <row r="32" spans="2:8" x14ac:dyDescent="0.35">
      <c r="B32" s="798">
        <f>'03 - Monthly Asset Follow up'!B37</f>
        <v>0</v>
      </c>
      <c r="C32" s="430" t="str">
        <f>IF($B32=0,"",'03 - Monthly Asset Follow up'!D37)</f>
        <v/>
      </c>
      <c r="D32" s="431" t="str">
        <f t="shared" si="1"/>
        <v/>
      </c>
      <c r="E32" s="804" t="str">
        <f>IF($B32=0,"",_xlfn.XLOOKUP($B32,INPUT_DATA!$BQ:$BQ,INPUT_DATA!BZ:BZ))</f>
        <v/>
      </c>
      <c r="F32" s="431" t="str">
        <f t="shared" si="2"/>
        <v/>
      </c>
      <c r="G32" s="430" t="str">
        <f>IF($B32=0,"",'04 - Monthly Collection'!AA33)</f>
        <v/>
      </c>
      <c r="H32" s="432" t="str">
        <f t="shared" si="3"/>
        <v/>
      </c>
    </row>
    <row r="33" spans="2:8" x14ac:dyDescent="0.35">
      <c r="B33" s="798">
        <f>'03 - Monthly Asset Follow up'!B38</f>
        <v>0</v>
      </c>
      <c r="C33" s="430" t="str">
        <f>IF($B33=0,"",'03 - Monthly Asset Follow up'!D38)</f>
        <v/>
      </c>
      <c r="D33" s="431" t="str">
        <f t="shared" si="1"/>
        <v/>
      </c>
      <c r="E33" s="804" t="str">
        <f>IF($B33=0,"",_xlfn.XLOOKUP($B33,INPUT_DATA!$BQ:$BQ,INPUT_DATA!BZ:BZ))</f>
        <v/>
      </c>
      <c r="F33" s="431" t="str">
        <f t="shared" si="2"/>
        <v/>
      </c>
      <c r="G33" s="430" t="str">
        <f>IF($B33=0,"",'04 - Monthly Collection'!AA34)</f>
        <v/>
      </c>
      <c r="H33" s="432" t="str">
        <f t="shared" si="3"/>
        <v/>
      </c>
    </row>
    <row r="34" spans="2:8" x14ac:dyDescent="0.35">
      <c r="B34" s="798">
        <f>'03 - Monthly Asset Follow up'!B39</f>
        <v>0</v>
      </c>
      <c r="C34" s="430" t="str">
        <f>IF($B34=0,"",'03 - Monthly Asset Follow up'!D39)</f>
        <v/>
      </c>
      <c r="D34" s="431" t="str">
        <f t="shared" si="1"/>
        <v/>
      </c>
      <c r="E34" s="804" t="str">
        <f>IF($B34=0,"",_xlfn.XLOOKUP($B34,INPUT_DATA!$BQ:$BQ,INPUT_DATA!BZ:BZ))</f>
        <v/>
      </c>
      <c r="F34" s="431" t="str">
        <f t="shared" si="2"/>
        <v/>
      </c>
      <c r="G34" s="430" t="str">
        <f>IF($B34=0,"",'04 - Monthly Collection'!AA35)</f>
        <v/>
      </c>
      <c r="H34" s="432" t="str">
        <f t="shared" si="3"/>
        <v/>
      </c>
    </row>
    <row r="35" spans="2:8" x14ac:dyDescent="0.35">
      <c r="B35" s="798">
        <f>'03 - Monthly Asset Follow up'!B40</f>
        <v>0</v>
      </c>
      <c r="C35" s="430" t="str">
        <f>IF($B35=0,"",'03 - Monthly Asset Follow up'!D40)</f>
        <v/>
      </c>
      <c r="D35" s="431" t="str">
        <f t="shared" si="1"/>
        <v/>
      </c>
      <c r="E35" s="804" t="str">
        <f>IF($B35=0,"",_xlfn.XLOOKUP($B35,INPUT_DATA!$BQ:$BQ,INPUT_DATA!BZ:BZ))</f>
        <v/>
      </c>
      <c r="F35" s="431" t="str">
        <f t="shared" si="2"/>
        <v/>
      </c>
      <c r="G35" s="430" t="str">
        <f>IF($B35=0,"",'04 - Monthly Collection'!AA36)</f>
        <v/>
      </c>
      <c r="H35" s="432" t="str">
        <f t="shared" si="3"/>
        <v/>
      </c>
    </row>
    <row r="36" spans="2:8" x14ac:dyDescent="0.35">
      <c r="B36" s="798">
        <f>'03 - Monthly Asset Follow up'!B41</f>
        <v>0</v>
      </c>
      <c r="C36" s="430" t="str">
        <f>IF($B36=0,"",'03 - Monthly Asset Follow up'!D41)</f>
        <v/>
      </c>
      <c r="D36" s="431" t="str">
        <f t="shared" si="1"/>
        <v/>
      </c>
      <c r="E36" s="804" t="str">
        <f>IF($B36=0,"",_xlfn.XLOOKUP($B36,INPUT_DATA!$BQ:$BQ,INPUT_DATA!BZ:BZ))</f>
        <v/>
      </c>
      <c r="F36" s="431" t="str">
        <f t="shared" si="2"/>
        <v/>
      </c>
      <c r="G36" s="430" t="str">
        <f>IF($B36=0,"",'04 - Monthly Collection'!AA37)</f>
        <v/>
      </c>
      <c r="H36" s="432" t="str">
        <f t="shared" si="3"/>
        <v/>
      </c>
    </row>
    <row r="37" spans="2:8" x14ac:dyDescent="0.35">
      <c r="B37" s="798">
        <f>'03 - Monthly Asset Follow up'!B42</f>
        <v>0</v>
      </c>
      <c r="C37" s="430" t="str">
        <f>IF($B37=0,"",'03 - Monthly Asset Follow up'!D42)</f>
        <v/>
      </c>
      <c r="D37" s="431" t="str">
        <f t="shared" si="1"/>
        <v/>
      </c>
      <c r="E37" s="804" t="str">
        <f>IF($B37=0,"",_xlfn.XLOOKUP($B37,INPUT_DATA!$BQ:$BQ,INPUT_DATA!BZ:BZ))</f>
        <v/>
      </c>
      <c r="F37" s="431" t="str">
        <f t="shared" si="2"/>
        <v/>
      </c>
      <c r="G37" s="430" t="str">
        <f>IF($B37=0,"",'04 - Monthly Collection'!AA38)</f>
        <v/>
      </c>
      <c r="H37" s="432" t="str">
        <f t="shared" si="3"/>
        <v/>
      </c>
    </row>
    <row r="38" spans="2:8" x14ac:dyDescent="0.35">
      <c r="B38" s="798">
        <f>'03 - Monthly Asset Follow up'!B43</f>
        <v>0</v>
      </c>
      <c r="C38" s="430" t="str">
        <f>IF($B38=0,"",'03 - Monthly Asset Follow up'!D43)</f>
        <v/>
      </c>
      <c r="D38" s="431" t="str">
        <f t="shared" si="1"/>
        <v/>
      </c>
      <c r="E38" s="804" t="str">
        <f>IF($B38=0,"",_xlfn.XLOOKUP($B38,INPUT_DATA!$BQ:$BQ,INPUT_DATA!BZ:BZ))</f>
        <v/>
      </c>
      <c r="F38" s="431" t="str">
        <f t="shared" si="2"/>
        <v/>
      </c>
      <c r="G38" s="430" t="str">
        <f>IF($B38=0,"",'04 - Monthly Collection'!AA39)</f>
        <v/>
      </c>
      <c r="H38" s="432" t="str">
        <f t="shared" si="3"/>
        <v/>
      </c>
    </row>
    <row r="39" spans="2:8" x14ac:dyDescent="0.35">
      <c r="B39" s="798">
        <f>'03 - Monthly Asset Follow up'!B44</f>
        <v>0</v>
      </c>
      <c r="C39" s="430" t="str">
        <f>IF($B39=0,"",'03 - Monthly Asset Follow up'!D44)</f>
        <v/>
      </c>
      <c r="D39" s="431" t="str">
        <f t="shared" si="1"/>
        <v/>
      </c>
      <c r="E39" s="804" t="str">
        <f>IF($B39=0,"",_xlfn.XLOOKUP($B39,INPUT_DATA!$BQ:$BQ,INPUT_DATA!BZ:BZ))</f>
        <v/>
      </c>
      <c r="F39" s="431" t="str">
        <f t="shared" si="2"/>
        <v/>
      </c>
      <c r="G39" s="430" t="str">
        <f>IF($B39=0,"",'04 - Monthly Collection'!AA40)</f>
        <v/>
      </c>
      <c r="H39" s="432" t="str">
        <f t="shared" si="3"/>
        <v/>
      </c>
    </row>
    <row r="40" spans="2:8" x14ac:dyDescent="0.35">
      <c r="B40" s="798">
        <f>'03 - Monthly Asset Follow up'!B45</f>
        <v>0</v>
      </c>
      <c r="C40" s="430" t="str">
        <f>IF($B40=0,"",'03 - Monthly Asset Follow up'!D45)</f>
        <v/>
      </c>
      <c r="D40" s="431" t="str">
        <f t="shared" si="1"/>
        <v/>
      </c>
      <c r="E40" s="804" t="str">
        <f>IF($B40=0,"",_xlfn.XLOOKUP($B40,INPUT_DATA!$BQ:$BQ,INPUT_DATA!BZ:BZ))</f>
        <v/>
      </c>
      <c r="F40" s="431" t="str">
        <f t="shared" si="2"/>
        <v/>
      </c>
      <c r="G40" s="430" t="str">
        <f>IF($B40=0,"",'04 - Monthly Collection'!AA41)</f>
        <v/>
      </c>
      <c r="H40" s="432" t="str">
        <f t="shared" si="3"/>
        <v/>
      </c>
    </row>
    <row r="41" spans="2:8" x14ac:dyDescent="0.35">
      <c r="B41" s="798">
        <f>'03 - Monthly Asset Follow up'!B46</f>
        <v>0</v>
      </c>
      <c r="C41" s="430" t="str">
        <f>IF($B41=0,"",'03 - Monthly Asset Follow up'!D46)</f>
        <v/>
      </c>
      <c r="D41" s="431" t="str">
        <f t="shared" si="1"/>
        <v/>
      </c>
      <c r="E41" s="804" t="str">
        <f>IF($B41=0,"",_xlfn.XLOOKUP($B41,INPUT_DATA!$BQ:$BQ,INPUT_DATA!BZ:BZ))</f>
        <v/>
      </c>
      <c r="F41" s="431" t="str">
        <f t="shared" si="2"/>
        <v/>
      </c>
      <c r="G41" s="430" t="str">
        <f>IF($B41=0,"",'04 - Monthly Collection'!AA42)</f>
        <v/>
      </c>
      <c r="H41" s="432" t="str">
        <f t="shared" si="3"/>
        <v/>
      </c>
    </row>
    <row r="42" spans="2:8" x14ac:dyDescent="0.35">
      <c r="B42" s="798">
        <f>'03 - Monthly Asset Follow up'!B47</f>
        <v>0</v>
      </c>
      <c r="C42" s="430" t="str">
        <f>IF($B42=0,"",'03 - Monthly Asset Follow up'!D47)</f>
        <v/>
      </c>
      <c r="D42" s="431" t="str">
        <f t="shared" si="1"/>
        <v/>
      </c>
      <c r="E42" s="804" t="str">
        <f>IF($B42=0,"",_xlfn.XLOOKUP($B42,INPUT_DATA!$BQ:$BQ,INPUT_DATA!BZ:BZ))</f>
        <v/>
      </c>
      <c r="F42" s="431" t="str">
        <f t="shared" si="2"/>
        <v/>
      </c>
      <c r="G42" s="430" t="str">
        <f>IF($B42=0,"",'04 - Monthly Collection'!AA43)</f>
        <v/>
      </c>
      <c r="H42" s="432" t="str">
        <f t="shared" si="3"/>
        <v/>
      </c>
    </row>
    <row r="43" spans="2:8" x14ac:dyDescent="0.35">
      <c r="B43" s="798">
        <f>'03 - Monthly Asset Follow up'!B48</f>
        <v>0</v>
      </c>
      <c r="C43" s="430" t="str">
        <f>IF($B43=0,"",'03 - Monthly Asset Follow up'!D48)</f>
        <v/>
      </c>
      <c r="D43" s="431" t="str">
        <f t="shared" si="1"/>
        <v/>
      </c>
      <c r="E43" s="804" t="str">
        <f>IF($B43=0,"",_xlfn.XLOOKUP($B43,INPUT_DATA!$BQ:$BQ,INPUT_DATA!BZ:BZ))</f>
        <v/>
      </c>
      <c r="F43" s="431" t="str">
        <f t="shared" si="2"/>
        <v/>
      </c>
      <c r="G43" s="430" t="str">
        <f>IF($B43=0,"",'04 - Monthly Collection'!AA44)</f>
        <v/>
      </c>
      <c r="H43" s="432" t="str">
        <f t="shared" si="3"/>
        <v/>
      </c>
    </row>
    <row r="44" spans="2:8" x14ac:dyDescent="0.35">
      <c r="B44" s="798">
        <f>'03 - Monthly Asset Follow up'!B49</f>
        <v>0</v>
      </c>
      <c r="C44" s="430" t="str">
        <f>IF($B44=0,"",'03 - Monthly Asset Follow up'!D49)</f>
        <v/>
      </c>
      <c r="D44" s="431" t="str">
        <f t="shared" si="1"/>
        <v/>
      </c>
      <c r="E44" s="804" t="str">
        <f>IF($B44=0,"",_xlfn.XLOOKUP($B44,INPUT_DATA!$BQ:$BQ,INPUT_DATA!BZ:BZ))</f>
        <v/>
      </c>
      <c r="F44" s="431" t="str">
        <f t="shared" si="2"/>
        <v/>
      </c>
      <c r="G44" s="430" t="str">
        <f>IF($B44=0,"",'04 - Monthly Collection'!AA45)</f>
        <v/>
      </c>
      <c r="H44" s="432" t="str">
        <f t="shared" si="3"/>
        <v/>
      </c>
    </row>
    <row r="45" spans="2:8" x14ac:dyDescent="0.35">
      <c r="B45" s="798">
        <f>'03 - Monthly Asset Follow up'!B50</f>
        <v>0</v>
      </c>
      <c r="C45" s="430" t="str">
        <f>IF($B45=0,"",'03 - Monthly Asset Follow up'!D50)</f>
        <v/>
      </c>
      <c r="D45" s="431" t="str">
        <f t="shared" si="1"/>
        <v/>
      </c>
      <c r="E45" s="804" t="str">
        <f>IF($B45=0,"",_xlfn.XLOOKUP($B45,INPUT_DATA!$BQ:$BQ,INPUT_DATA!BZ:BZ))</f>
        <v/>
      </c>
      <c r="F45" s="431" t="str">
        <f t="shared" si="2"/>
        <v/>
      </c>
      <c r="G45" s="430" t="str">
        <f>IF($B45=0,"",'04 - Monthly Collection'!AA46)</f>
        <v/>
      </c>
      <c r="H45" s="432" t="str">
        <f t="shared" si="3"/>
        <v/>
      </c>
    </row>
    <row r="46" spans="2:8" x14ac:dyDescent="0.35">
      <c r="B46" s="798">
        <f>'03 - Monthly Asset Follow up'!B51</f>
        <v>0</v>
      </c>
      <c r="C46" s="430" t="str">
        <f>IF($B46=0,"",'03 - Monthly Asset Follow up'!D51)</f>
        <v/>
      </c>
      <c r="D46" s="431" t="str">
        <f t="shared" si="1"/>
        <v/>
      </c>
      <c r="E46" s="804" t="str">
        <f>IF($B46=0,"",_xlfn.XLOOKUP($B46,INPUT_DATA!$BQ:$BQ,INPUT_DATA!BZ:BZ))</f>
        <v/>
      </c>
      <c r="F46" s="431" t="str">
        <f t="shared" si="2"/>
        <v/>
      </c>
      <c r="G46" s="430" t="str">
        <f>IF($B46=0,"",'04 - Monthly Collection'!AA47)</f>
        <v/>
      </c>
      <c r="H46" s="432" t="str">
        <f t="shared" si="3"/>
        <v/>
      </c>
    </row>
    <row r="47" spans="2:8" x14ac:dyDescent="0.35">
      <c r="B47" s="798">
        <f>'03 - Monthly Asset Follow up'!B52</f>
        <v>0</v>
      </c>
      <c r="C47" s="430" t="str">
        <f>IF($B47=0,"",'03 - Monthly Asset Follow up'!D52)</f>
        <v/>
      </c>
      <c r="D47" s="431" t="str">
        <f t="shared" si="1"/>
        <v/>
      </c>
      <c r="E47" s="804" t="str">
        <f>IF($B47=0,"",_xlfn.XLOOKUP($B47,INPUT_DATA!$BQ:$BQ,INPUT_DATA!BZ:BZ))</f>
        <v/>
      </c>
      <c r="F47" s="431" t="str">
        <f t="shared" si="2"/>
        <v/>
      </c>
      <c r="G47" s="430" t="str">
        <f>IF($B47=0,"",'04 - Monthly Collection'!AA48)</f>
        <v/>
      </c>
      <c r="H47" s="432" t="str">
        <f t="shared" si="3"/>
        <v/>
      </c>
    </row>
    <row r="48" spans="2:8" x14ac:dyDescent="0.35">
      <c r="B48" s="798">
        <f>'03 - Monthly Asset Follow up'!B53</f>
        <v>0</v>
      </c>
      <c r="C48" s="430" t="str">
        <f>IF($B48=0,"",'03 - Monthly Asset Follow up'!D53)</f>
        <v/>
      </c>
      <c r="D48" s="431" t="str">
        <f t="shared" si="1"/>
        <v/>
      </c>
      <c r="E48" s="804" t="str">
        <f>IF($B48=0,"",_xlfn.XLOOKUP($B48,INPUT_DATA!$BQ:$BQ,INPUT_DATA!BZ:BZ))</f>
        <v/>
      </c>
      <c r="F48" s="431" t="str">
        <f t="shared" si="2"/>
        <v/>
      </c>
      <c r="G48" s="430" t="str">
        <f>IF($B48=0,"",'04 - Monthly Collection'!AA49)</f>
        <v/>
      </c>
      <c r="H48" s="432" t="str">
        <f t="shared" si="3"/>
        <v/>
      </c>
    </row>
    <row r="49" spans="2:8" x14ac:dyDescent="0.35">
      <c r="B49" s="798">
        <f>'03 - Monthly Asset Follow up'!B54</f>
        <v>0</v>
      </c>
      <c r="C49" s="430" t="str">
        <f>IF($B49=0,"",'03 - Monthly Asset Follow up'!D54)</f>
        <v/>
      </c>
      <c r="D49" s="431" t="str">
        <f t="shared" si="1"/>
        <v/>
      </c>
      <c r="E49" s="804" t="str">
        <f>IF($B49=0,"",_xlfn.XLOOKUP($B49,INPUT_DATA!$BQ:$BQ,INPUT_DATA!BZ:BZ))</f>
        <v/>
      </c>
      <c r="F49" s="431" t="str">
        <f t="shared" si="2"/>
        <v/>
      </c>
      <c r="G49" s="430" t="str">
        <f>IF($B49=0,"",'04 - Monthly Collection'!AA50)</f>
        <v/>
      </c>
      <c r="H49" s="432" t="str">
        <f t="shared" si="3"/>
        <v/>
      </c>
    </row>
    <row r="50" spans="2:8" x14ac:dyDescent="0.35">
      <c r="B50" s="798">
        <f>'03 - Monthly Asset Follow up'!B55</f>
        <v>0</v>
      </c>
      <c r="C50" s="430" t="str">
        <f>IF($B50=0,"",'03 - Monthly Asset Follow up'!D55)</f>
        <v/>
      </c>
      <c r="D50" s="431" t="str">
        <f t="shared" si="1"/>
        <v/>
      </c>
      <c r="E50" s="804" t="str">
        <f>IF($B50=0,"",_xlfn.XLOOKUP($B50,INPUT_DATA!$BQ:$BQ,INPUT_DATA!BZ:BZ))</f>
        <v/>
      </c>
      <c r="F50" s="431" t="str">
        <f t="shared" si="2"/>
        <v/>
      </c>
      <c r="G50" s="430" t="str">
        <f>IF($B50=0,"",'04 - Monthly Collection'!AA51)</f>
        <v/>
      </c>
      <c r="H50" s="432" t="str">
        <f t="shared" si="3"/>
        <v/>
      </c>
    </row>
    <row r="51" spans="2:8" x14ac:dyDescent="0.35">
      <c r="B51" s="798">
        <f>'03 - Monthly Asset Follow up'!B56</f>
        <v>0</v>
      </c>
      <c r="C51" s="430" t="str">
        <f>IF($B51=0,"",'03 - Monthly Asset Follow up'!D56)</f>
        <v/>
      </c>
      <c r="D51" s="431" t="str">
        <f t="shared" si="1"/>
        <v/>
      </c>
      <c r="E51" s="804" t="str">
        <f>IF($B51=0,"",_xlfn.XLOOKUP($B51,INPUT_DATA!$BQ:$BQ,INPUT_DATA!BZ:BZ))</f>
        <v/>
      </c>
      <c r="F51" s="431" t="str">
        <f t="shared" si="2"/>
        <v/>
      </c>
      <c r="G51" s="430" t="str">
        <f>IF($B51=0,"",'04 - Monthly Collection'!AA52)</f>
        <v/>
      </c>
      <c r="H51" s="432" t="str">
        <f t="shared" si="3"/>
        <v/>
      </c>
    </row>
    <row r="52" spans="2:8" x14ac:dyDescent="0.35">
      <c r="B52" s="798">
        <f>'03 - Monthly Asset Follow up'!B57</f>
        <v>0</v>
      </c>
      <c r="C52" s="430" t="str">
        <f>IF($B52=0,"",'03 - Monthly Asset Follow up'!D57)</f>
        <v/>
      </c>
      <c r="D52" s="431" t="str">
        <f t="shared" si="1"/>
        <v/>
      </c>
      <c r="E52" s="804" t="str">
        <f>IF($B52=0,"",_xlfn.XLOOKUP($B52,INPUT_DATA!$BQ:$BQ,INPUT_DATA!BZ:BZ))</f>
        <v/>
      </c>
      <c r="F52" s="431" t="str">
        <f t="shared" si="2"/>
        <v/>
      </c>
      <c r="G52" s="430" t="str">
        <f>IF($B52=0,"",'04 - Monthly Collection'!AA53)</f>
        <v/>
      </c>
      <c r="H52" s="432" t="str">
        <f t="shared" si="3"/>
        <v/>
      </c>
    </row>
    <row r="53" spans="2:8" x14ac:dyDescent="0.35">
      <c r="B53" s="798">
        <f>'03 - Monthly Asset Follow up'!B58</f>
        <v>0</v>
      </c>
      <c r="C53" s="430" t="str">
        <f>IF($B53=0,"",'03 - Monthly Asset Follow up'!D58)</f>
        <v/>
      </c>
      <c r="D53" s="431" t="str">
        <f t="shared" si="1"/>
        <v/>
      </c>
      <c r="E53" s="804" t="str">
        <f>IF($B53=0,"",_xlfn.XLOOKUP($B53,INPUT_DATA!$BQ:$BQ,INPUT_DATA!BZ:BZ))</f>
        <v/>
      </c>
      <c r="F53" s="431" t="str">
        <f t="shared" si="2"/>
        <v/>
      </c>
      <c r="G53" s="430" t="str">
        <f>IF($B53=0,"",'04 - Monthly Collection'!AA54)</f>
        <v/>
      </c>
      <c r="H53" s="432" t="str">
        <f t="shared" si="3"/>
        <v/>
      </c>
    </row>
    <row r="54" spans="2:8" x14ac:dyDescent="0.35">
      <c r="B54" s="798">
        <f>'03 - Monthly Asset Follow up'!B59</f>
        <v>0</v>
      </c>
      <c r="C54" s="430" t="str">
        <f>IF($B54=0,"",'03 - Monthly Asset Follow up'!D59)</f>
        <v/>
      </c>
      <c r="D54" s="431" t="str">
        <f t="shared" si="1"/>
        <v/>
      </c>
      <c r="E54" s="804" t="str">
        <f>IF($B54=0,"",_xlfn.XLOOKUP($B54,INPUT_DATA!$BQ:$BQ,INPUT_DATA!BZ:BZ))</f>
        <v/>
      </c>
      <c r="F54" s="431" t="str">
        <f t="shared" si="2"/>
        <v/>
      </c>
      <c r="G54" s="430" t="str">
        <f>IF($B54=0,"",'04 - Monthly Collection'!AA55)</f>
        <v/>
      </c>
      <c r="H54" s="432" t="str">
        <f t="shared" si="3"/>
        <v/>
      </c>
    </row>
    <row r="55" spans="2:8" x14ac:dyDescent="0.35">
      <c r="B55" s="798">
        <f>'03 - Monthly Asset Follow up'!B60</f>
        <v>0</v>
      </c>
      <c r="C55" s="430" t="str">
        <f>IF($B55=0,"",'03 - Monthly Asset Follow up'!D60)</f>
        <v/>
      </c>
      <c r="D55" s="431" t="str">
        <f t="shared" si="1"/>
        <v/>
      </c>
      <c r="E55" s="804" t="str">
        <f>IF($B55=0,"",_xlfn.XLOOKUP($B55,INPUT_DATA!$BQ:$BQ,INPUT_DATA!BZ:BZ))</f>
        <v/>
      </c>
      <c r="F55" s="431" t="str">
        <f t="shared" si="2"/>
        <v/>
      </c>
      <c r="G55" s="430" t="str">
        <f>IF($B55=0,"",'04 - Monthly Collection'!AA56)</f>
        <v/>
      </c>
      <c r="H55" s="432" t="str">
        <f t="shared" si="3"/>
        <v/>
      </c>
    </row>
    <row r="56" spans="2:8" x14ac:dyDescent="0.35">
      <c r="B56" s="798">
        <f>'03 - Monthly Asset Follow up'!B61</f>
        <v>0</v>
      </c>
      <c r="C56" s="430" t="str">
        <f>IF($B56=0,"",'03 - Monthly Asset Follow up'!D61)</f>
        <v/>
      </c>
      <c r="D56" s="431" t="str">
        <f t="shared" si="1"/>
        <v/>
      </c>
      <c r="E56" s="804" t="str">
        <f>IF($B56=0,"",_xlfn.XLOOKUP($B56,INPUT_DATA!$BQ:$BQ,INPUT_DATA!BZ:BZ))</f>
        <v/>
      </c>
      <c r="F56" s="431" t="str">
        <f t="shared" si="2"/>
        <v/>
      </c>
      <c r="G56" s="430" t="str">
        <f>IF($B56=0,"",'04 - Monthly Collection'!AA57)</f>
        <v/>
      </c>
      <c r="H56" s="432" t="str">
        <f t="shared" si="3"/>
        <v/>
      </c>
    </row>
    <row r="57" spans="2:8" x14ac:dyDescent="0.35">
      <c r="B57" s="798">
        <f>'03 - Monthly Asset Follow up'!B62</f>
        <v>0</v>
      </c>
      <c r="C57" s="430" t="str">
        <f>IF($B57=0,"",'03 - Monthly Asset Follow up'!D62)</f>
        <v/>
      </c>
      <c r="D57" s="431" t="str">
        <f t="shared" si="1"/>
        <v/>
      </c>
      <c r="E57" s="804" t="str">
        <f>IF($B57=0,"",_xlfn.XLOOKUP($B57,INPUT_DATA!$BQ:$BQ,INPUT_DATA!BZ:BZ))</f>
        <v/>
      </c>
      <c r="F57" s="431" t="str">
        <f t="shared" si="2"/>
        <v/>
      </c>
      <c r="G57" s="430" t="str">
        <f>IF($B57=0,"",'04 - Monthly Collection'!AA58)</f>
        <v/>
      </c>
      <c r="H57" s="432" t="str">
        <f t="shared" si="3"/>
        <v/>
      </c>
    </row>
    <row r="58" spans="2:8" x14ac:dyDescent="0.35">
      <c r="B58" s="798">
        <f>'03 - Monthly Asset Follow up'!B63</f>
        <v>0</v>
      </c>
      <c r="C58" s="430" t="str">
        <f>IF($B58=0,"",'03 - Monthly Asset Follow up'!D63)</f>
        <v/>
      </c>
      <c r="D58" s="431" t="str">
        <f t="shared" si="1"/>
        <v/>
      </c>
      <c r="E58" s="804" t="str">
        <f>IF($B58=0,"",_xlfn.XLOOKUP($B58,INPUT_DATA!$BQ:$BQ,INPUT_DATA!BZ:BZ))</f>
        <v/>
      </c>
      <c r="F58" s="431" t="str">
        <f t="shared" si="2"/>
        <v/>
      </c>
      <c r="G58" s="430" t="str">
        <f>IF($B58=0,"",'04 - Monthly Collection'!AA59)</f>
        <v/>
      </c>
      <c r="H58" s="432" t="str">
        <f t="shared" si="3"/>
        <v/>
      </c>
    </row>
    <row r="59" spans="2:8" x14ac:dyDescent="0.35">
      <c r="B59" s="798">
        <f>'03 - Monthly Asset Follow up'!B64</f>
        <v>0</v>
      </c>
      <c r="C59" s="430" t="str">
        <f>IF($B59=0,"",'03 - Monthly Asset Follow up'!D64)</f>
        <v/>
      </c>
      <c r="D59" s="431" t="str">
        <f t="shared" si="1"/>
        <v/>
      </c>
      <c r="E59" s="804" t="str">
        <f>IF($B59=0,"",_xlfn.XLOOKUP($B59,INPUT_DATA!$BQ:$BQ,INPUT_DATA!BZ:BZ))</f>
        <v/>
      </c>
      <c r="F59" s="431" t="str">
        <f t="shared" si="2"/>
        <v/>
      </c>
      <c r="G59" s="430" t="str">
        <f>IF($B59=0,"",'04 - Monthly Collection'!AA60)</f>
        <v/>
      </c>
      <c r="H59" s="432" t="str">
        <f t="shared" si="3"/>
        <v/>
      </c>
    </row>
    <row r="60" spans="2:8" x14ac:dyDescent="0.35">
      <c r="B60" s="798">
        <f>'03 - Monthly Asset Follow up'!B65</f>
        <v>0</v>
      </c>
      <c r="C60" s="430" t="str">
        <f>IF($B60=0,"",'03 - Monthly Asset Follow up'!D65)</f>
        <v/>
      </c>
      <c r="D60" s="431" t="str">
        <f t="shared" si="1"/>
        <v/>
      </c>
      <c r="E60" s="804" t="str">
        <f>IF($B60=0,"",_xlfn.XLOOKUP($B60,INPUT_DATA!$BQ:$BQ,INPUT_DATA!BZ:BZ))</f>
        <v/>
      </c>
      <c r="F60" s="431" t="str">
        <f t="shared" si="2"/>
        <v/>
      </c>
      <c r="G60" s="430" t="str">
        <f>IF($B60=0,"",'04 - Monthly Collection'!AA61)</f>
        <v/>
      </c>
      <c r="H60" s="432" t="str">
        <f t="shared" si="3"/>
        <v/>
      </c>
    </row>
    <row r="61" spans="2:8" x14ac:dyDescent="0.35">
      <c r="B61" s="798">
        <f>'03 - Monthly Asset Follow up'!B66</f>
        <v>0</v>
      </c>
      <c r="C61" s="430" t="str">
        <f>IF($B61=0,"",'03 - Monthly Asset Follow up'!D66)</f>
        <v/>
      </c>
      <c r="D61" s="431" t="str">
        <f t="shared" si="1"/>
        <v/>
      </c>
      <c r="E61" s="804" t="str">
        <f>IF($B61=0,"",_xlfn.XLOOKUP($B61,INPUT_DATA!$BQ:$BQ,INPUT_DATA!BZ:BZ))</f>
        <v/>
      </c>
      <c r="F61" s="431" t="str">
        <f t="shared" si="2"/>
        <v/>
      </c>
      <c r="G61" s="430" t="str">
        <f>IF($B61=0,"",'04 - Monthly Collection'!AA62)</f>
        <v/>
      </c>
      <c r="H61" s="432" t="str">
        <f t="shared" si="3"/>
        <v/>
      </c>
    </row>
    <row r="62" spans="2:8" x14ac:dyDescent="0.35">
      <c r="B62" s="798">
        <f>'03 - Monthly Asset Follow up'!B67</f>
        <v>0</v>
      </c>
      <c r="C62" s="430" t="str">
        <f>IF($B62=0,"",'03 - Monthly Asset Follow up'!D67)</f>
        <v/>
      </c>
      <c r="D62" s="431" t="str">
        <f t="shared" si="1"/>
        <v/>
      </c>
      <c r="E62" s="804" t="str">
        <f>IF($B62=0,"",_xlfn.XLOOKUP($B62,INPUT_DATA!$BQ:$BQ,INPUT_DATA!BZ:BZ))</f>
        <v/>
      </c>
      <c r="F62" s="431" t="str">
        <f t="shared" si="2"/>
        <v/>
      </c>
      <c r="G62" s="430" t="str">
        <f>IF($B62=0,"",'04 - Monthly Collection'!AA63)</f>
        <v/>
      </c>
      <c r="H62" s="432" t="str">
        <f t="shared" si="3"/>
        <v/>
      </c>
    </row>
    <row r="63" spans="2:8" x14ac:dyDescent="0.35">
      <c r="B63" s="798">
        <f>'03 - Monthly Asset Follow up'!B68</f>
        <v>0</v>
      </c>
      <c r="C63" s="430" t="str">
        <f>IF($B63=0,"",'03 - Monthly Asset Follow up'!D68)</f>
        <v/>
      </c>
      <c r="D63" s="431" t="str">
        <f t="shared" si="1"/>
        <v/>
      </c>
      <c r="E63" s="804" t="str">
        <f>IF($B63=0,"",_xlfn.XLOOKUP($B63,INPUT_DATA!$BQ:$BQ,INPUT_DATA!BZ:BZ))</f>
        <v/>
      </c>
      <c r="F63" s="431" t="str">
        <f t="shared" si="2"/>
        <v/>
      </c>
      <c r="G63" s="430" t="str">
        <f>IF($B63=0,"",'04 - Monthly Collection'!AA64)</f>
        <v/>
      </c>
      <c r="H63" s="432" t="str">
        <f t="shared" si="3"/>
        <v/>
      </c>
    </row>
    <row r="64" spans="2:8" x14ac:dyDescent="0.35">
      <c r="B64" s="798">
        <f>'03 - Monthly Asset Follow up'!B69</f>
        <v>0</v>
      </c>
      <c r="C64" s="430" t="str">
        <f>IF($B64=0,"",'03 - Monthly Asset Follow up'!D69)</f>
        <v/>
      </c>
      <c r="D64" s="431" t="str">
        <f t="shared" si="1"/>
        <v/>
      </c>
      <c r="E64" s="804" t="str">
        <f>IF($B64=0,"",_xlfn.XLOOKUP($B64,INPUT_DATA!$BQ:$BQ,INPUT_DATA!BZ:BZ))</f>
        <v/>
      </c>
      <c r="F64" s="431" t="str">
        <f t="shared" si="2"/>
        <v/>
      </c>
      <c r="G64" s="430" t="str">
        <f>IF($B64=0,"",'04 - Monthly Collection'!AA65)</f>
        <v/>
      </c>
      <c r="H64" s="432" t="str">
        <f t="shared" si="3"/>
        <v/>
      </c>
    </row>
    <row r="65" spans="2:8" x14ac:dyDescent="0.35">
      <c r="B65" s="798">
        <f>'03 - Monthly Asset Follow up'!B70</f>
        <v>0</v>
      </c>
      <c r="C65" s="430" t="str">
        <f>IF($B65=0,"",'03 - Monthly Asset Follow up'!D70)</f>
        <v/>
      </c>
      <c r="D65" s="431" t="str">
        <f t="shared" si="1"/>
        <v/>
      </c>
      <c r="E65" s="804" t="str">
        <f>IF($B65=0,"",_xlfn.XLOOKUP($B65,INPUT_DATA!$BQ:$BQ,INPUT_DATA!BZ:BZ))</f>
        <v/>
      </c>
      <c r="F65" s="431" t="str">
        <f t="shared" si="2"/>
        <v/>
      </c>
      <c r="G65" s="430" t="str">
        <f>IF($B65=0,"",'04 - Monthly Collection'!AA66)</f>
        <v/>
      </c>
      <c r="H65" s="432" t="str">
        <f t="shared" si="3"/>
        <v/>
      </c>
    </row>
    <row r="66" spans="2:8" x14ac:dyDescent="0.35">
      <c r="B66" s="798">
        <f>'03 - Monthly Asset Follow up'!B71</f>
        <v>0</v>
      </c>
      <c r="C66" s="430" t="str">
        <f>IF($B66=0,"",'03 - Monthly Asset Follow up'!D71)</f>
        <v/>
      </c>
      <c r="D66" s="431" t="str">
        <f t="shared" si="1"/>
        <v/>
      </c>
      <c r="E66" s="804" t="str">
        <f>IF($B66=0,"",_xlfn.XLOOKUP($B66,INPUT_DATA!$BQ:$BQ,INPUT_DATA!BZ:BZ))</f>
        <v/>
      </c>
      <c r="F66" s="431" t="str">
        <f t="shared" si="2"/>
        <v/>
      </c>
      <c r="G66" s="430" t="str">
        <f>IF($B66=0,"",'04 - Monthly Collection'!AA67)</f>
        <v/>
      </c>
      <c r="H66" s="432" t="str">
        <f t="shared" si="3"/>
        <v/>
      </c>
    </row>
    <row r="67" spans="2:8" x14ac:dyDescent="0.35">
      <c r="B67" s="798">
        <f>'03 - Monthly Asset Follow up'!B72</f>
        <v>0</v>
      </c>
      <c r="C67" s="430" t="str">
        <f>IF($B67=0,"",'03 - Monthly Asset Follow up'!D72)</f>
        <v/>
      </c>
      <c r="D67" s="431" t="str">
        <f t="shared" si="1"/>
        <v/>
      </c>
      <c r="E67" s="804" t="str">
        <f>IF($B67=0,"",_xlfn.XLOOKUP($B67,INPUT_DATA!$BQ:$BQ,INPUT_DATA!BZ:BZ))</f>
        <v/>
      </c>
      <c r="F67" s="431" t="str">
        <f t="shared" si="2"/>
        <v/>
      </c>
      <c r="G67" s="430" t="str">
        <f>IF($B67=0,"",'04 - Monthly Collection'!AA68)</f>
        <v/>
      </c>
      <c r="H67" s="432" t="str">
        <f t="shared" si="3"/>
        <v/>
      </c>
    </row>
    <row r="68" spans="2:8" x14ac:dyDescent="0.35">
      <c r="B68" s="798">
        <f>'03 - Monthly Asset Follow up'!B73</f>
        <v>0</v>
      </c>
      <c r="C68" s="430" t="str">
        <f>IF($B68=0,"",'03 - Monthly Asset Follow up'!D73)</f>
        <v/>
      </c>
      <c r="D68" s="431" t="str">
        <f t="shared" si="1"/>
        <v/>
      </c>
      <c r="E68" s="804" t="str">
        <f>IF($B68=0,"",_xlfn.XLOOKUP($B68,INPUT_DATA!$BQ:$BQ,INPUT_DATA!BZ:BZ))</f>
        <v/>
      </c>
      <c r="F68" s="431" t="str">
        <f t="shared" si="2"/>
        <v/>
      </c>
      <c r="G68" s="430" t="str">
        <f>IF($B68=0,"",'04 - Monthly Collection'!AA69)</f>
        <v/>
      </c>
      <c r="H68" s="432" t="str">
        <f t="shared" si="3"/>
        <v/>
      </c>
    </row>
    <row r="69" spans="2:8" x14ac:dyDescent="0.35">
      <c r="B69" s="798">
        <f>'03 - Monthly Asset Follow up'!B74</f>
        <v>0</v>
      </c>
      <c r="C69" s="430" t="str">
        <f>IF($B69=0,"",'03 - Monthly Asset Follow up'!D74)</f>
        <v/>
      </c>
      <c r="D69" s="431" t="str">
        <f t="shared" si="1"/>
        <v/>
      </c>
      <c r="E69" s="804" t="str">
        <f>IF($B69=0,"",_xlfn.XLOOKUP($B69,INPUT_DATA!$BQ:$BQ,INPUT_DATA!BZ:BZ))</f>
        <v/>
      </c>
      <c r="F69" s="431" t="str">
        <f t="shared" si="2"/>
        <v/>
      </c>
      <c r="G69" s="430" t="str">
        <f>IF($B69=0,"",'04 - Monthly Collection'!AA70)</f>
        <v/>
      </c>
      <c r="H69" s="432" t="str">
        <f t="shared" si="3"/>
        <v/>
      </c>
    </row>
    <row r="70" spans="2:8" x14ac:dyDescent="0.35">
      <c r="B70" s="798">
        <f>'03 - Monthly Asset Follow up'!B75</f>
        <v>0</v>
      </c>
      <c r="C70" s="430" t="str">
        <f>IF($B70=0,"",'03 - Monthly Asset Follow up'!D75)</f>
        <v/>
      </c>
      <c r="D70" s="431" t="str">
        <f t="shared" si="1"/>
        <v/>
      </c>
      <c r="E70" s="804" t="str">
        <f>IF($B70=0,"",_xlfn.XLOOKUP($B70,INPUT_DATA!$BQ:$BQ,INPUT_DATA!BZ:BZ))</f>
        <v/>
      </c>
      <c r="F70" s="431" t="str">
        <f t="shared" si="2"/>
        <v/>
      </c>
      <c r="G70" s="430" t="str">
        <f>IF($B70=0,"",'04 - Monthly Collection'!AA71)</f>
        <v/>
      </c>
      <c r="H70" s="432" t="str">
        <f t="shared" si="3"/>
        <v/>
      </c>
    </row>
    <row r="71" spans="2:8" x14ac:dyDescent="0.35">
      <c r="B71" s="798">
        <f>'03 - Monthly Asset Follow up'!B76</f>
        <v>0</v>
      </c>
      <c r="C71" s="430" t="str">
        <f>IF($B71=0,"",'03 - Monthly Asset Follow up'!D76)</f>
        <v/>
      </c>
      <c r="D71" s="431" t="str">
        <f t="shared" si="1"/>
        <v/>
      </c>
      <c r="E71" s="804" t="str">
        <f>IF($B71=0,"",_xlfn.XLOOKUP($B71,INPUT_DATA!$BQ:$BQ,INPUT_DATA!BZ:BZ))</f>
        <v/>
      </c>
      <c r="F71" s="431" t="str">
        <f t="shared" si="2"/>
        <v/>
      </c>
      <c r="G71" s="430" t="str">
        <f>IF($B71=0,"",'04 - Monthly Collection'!AA72)</f>
        <v/>
      </c>
      <c r="H71" s="432" t="str">
        <f t="shared" si="3"/>
        <v/>
      </c>
    </row>
    <row r="72" spans="2:8" x14ac:dyDescent="0.35">
      <c r="B72" s="798">
        <f>'03 - Monthly Asset Follow up'!B77</f>
        <v>0</v>
      </c>
      <c r="C72" s="430" t="str">
        <f>IF($B72=0,"",'03 - Monthly Asset Follow up'!D77)</f>
        <v/>
      </c>
      <c r="D72" s="431" t="str">
        <f t="shared" si="1"/>
        <v/>
      </c>
      <c r="E72" s="804" t="str">
        <f>IF($B72=0,"",_xlfn.XLOOKUP($B72,INPUT_DATA!$BQ:$BQ,INPUT_DATA!BZ:BZ))</f>
        <v/>
      </c>
      <c r="F72" s="431" t="str">
        <f t="shared" si="2"/>
        <v/>
      </c>
      <c r="G72" s="430" t="str">
        <f>IF($B72=0,"",'04 - Monthly Collection'!AA73)</f>
        <v/>
      </c>
      <c r="H72" s="432" t="str">
        <f t="shared" si="3"/>
        <v/>
      </c>
    </row>
  </sheetData>
  <conditionalFormatting sqref="B12:B72">
    <cfRule type="cellIs" dxfId="46" priority="1" operator="lessThanOrEqual">
      <formula>0</formula>
    </cfRule>
  </conditionalFormatting>
  <pageMargins left="0.7" right="0.7" top="0.75" bottom="0.75" header="0.3" footer="0.3"/>
  <pageSetup paperSize="9" scale="35" orientation="portrait" r:id="rId1"/>
  <ignoredErrors>
    <ignoredError sqref="E12:E72 G12:G72"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550-0195-4346-B4B9-6CAED7939DCD}">
  <dimension ref="A1:M72"/>
  <sheetViews>
    <sheetView showGridLines="0" zoomScale="80" zoomScaleNormal="80" workbookViewId="0">
      <selection activeCell="E29" sqref="E29"/>
    </sheetView>
  </sheetViews>
  <sheetFormatPr defaultColWidth="10.81640625" defaultRowHeight="14.5" x14ac:dyDescent="0.35"/>
  <cols>
    <col min="1" max="1" width="4.453125" style="413" customWidth="1"/>
    <col min="2" max="2" width="23" style="413" customWidth="1"/>
    <col min="3" max="4" width="21.81640625" style="413" customWidth="1"/>
    <col min="5" max="5" width="24.54296875" style="413" customWidth="1"/>
    <col min="6" max="6" width="29.54296875" style="413" customWidth="1"/>
    <col min="7" max="7" width="16.453125" style="413" customWidth="1"/>
    <col min="8" max="9" width="17" style="413" customWidth="1"/>
    <col min="10" max="11" width="20.453125" style="413" customWidth="1"/>
    <col min="12" max="12" width="13.453125" style="413" bestFit="1" customWidth="1"/>
    <col min="13" max="16384" width="10.81640625" style="413"/>
  </cols>
  <sheetData>
    <row r="1" spans="1:13" x14ac:dyDescent="0.35">
      <c r="A1" s="104"/>
      <c r="B1" s="104"/>
      <c r="C1" s="104"/>
      <c r="D1" s="104"/>
      <c r="E1" s="104"/>
      <c r="F1" s="104"/>
      <c r="G1" s="104"/>
      <c r="H1" s="104"/>
      <c r="I1" s="104"/>
      <c r="J1" s="104"/>
      <c r="K1" s="104"/>
      <c r="L1" s="104"/>
    </row>
    <row r="2" spans="1:13" x14ac:dyDescent="0.35">
      <c r="A2" s="104"/>
      <c r="B2" s="106"/>
      <c r="C2" s="106"/>
      <c r="D2" s="106"/>
      <c r="E2" s="106"/>
      <c r="F2" s="106"/>
      <c r="G2" s="106"/>
      <c r="H2" s="106"/>
      <c r="I2" s="106"/>
      <c r="J2" s="106"/>
      <c r="K2" s="106"/>
      <c r="L2" s="106"/>
    </row>
    <row r="3" spans="1:13" ht="14.5" customHeight="1" x14ac:dyDescent="0.35">
      <c r="A3" s="104"/>
      <c r="B3" s="106"/>
      <c r="C3" s="106"/>
      <c r="D3" s="106"/>
      <c r="E3" s="691"/>
      <c r="F3" s="106"/>
      <c r="G3" s="105"/>
      <c r="H3" s="105"/>
      <c r="I3" s="105"/>
      <c r="J3" s="101" t="s">
        <v>655</v>
      </c>
      <c r="K3" s="101">
        <f>'00 - Cover'!F15</f>
        <v>45488</v>
      </c>
      <c r="L3" s="105"/>
    </row>
    <row r="4" spans="1:13" ht="14.5" customHeight="1" x14ac:dyDescent="0.35">
      <c r="A4" s="104"/>
      <c r="B4" s="106"/>
      <c r="C4" s="106"/>
      <c r="D4" s="106"/>
      <c r="E4" s="691"/>
      <c r="F4" s="106"/>
      <c r="G4" s="105"/>
      <c r="H4" s="105"/>
      <c r="I4" s="105"/>
      <c r="J4" s="101" t="s">
        <v>94</v>
      </c>
      <c r="K4" s="101">
        <f>'00 - Cover'!F16</f>
        <v>45491</v>
      </c>
      <c r="L4" s="105"/>
    </row>
    <row r="5" spans="1:13" ht="14.5" customHeight="1" x14ac:dyDescent="0.35">
      <c r="A5" s="104"/>
      <c r="B5" s="106"/>
      <c r="C5" s="106"/>
      <c r="D5" s="106"/>
      <c r="E5" s="691"/>
      <c r="F5" s="106"/>
      <c r="G5" s="105"/>
      <c r="H5" s="105"/>
      <c r="I5" s="105"/>
      <c r="J5" s="101" t="s">
        <v>87</v>
      </c>
      <c r="K5" s="101">
        <f>'00 - Cover'!F17</f>
        <v>45498</v>
      </c>
      <c r="L5" s="105"/>
    </row>
    <row r="6" spans="1:13" ht="14.5" customHeight="1" x14ac:dyDescent="0.35">
      <c r="A6" s="104"/>
      <c r="B6" s="106"/>
      <c r="C6" s="106"/>
      <c r="D6" s="106"/>
      <c r="E6" s="691"/>
      <c r="F6" s="106"/>
      <c r="G6" s="106"/>
      <c r="H6" s="106"/>
      <c r="I6" s="106"/>
      <c r="J6" s="144"/>
      <c r="K6" s="697"/>
      <c r="L6" s="106"/>
    </row>
    <row r="7" spans="1:13" x14ac:dyDescent="0.35">
      <c r="A7" s="104"/>
      <c r="B7" s="106"/>
      <c r="C7" s="106"/>
      <c r="D7" s="106"/>
      <c r="E7" s="106"/>
      <c r="F7" s="106"/>
      <c r="G7" s="106"/>
      <c r="H7" s="106"/>
      <c r="I7" s="106"/>
      <c r="J7" s="106"/>
      <c r="K7" s="106"/>
      <c r="L7" s="106"/>
    </row>
    <row r="8" spans="1:13" x14ac:dyDescent="0.35">
      <c r="A8" s="412"/>
    </row>
    <row r="9" spans="1:13" x14ac:dyDescent="0.35">
      <c r="B9" s="1103" t="s">
        <v>822</v>
      </c>
      <c r="C9" s="1104"/>
      <c r="D9" s="1104"/>
      <c r="E9" s="1104"/>
      <c r="F9" s="1104"/>
      <c r="G9" s="1104"/>
      <c r="H9" s="1104"/>
      <c r="I9" s="1104"/>
      <c r="J9" s="1104"/>
      <c r="K9" s="1104"/>
    </row>
    <row r="10" spans="1:13" ht="15" thickBot="1" x14ac:dyDescent="0.4"/>
    <row r="11" spans="1:13" ht="55.5" customHeight="1" thickBot="1" x14ac:dyDescent="0.4">
      <c r="A11" s="429"/>
      <c r="B11" s="717" t="s">
        <v>87</v>
      </c>
      <c r="C11" s="700" t="s">
        <v>827</v>
      </c>
      <c r="D11" s="701" t="s">
        <v>828</v>
      </c>
      <c r="E11" s="702" t="s">
        <v>829</v>
      </c>
      <c r="F11" s="700" t="s">
        <v>823</v>
      </c>
      <c r="G11" s="701" t="s">
        <v>825</v>
      </c>
      <c r="H11" s="702" t="s">
        <v>826</v>
      </c>
      <c r="I11" s="713" t="s">
        <v>831</v>
      </c>
      <c r="J11" s="701" t="s">
        <v>824</v>
      </c>
      <c r="K11" s="702" t="s">
        <v>830</v>
      </c>
    </row>
    <row r="12" spans="1:13" x14ac:dyDescent="0.35">
      <c r="A12" s="429"/>
      <c r="B12" s="703">
        <f>K5</f>
        <v>45498</v>
      </c>
      <c r="C12" s="710">
        <f>'15 - Priority of Payments'!J53+'15 - Priority of Payments'!J50</f>
        <v>0</v>
      </c>
      <c r="D12" s="699">
        <f>'09 - Default &amp; Recovery Stat'!E12</f>
        <v>0</v>
      </c>
      <c r="E12" s="886">
        <f>'15 - Priority of Payments'!K45+'15 - Priority of Payments'!K46+'15 - Priority of Payments'!K47+'15 - Priority of Payments'!K48+'15 - Priority of Payments'!K49</f>
        <v>0</v>
      </c>
      <c r="F12" s="710">
        <f>H13</f>
        <v>0</v>
      </c>
      <c r="G12" s="699">
        <f>'11 - Notes Follow-up'!L24</f>
        <v>67585000</v>
      </c>
      <c r="H12" s="704">
        <f>MIN(F12-C12+D12+E12,G12)</f>
        <v>0</v>
      </c>
      <c r="I12" s="714">
        <f>K13</f>
        <v>0</v>
      </c>
      <c r="J12" s="699">
        <f>'11 - Notes Follow-up'!D24</f>
        <v>650283436.13999999</v>
      </c>
      <c r="K12" s="704">
        <f>IF((F12-C12+D12+E12-G12)&gt;0,MIN((F12-C12+D12+E12+I12-G12),J12),0)</f>
        <v>0</v>
      </c>
    </row>
    <row r="13" spans="1:13" x14ac:dyDescent="0.35">
      <c r="A13" s="429"/>
      <c r="B13" s="705">
        <v>45407</v>
      </c>
      <c r="C13" s="711">
        <v>0</v>
      </c>
      <c r="D13" s="698">
        <v>0</v>
      </c>
      <c r="E13" s="706">
        <v>0</v>
      </c>
      <c r="F13" s="711">
        <v>0</v>
      </c>
      <c r="G13" s="698">
        <v>67585000</v>
      </c>
      <c r="H13" s="706">
        <v>0</v>
      </c>
      <c r="I13" s="715">
        <v>0</v>
      </c>
      <c r="J13" s="698">
        <v>683500000</v>
      </c>
      <c r="K13" s="706">
        <v>0</v>
      </c>
    </row>
    <row r="14" spans="1:13" x14ac:dyDescent="0.35">
      <c r="A14" s="429"/>
      <c r="B14" s="705"/>
      <c r="C14" s="711"/>
      <c r="D14" s="698"/>
      <c r="E14" s="706"/>
      <c r="F14" s="711"/>
      <c r="G14" s="698"/>
      <c r="H14" s="706"/>
      <c r="I14" s="715"/>
      <c r="J14" s="698"/>
      <c r="K14" s="706"/>
      <c r="M14" s="435"/>
    </row>
    <row r="15" spans="1:13" x14ac:dyDescent="0.35">
      <c r="B15" s="705"/>
      <c r="C15" s="711"/>
      <c r="D15" s="698"/>
      <c r="E15" s="706"/>
      <c r="F15" s="711"/>
      <c r="G15" s="698"/>
      <c r="H15" s="706"/>
      <c r="I15" s="715"/>
      <c r="J15" s="698"/>
      <c r="K15" s="706"/>
    </row>
    <row r="16" spans="1:13" x14ac:dyDescent="0.35">
      <c r="B16" s="705"/>
      <c r="C16" s="711"/>
      <c r="D16" s="698"/>
      <c r="E16" s="706"/>
      <c r="F16" s="711"/>
      <c r="G16" s="698"/>
      <c r="H16" s="706"/>
      <c r="I16" s="715"/>
      <c r="J16" s="698"/>
      <c r="K16" s="706"/>
    </row>
    <row r="17" spans="2:11" x14ac:dyDescent="0.35">
      <c r="B17" s="705"/>
      <c r="C17" s="711"/>
      <c r="D17" s="698"/>
      <c r="E17" s="706"/>
      <c r="F17" s="711"/>
      <c r="G17" s="698"/>
      <c r="H17" s="706"/>
      <c r="I17" s="715"/>
      <c r="J17" s="698"/>
      <c r="K17" s="706"/>
    </row>
    <row r="18" spans="2:11" x14ac:dyDescent="0.35">
      <c r="B18" s="705"/>
      <c r="C18" s="711"/>
      <c r="D18" s="698"/>
      <c r="E18" s="706"/>
      <c r="F18" s="711"/>
      <c r="G18" s="698"/>
      <c r="H18" s="706"/>
      <c r="I18" s="715"/>
      <c r="J18" s="698"/>
      <c r="K18" s="706"/>
    </row>
    <row r="19" spans="2:11" x14ac:dyDescent="0.35">
      <c r="B19" s="705"/>
      <c r="C19" s="711"/>
      <c r="D19" s="698"/>
      <c r="E19" s="706"/>
      <c r="F19" s="711"/>
      <c r="G19" s="698"/>
      <c r="H19" s="706"/>
      <c r="I19" s="715"/>
      <c r="J19" s="698"/>
      <c r="K19" s="706"/>
    </row>
    <row r="20" spans="2:11" x14ac:dyDescent="0.35">
      <c r="B20" s="705"/>
      <c r="C20" s="711"/>
      <c r="D20" s="698"/>
      <c r="E20" s="706"/>
      <c r="F20" s="711"/>
      <c r="G20" s="698"/>
      <c r="H20" s="706"/>
      <c r="I20" s="715"/>
      <c r="J20" s="698"/>
      <c r="K20" s="706"/>
    </row>
    <row r="21" spans="2:11" x14ac:dyDescent="0.35">
      <c r="B21" s="705"/>
      <c r="C21" s="711"/>
      <c r="D21" s="698"/>
      <c r="E21" s="706"/>
      <c r="F21" s="711"/>
      <c r="G21" s="698"/>
      <c r="H21" s="706"/>
      <c r="I21" s="715"/>
      <c r="J21" s="698"/>
      <c r="K21" s="706"/>
    </row>
    <row r="22" spans="2:11" x14ac:dyDescent="0.35">
      <c r="B22" s="705"/>
      <c r="C22" s="711"/>
      <c r="D22" s="698"/>
      <c r="E22" s="706"/>
      <c r="F22" s="711"/>
      <c r="G22" s="698"/>
      <c r="H22" s="706"/>
      <c r="I22" s="715"/>
      <c r="J22" s="698"/>
      <c r="K22" s="706"/>
    </row>
    <row r="23" spans="2:11" x14ac:dyDescent="0.35">
      <c r="B23" s="705"/>
      <c r="C23" s="711"/>
      <c r="D23" s="698"/>
      <c r="E23" s="706"/>
      <c r="F23" s="711"/>
      <c r="G23" s="698"/>
      <c r="H23" s="706"/>
      <c r="I23" s="715"/>
      <c r="J23" s="698"/>
      <c r="K23" s="706"/>
    </row>
    <row r="24" spans="2:11" x14ac:dyDescent="0.35">
      <c r="B24" s="705"/>
      <c r="C24" s="711"/>
      <c r="D24" s="698"/>
      <c r="E24" s="706"/>
      <c r="F24" s="711"/>
      <c r="G24" s="698"/>
      <c r="H24" s="706"/>
      <c r="I24" s="715"/>
      <c r="J24" s="698"/>
      <c r="K24" s="706"/>
    </row>
    <row r="25" spans="2:11" x14ac:dyDescent="0.35">
      <c r="B25" s="705"/>
      <c r="C25" s="711"/>
      <c r="D25" s="698"/>
      <c r="E25" s="706"/>
      <c r="F25" s="711"/>
      <c r="G25" s="698"/>
      <c r="H25" s="706"/>
      <c r="I25" s="715"/>
      <c r="J25" s="698"/>
      <c r="K25" s="706"/>
    </row>
    <row r="26" spans="2:11" x14ac:dyDescent="0.35">
      <c r="B26" s="705"/>
      <c r="C26" s="711"/>
      <c r="D26" s="698"/>
      <c r="E26" s="706"/>
      <c r="F26" s="711"/>
      <c r="G26" s="698"/>
      <c r="H26" s="706"/>
      <c r="I26" s="715"/>
      <c r="J26" s="698"/>
      <c r="K26" s="706"/>
    </row>
    <row r="27" spans="2:11" x14ac:dyDescent="0.35">
      <c r="B27" s="705"/>
      <c r="C27" s="711"/>
      <c r="D27" s="698"/>
      <c r="E27" s="706"/>
      <c r="F27" s="711"/>
      <c r="G27" s="698"/>
      <c r="H27" s="706"/>
      <c r="I27" s="715"/>
      <c r="J27" s="698"/>
      <c r="K27" s="706"/>
    </row>
    <row r="28" spans="2:11" x14ac:dyDescent="0.35">
      <c r="B28" s="705"/>
      <c r="C28" s="711"/>
      <c r="D28" s="698"/>
      <c r="E28" s="706"/>
      <c r="F28" s="711"/>
      <c r="G28" s="698"/>
      <c r="H28" s="706"/>
      <c r="I28" s="715"/>
      <c r="J28" s="698"/>
      <c r="K28" s="706"/>
    </row>
    <row r="29" spans="2:11" x14ac:dyDescent="0.35">
      <c r="B29" s="705"/>
      <c r="C29" s="711"/>
      <c r="D29" s="698"/>
      <c r="E29" s="706"/>
      <c r="F29" s="711"/>
      <c r="G29" s="698"/>
      <c r="H29" s="706"/>
      <c r="I29" s="715"/>
      <c r="J29" s="698"/>
      <c r="K29" s="706"/>
    </row>
    <row r="30" spans="2:11" x14ac:dyDescent="0.35">
      <c r="B30" s="705"/>
      <c r="C30" s="711"/>
      <c r="D30" s="698"/>
      <c r="E30" s="706"/>
      <c r="F30" s="711"/>
      <c r="G30" s="698"/>
      <c r="H30" s="706"/>
      <c r="I30" s="715"/>
      <c r="J30" s="698"/>
      <c r="K30" s="706"/>
    </row>
    <row r="31" spans="2:11" x14ac:dyDescent="0.35">
      <c r="B31" s="705"/>
      <c r="C31" s="711"/>
      <c r="D31" s="698"/>
      <c r="E31" s="706"/>
      <c r="F31" s="711"/>
      <c r="G31" s="698"/>
      <c r="H31" s="706"/>
      <c r="I31" s="715"/>
      <c r="J31" s="698"/>
      <c r="K31" s="706"/>
    </row>
    <row r="32" spans="2:11" x14ac:dyDescent="0.35">
      <c r="B32" s="705"/>
      <c r="C32" s="711"/>
      <c r="D32" s="698"/>
      <c r="E32" s="706"/>
      <c r="F32" s="711"/>
      <c r="G32" s="698"/>
      <c r="H32" s="706"/>
      <c r="I32" s="715"/>
      <c r="J32" s="698"/>
      <c r="K32" s="706"/>
    </row>
    <row r="33" spans="2:12" x14ac:dyDescent="0.35">
      <c r="B33" s="705"/>
      <c r="C33" s="711"/>
      <c r="D33" s="698"/>
      <c r="E33" s="706"/>
      <c r="F33" s="711"/>
      <c r="G33" s="698"/>
      <c r="H33" s="706"/>
      <c r="I33" s="715"/>
      <c r="J33" s="698"/>
      <c r="K33" s="706"/>
      <c r="L33" s="435"/>
    </row>
    <row r="34" spans="2:12" x14ac:dyDescent="0.35">
      <c r="B34" s="705"/>
      <c r="C34" s="711"/>
      <c r="D34" s="698"/>
      <c r="E34" s="706"/>
      <c r="F34" s="711"/>
      <c r="G34" s="698"/>
      <c r="H34" s="706"/>
      <c r="I34" s="715"/>
      <c r="J34" s="698"/>
      <c r="K34" s="706"/>
    </row>
    <row r="35" spans="2:12" x14ac:dyDescent="0.35">
      <c r="B35" s="705"/>
      <c r="C35" s="711"/>
      <c r="D35" s="698"/>
      <c r="E35" s="706"/>
      <c r="F35" s="711"/>
      <c r="G35" s="698"/>
      <c r="H35" s="706"/>
      <c r="I35" s="715"/>
      <c r="J35" s="698"/>
      <c r="K35" s="706"/>
    </row>
    <row r="36" spans="2:12" x14ac:dyDescent="0.35">
      <c r="B36" s="705"/>
      <c r="C36" s="711"/>
      <c r="D36" s="698"/>
      <c r="E36" s="706"/>
      <c r="F36" s="711"/>
      <c r="G36" s="698"/>
      <c r="H36" s="706"/>
      <c r="I36" s="715"/>
      <c r="J36" s="698"/>
      <c r="K36" s="706"/>
    </row>
    <row r="37" spans="2:12" x14ac:dyDescent="0.35">
      <c r="B37" s="705"/>
      <c r="C37" s="711"/>
      <c r="D37" s="698"/>
      <c r="E37" s="706"/>
      <c r="F37" s="711"/>
      <c r="G37" s="698"/>
      <c r="H37" s="706"/>
      <c r="I37" s="715"/>
      <c r="J37" s="698"/>
      <c r="K37" s="706"/>
    </row>
    <row r="38" spans="2:12" x14ac:dyDescent="0.35">
      <c r="B38" s="705"/>
      <c r="C38" s="711"/>
      <c r="D38" s="698"/>
      <c r="E38" s="706"/>
      <c r="F38" s="711"/>
      <c r="G38" s="698"/>
      <c r="H38" s="706"/>
      <c r="I38" s="715"/>
      <c r="J38" s="698"/>
      <c r="K38" s="706"/>
    </row>
    <row r="39" spans="2:12" x14ac:dyDescent="0.35">
      <c r="B39" s="705"/>
      <c r="C39" s="711"/>
      <c r="D39" s="698"/>
      <c r="E39" s="706"/>
      <c r="F39" s="711"/>
      <c r="G39" s="698"/>
      <c r="H39" s="706"/>
      <c r="I39" s="715"/>
      <c r="J39" s="698"/>
      <c r="K39" s="706"/>
    </row>
    <row r="40" spans="2:12" x14ac:dyDescent="0.35">
      <c r="B40" s="705"/>
      <c r="C40" s="711"/>
      <c r="D40" s="698"/>
      <c r="E40" s="706"/>
      <c r="F40" s="711"/>
      <c r="G40" s="698"/>
      <c r="H40" s="706"/>
      <c r="I40" s="715"/>
      <c r="J40" s="698"/>
      <c r="K40" s="706"/>
    </row>
    <row r="41" spans="2:12" x14ac:dyDescent="0.35">
      <c r="B41" s="705"/>
      <c r="C41" s="711"/>
      <c r="D41" s="698"/>
      <c r="E41" s="706"/>
      <c r="F41" s="711"/>
      <c r="G41" s="698"/>
      <c r="H41" s="706"/>
      <c r="I41" s="715"/>
      <c r="J41" s="698"/>
      <c r="K41" s="706"/>
    </row>
    <row r="42" spans="2:12" x14ac:dyDescent="0.35">
      <c r="B42" s="705"/>
      <c r="C42" s="711"/>
      <c r="D42" s="698"/>
      <c r="E42" s="706"/>
      <c r="F42" s="711"/>
      <c r="G42" s="698"/>
      <c r="H42" s="706"/>
      <c r="I42" s="715"/>
      <c r="J42" s="698"/>
      <c r="K42" s="706"/>
    </row>
    <row r="43" spans="2:12" x14ac:dyDescent="0.35">
      <c r="B43" s="705"/>
      <c r="C43" s="711"/>
      <c r="D43" s="698"/>
      <c r="E43" s="706"/>
      <c r="F43" s="711"/>
      <c r="G43" s="698"/>
      <c r="H43" s="706"/>
      <c r="I43" s="715"/>
      <c r="J43" s="698"/>
      <c r="K43" s="706"/>
    </row>
    <row r="44" spans="2:12" x14ac:dyDescent="0.35">
      <c r="B44" s="705"/>
      <c r="C44" s="711"/>
      <c r="D44" s="698"/>
      <c r="E44" s="706"/>
      <c r="F44" s="711"/>
      <c r="G44" s="698"/>
      <c r="H44" s="706"/>
      <c r="I44" s="715"/>
      <c r="J44" s="698"/>
      <c r="K44" s="706"/>
    </row>
    <row r="45" spans="2:12" x14ac:dyDescent="0.35">
      <c r="B45" s="705"/>
      <c r="C45" s="711"/>
      <c r="D45" s="698"/>
      <c r="E45" s="706"/>
      <c r="F45" s="711"/>
      <c r="G45" s="698"/>
      <c r="H45" s="706"/>
      <c r="I45" s="715"/>
      <c r="J45" s="698"/>
      <c r="K45" s="706"/>
    </row>
    <row r="46" spans="2:12" x14ac:dyDescent="0.35">
      <c r="B46" s="705"/>
      <c r="C46" s="711"/>
      <c r="D46" s="698"/>
      <c r="E46" s="706"/>
      <c r="F46" s="711"/>
      <c r="G46" s="698"/>
      <c r="H46" s="706"/>
      <c r="I46" s="715"/>
      <c r="J46" s="698"/>
      <c r="K46" s="706"/>
    </row>
    <row r="47" spans="2:12" x14ac:dyDescent="0.35">
      <c r="B47" s="705"/>
      <c r="C47" s="711"/>
      <c r="D47" s="698"/>
      <c r="E47" s="706"/>
      <c r="F47" s="711"/>
      <c r="G47" s="698"/>
      <c r="H47" s="706"/>
      <c r="I47" s="715"/>
      <c r="J47" s="698"/>
      <c r="K47" s="706"/>
    </row>
    <row r="48" spans="2:12" x14ac:dyDescent="0.35">
      <c r="B48" s="705"/>
      <c r="C48" s="711"/>
      <c r="D48" s="698"/>
      <c r="E48" s="706"/>
      <c r="F48" s="711"/>
      <c r="G48" s="698"/>
      <c r="H48" s="706"/>
      <c r="I48" s="715"/>
      <c r="J48" s="698"/>
      <c r="K48" s="706"/>
    </row>
    <row r="49" spans="2:11" x14ac:dyDescent="0.35">
      <c r="B49" s="705"/>
      <c r="C49" s="711"/>
      <c r="D49" s="698"/>
      <c r="E49" s="706"/>
      <c r="F49" s="711"/>
      <c r="G49" s="698"/>
      <c r="H49" s="706"/>
      <c r="I49" s="715"/>
      <c r="J49" s="698"/>
      <c r="K49" s="706"/>
    </row>
    <row r="50" spans="2:11" x14ac:dyDescent="0.35">
      <c r="B50" s="705"/>
      <c r="C50" s="711"/>
      <c r="D50" s="698"/>
      <c r="E50" s="706"/>
      <c r="F50" s="711"/>
      <c r="G50" s="698"/>
      <c r="H50" s="706"/>
      <c r="I50" s="715"/>
      <c r="J50" s="698"/>
      <c r="K50" s="706"/>
    </row>
    <row r="51" spans="2:11" x14ac:dyDescent="0.35">
      <c r="B51" s="705"/>
      <c r="C51" s="711"/>
      <c r="D51" s="698"/>
      <c r="E51" s="706"/>
      <c r="F51" s="711"/>
      <c r="G51" s="698"/>
      <c r="H51" s="706"/>
      <c r="I51" s="715"/>
      <c r="J51" s="698"/>
      <c r="K51" s="706"/>
    </row>
    <row r="52" spans="2:11" x14ac:dyDescent="0.35">
      <c r="B52" s="705"/>
      <c r="C52" s="711"/>
      <c r="D52" s="698"/>
      <c r="E52" s="706"/>
      <c r="F52" s="711"/>
      <c r="G52" s="698"/>
      <c r="H52" s="706"/>
      <c r="I52" s="715"/>
      <c r="J52" s="698"/>
      <c r="K52" s="706"/>
    </row>
    <row r="53" spans="2:11" x14ac:dyDescent="0.35">
      <c r="B53" s="705"/>
      <c r="C53" s="711"/>
      <c r="D53" s="698"/>
      <c r="E53" s="706"/>
      <c r="F53" s="711"/>
      <c r="G53" s="698"/>
      <c r="H53" s="706"/>
      <c r="I53" s="715"/>
      <c r="J53" s="698"/>
      <c r="K53" s="706"/>
    </row>
    <row r="54" spans="2:11" x14ac:dyDescent="0.35">
      <c r="B54" s="705"/>
      <c r="C54" s="711"/>
      <c r="D54" s="698"/>
      <c r="E54" s="706"/>
      <c r="F54" s="711"/>
      <c r="G54" s="698"/>
      <c r="H54" s="706"/>
      <c r="I54" s="715"/>
      <c r="J54" s="698"/>
      <c r="K54" s="706"/>
    </row>
    <row r="55" spans="2:11" x14ac:dyDescent="0.35">
      <c r="B55" s="705"/>
      <c r="C55" s="711"/>
      <c r="D55" s="698"/>
      <c r="E55" s="706"/>
      <c r="F55" s="711"/>
      <c r="G55" s="698"/>
      <c r="H55" s="706"/>
      <c r="I55" s="715"/>
      <c r="J55" s="698"/>
      <c r="K55" s="706"/>
    </row>
    <row r="56" spans="2:11" x14ac:dyDescent="0.35">
      <c r="B56" s="705"/>
      <c r="C56" s="711"/>
      <c r="D56" s="698"/>
      <c r="E56" s="706"/>
      <c r="F56" s="711"/>
      <c r="G56" s="698"/>
      <c r="H56" s="706"/>
      <c r="I56" s="715"/>
      <c r="J56" s="698"/>
      <c r="K56" s="706"/>
    </row>
    <row r="57" spans="2:11" x14ac:dyDescent="0.35">
      <c r="B57" s="705"/>
      <c r="C57" s="711"/>
      <c r="D57" s="698"/>
      <c r="E57" s="706"/>
      <c r="F57" s="711"/>
      <c r="G57" s="698"/>
      <c r="H57" s="706"/>
      <c r="I57" s="715"/>
      <c r="J57" s="698"/>
      <c r="K57" s="706"/>
    </row>
    <row r="58" spans="2:11" x14ac:dyDescent="0.35">
      <c r="B58" s="705"/>
      <c r="C58" s="711"/>
      <c r="D58" s="698"/>
      <c r="E58" s="706"/>
      <c r="F58" s="711"/>
      <c r="G58" s="698"/>
      <c r="H58" s="706"/>
      <c r="I58" s="715"/>
      <c r="J58" s="698"/>
      <c r="K58" s="706"/>
    </row>
    <row r="59" spans="2:11" x14ac:dyDescent="0.35">
      <c r="B59" s="705"/>
      <c r="C59" s="711"/>
      <c r="D59" s="698"/>
      <c r="E59" s="706"/>
      <c r="F59" s="711"/>
      <c r="G59" s="698"/>
      <c r="H59" s="706"/>
      <c r="I59" s="715"/>
      <c r="J59" s="698"/>
      <c r="K59" s="706"/>
    </row>
    <row r="60" spans="2:11" x14ac:dyDescent="0.35">
      <c r="B60" s="705"/>
      <c r="C60" s="711"/>
      <c r="D60" s="698"/>
      <c r="E60" s="706"/>
      <c r="F60" s="711"/>
      <c r="G60" s="698"/>
      <c r="H60" s="706"/>
      <c r="I60" s="715"/>
      <c r="J60" s="698"/>
      <c r="K60" s="706"/>
    </row>
    <row r="61" spans="2:11" x14ac:dyDescent="0.35">
      <c r="B61" s="705"/>
      <c r="C61" s="711"/>
      <c r="D61" s="698"/>
      <c r="E61" s="706"/>
      <c r="F61" s="711"/>
      <c r="G61" s="698"/>
      <c r="H61" s="706"/>
      <c r="I61" s="715"/>
      <c r="J61" s="698"/>
      <c r="K61" s="706"/>
    </row>
    <row r="62" spans="2:11" x14ac:dyDescent="0.35">
      <c r="B62" s="705"/>
      <c r="C62" s="711"/>
      <c r="D62" s="698"/>
      <c r="E62" s="706"/>
      <c r="F62" s="711"/>
      <c r="G62" s="698"/>
      <c r="H62" s="706"/>
      <c r="I62" s="715"/>
      <c r="J62" s="698"/>
      <c r="K62" s="706"/>
    </row>
    <row r="63" spans="2:11" x14ac:dyDescent="0.35">
      <c r="B63" s="705"/>
      <c r="C63" s="711"/>
      <c r="D63" s="698"/>
      <c r="E63" s="706"/>
      <c r="F63" s="711"/>
      <c r="G63" s="698"/>
      <c r="H63" s="706"/>
      <c r="I63" s="715"/>
      <c r="J63" s="698"/>
      <c r="K63" s="706"/>
    </row>
    <row r="64" spans="2:11" x14ac:dyDescent="0.35">
      <c r="B64" s="705"/>
      <c r="C64" s="711"/>
      <c r="D64" s="698"/>
      <c r="E64" s="706"/>
      <c r="F64" s="711"/>
      <c r="G64" s="698"/>
      <c r="H64" s="706"/>
      <c r="I64" s="715"/>
      <c r="J64" s="698"/>
      <c r="K64" s="706"/>
    </row>
    <row r="65" spans="2:11" x14ac:dyDescent="0.35">
      <c r="B65" s="705"/>
      <c r="C65" s="711"/>
      <c r="D65" s="698"/>
      <c r="E65" s="706"/>
      <c r="F65" s="711"/>
      <c r="G65" s="698"/>
      <c r="H65" s="706"/>
      <c r="I65" s="715"/>
      <c r="J65" s="698"/>
      <c r="K65" s="706"/>
    </row>
    <row r="66" spans="2:11" x14ac:dyDescent="0.35">
      <c r="B66" s="705"/>
      <c r="C66" s="711"/>
      <c r="D66" s="698"/>
      <c r="E66" s="706"/>
      <c r="F66" s="711"/>
      <c r="G66" s="698"/>
      <c r="H66" s="706"/>
      <c r="I66" s="715"/>
      <c r="J66" s="698"/>
      <c r="K66" s="706"/>
    </row>
    <row r="67" spans="2:11" x14ac:dyDescent="0.35">
      <c r="B67" s="705"/>
      <c r="C67" s="711"/>
      <c r="D67" s="698"/>
      <c r="E67" s="706"/>
      <c r="F67" s="711"/>
      <c r="G67" s="698"/>
      <c r="H67" s="706"/>
      <c r="I67" s="715"/>
      <c r="J67" s="698"/>
      <c r="K67" s="706"/>
    </row>
    <row r="68" spans="2:11" x14ac:dyDescent="0.35">
      <c r="B68" s="705"/>
      <c r="C68" s="711"/>
      <c r="D68" s="698"/>
      <c r="E68" s="706"/>
      <c r="F68" s="711"/>
      <c r="G68" s="698"/>
      <c r="H68" s="706"/>
      <c r="I68" s="715"/>
      <c r="J68" s="698"/>
      <c r="K68" s="706"/>
    </row>
    <row r="69" spans="2:11" x14ac:dyDescent="0.35">
      <c r="B69" s="705"/>
      <c r="C69" s="711"/>
      <c r="D69" s="698"/>
      <c r="E69" s="706"/>
      <c r="F69" s="711"/>
      <c r="G69" s="698"/>
      <c r="H69" s="706"/>
      <c r="I69" s="715"/>
      <c r="J69" s="698"/>
      <c r="K69" s="706"/>
    </row>
    <row r="70" spans="2:11" x14ac:dyDescent="0.35">
      <c r="B70" s="705"/>
      <c r="C70" s="711"/>
      <c r="D70" s="698"/>
      <c r="E70" s="706"/>
      <c r="F70" s="711"/>
      <c r="G70" s="698"/>
      <c r="H70" s="706"/>
      <c r="I70" s="715"/>
      <c r="J70" s="698"/>
      <c r="K70" s="706"/>
    </row>
    <row r="71" spans="2:11" x14ac:dyDescent="0.35">
      <c r="B71" s="705"/>
      <c r="C71" s="711"/>
      <c r="D71" s="698"/>
      <c r="E71" s="706"/>
      <c r="F71" s="711"/>
      <c r="G71" s="698"/>
      <c r="H71" s="706"/>
      <c r="I71" s="715"/>
      <c r="J71" s="698"/>
      <c r="K71" s="706"/>
    </row>
    <row r="72" spans="2:11" ht="15" thickBot="1" x14ac:dyDescent="0.4">
      <c r="B72" s="707"/>
      <c r="C72" s="712"/>
      <c r="D72" s="708"/>
      <c r="E72" s="709"/>
      <c r="F72" s="712"/>
      <c r="G72" s="708"/>
      <c r="H72" s="709"/>
      <c r="I72" s="716"/>
      <c r="J72" s="708"/>
      <c r="K72" s="709"/>
    </row>
  </sheetData>
  <mergeCells count="1">
    <mergeCell ref="B9:K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51E1-72DE-44F3-8EEC-9CA3DE549EDF}">
  <sheetPr>
    <tabColor theme="0" tint="-0.249977111117893"/>
  </sheetPr>
  <dimension ref="A1:AS220"/>
  <sheetViews>
    <sheetView showGridLines="0" zoomScale="80" zoomScaleNormal="80" workbookViewId="0">
      <selection activeCell="F24" sqref="F24"/>
    </sheetView>
  </sheetViews>
  <sheetFormatPr defaultColWidth="11.453125" defaultRowHeight="13" x14ac:dyDescent="0.25"/>
  <cols>
    <col min="1" max="1" width="1.81640625" style="497" customWidth="1"/>
    <col min="2" max="2" width="15.81640625" style="548" customWidth="1"/>
    <col min="3" max="3" width="2.81640625" style="497" customWidth="1"/>
    <col min="4" max="4" width="26.54296875" style="497" customWidth="1"/>
    <col min="5" max="5" width="22.1796875" style="497" customWidth="1"/>
    <col min="6" max="6" width="19.54296875" style="497" customWidth="1"/>
    <col min="7" max="7" width="26.1796875" style="497" bestFit="1" customWidth="1"/>
    <col min="8" max="9" width="21.453125" style="549" customWidth="1"/>
    <col min="10" max="10" width="18.81640625" style="497" customWidth="1"/>
    <col min="11" max="11" width="2.81640625" style="497" customWidth="1"/>
    <col min="12" max="12" width="31.81640625" style="497" bestFit="1" customWidth="1"/>
    <col min="13" max="13" width="24.453125" style="497" bestFit="1" customWidth="1"/>
    <col min="14" max="14" width="18.81640625" style="497" customWidth="1"/>
    <col min="15" max="15" width="21.81640625" style="497" bestFit="1" customWidth="1"/>
    <col min="16" max="16" width="21.81640625" style="549" customWidth="1"/>
    <col min="17" max="17" width="18.81640625" style="497" customWidth="1"/>
    <col min="18" max="18" width="2.81640625" style="497" customWidth="1"/>
    <col min="19" max="19" width="25.54296875" style="497" bestFit="1" customWidth="1"/>
    <col min="20" max="24" width="21.1796875" style="497" customWidth="1"/>
    <col min="25" max="16384" width="11.453125" style="497"/>
  </cols>
  <sheetData>
    <row r="1" spans="2:45" ht="6.75" customHeight="1" x14ac:dyDescent="0.25">
      <c r="B1" s="497"/>
      <c r="H1" s="497"/>
      <c r="I1" s="497"/>
      <c r="P1" s="497"/>
    </row>
    <row r="2" spans="2:45" ht="11.25" customHeight="1" x14ac:dyDescent="0.25">
      <c r="B2" s="497"/>
      <c r="H2" s="497"/>
      <c r="I2" s="497"/>
      <c r="P2" s="497"/>
    </row>
    <row r="3" spans="2:45" ht="11.25" customHeight="1" x14ac:dyDescent="0.25">
      <c r="B3" s="497"/>
      <c r="H3" s="497"/>
      <c r="I3" s="497"/>
      <c r="P3" s="497"/>
    </row>
    <row r="4" spans="2:45" ht="11.25" customHeight="1" x14ac:dyDescent="0.25">
      <c r="B4" s="497"/>
      <c r="H4" s="497"/>
      <c r="I4" s="497"/>
      <c r="P4" s="497"/>
    </row>
    <row r="5" spans="2:45" ht="11.25" customHeight="1" x14ac:dyDescent="0.25">
      <c r="B5" s="497"/>
      <c r="H5" s="497"/>
      <c r="I5" s="497"/>
      <c r="P5" s="497"/>
    </row>
    <row r="6" spans="2:45" ht="11.25" customHeight="1" x14ac:dyDescent="0.25">
      <c r="B6" s="497"/>
      <c r="H6" s="497"/>
      <c r="I6" s="497"/>
      <c r="P6" s="497"/>
    </row>
    <row r="7" spans="2:45" ht="11.25" customHeight="1" x14ac:dyDescent="0.25">
      <c r="B7" s="497"/>
      <c r="H7" s="497"/>
      <c r="I7" s="497"/>
      <c r="P7" s="497"/>
    </row>
    <row r="8" spans="2:45" ht="11.25" customHeight="1" x14ac:dyDescent="0.25">
      <c r="B8" s="497"/>
      <c r="H8" s="497"/>
      <c r="I8" s="497"/>
      <c r="P8" s="497"/>
    </row>
    <row r="9" spans="2:45" ht="14.25" customHeight="1" x14ac:dyDescent="0.25">
      <c r="B9" s="497"/>
      <c r="H9" s="497"/>
      <c r="I9" s="497"/>
      <c r="P9" s="497"/>
    </row>
    <row r="10" spans="2:45" ht="15.5" x14ac:dyDescent="0.35">
      <c r="B10" s="1107" t="s">
        <v>819</v>
      </c>
      <c r="C10" s="1108"/>
      <c r="D10" s="1108"/>
      <c r="E10" s="1108"/>
      <c r="F10" s="1108"/>
      <c r="G10" s="1108"/>
      <c r="H10" s="1108"/>
      <c r="I10" s="1108"/>
      <c r="J10" s="1108"/>
      <c r="K10" s="1108"/>
      <c r="L10" s="1108"/>
      <c r="M10" s="1108"/>
      <c r="N10" s="1108"/>
      <c r="O10" s="1108"/>
      <c r="P10" s="1108"/>
      <c r="Q10" s="1108"/>
      <c r="R10" s="1108"/>
      <c r="S10" s="1108"/>
      <c r="T10" s="1108"/>
      <c r="U10" s="1108"/>
      <c r="V10" s="1108"/>
      <c r="W10" s="1108"/>
      <c r="X10" s="1108"/>
    </row>
    <row r="11" spans="2:45" ht="21" customHeight="1" x14ac:dyDescent="0.25">
      <c r="B11" s="497"/>
      <c r="C11" s="498"/>
      <c r="D11" s="498"/>
      <c r="E11" s="498"/>
      <c r="F11" s="498"/>
      <c r="G11" s="498"/>
      <c r="H11" s="498"/>
      <c r="I11" s="498"/>
      <c r="J11" s="498"/>
      <c r="K11" s="498"/>
      <c r="L11" s="498"/>
      <c r="M11" s="498"/>
      <c r="N11" s="498"/>
      <c r="O11" s="498"/>
      <c r="P11" s="498"/>
      <c r="Q11" s="498"/>
      <c r="R11" s="498"/>
    </row>
    <row r="12" spans="2:45" ht="12" customHeight="1" x14ac:dyDescent="0.25">
      <c r="B12" s="497"/>
      <c r="D12" s="499" t="s">
        <v>98</v>
      </c>
      <c r="E12" s="500" t="s">
        <v>683</v>
      </c>
      <c r="F12" s="498"/>
      <c r="G12" s="498"/>
      <c r="H12" s="498"/>
      <c r="I12" s="498"/>
      <c r="J12" s="498"/>
      <c r="K12" s="498"/>
      <c r="L12" s="499" t="s">
        <v>98</v>
      </c>
      <c r="M12" s="500" t="s">
        <v>703</v>
      </c>
      <c r="P12" s="497"/>
      <c r="Q12" s="498"/>
      <c r="R12" s="498"/>
      <c r="S12" s="499" t="s">
        <v>98</v>
      </c>
      <c r="T12" s="500" t="s">
        <v>719</v>
      </c>
    </row>
    <row r="13" spans="2:45" s="501" customFormat="1" ht="12" customHeight="1" x14ac:dyDescent="0.25">
      <c r="C13" s="502"/>
      <c r="D13" s="816" t="s">
        <v>695</v>
      </c>
      <c r="E13" s="817">
        <v>100000</v>
      </c>
      <c r="F13" s="502"/>
      <c r="G13" s="502"/>
      <c r="H13" s="502"/>
      <c r="I13" s="502"/>
      <c r="J13" s="502"/>
      <c r="K13" s="502"/>
      <c r="L13" s="816" t="s">
        <v>695</v>
      </c>
      <c r="M13" s="818">
        <v>1000</v>
      </c>
      <c r="Q13" s="502"/>
      <c r="R13" s="502"/>
      <c r="S13" s="503" t="s">
        <v>695</v>
      </c>
      <c r="T13" s="504">
        <v>150</v>
      </c>
      <c r="AM13" s="505"/>
      <c r="AP13" s="505"/>
      <c r="AS13" s="505"/>
    </row>
    <row r="14" spans="2:45" ht="12" customHeight="1" x14ac:dyDescent="0.25">
      <c r="B14" s="498"/>
      <c r="C14" s="498"/>
      <c r="D14" s="819" t="s">
        <v>696</v>
      </c>
      <c r="E14" s="820">
        <v>1</v>
      </c>
      <c r="F14" s="498"/>
      <c r="G14" s="498"/>
      <c r="H14" s="498"/>
      <c r="I14" s="498"/>
      <c r="J14" s="498"/>
      <c r="K14" s="498"/>
      <c r="L14" s="819" t="s">
        <v>696</v>
      </c>
      <c r="M14" s="820">
        <v>1</v>
      </c>
      <c r="P14" s="497"/>
      <c r="Q14" s="498"/>
      <c r="R14" s="498"/>
      <c r="S14" s="506" t="s">
        <v>696</v>
      </c>
      <c r="T14" s="507">
        <v>1</v>
      </c>
    </row>
    <row r="15" spans="2:45" ht="12" customHeight="1" x14ac:dyDescent="0.25">
      <c r="B15" s="498"/>
      <c r="C15" s="498"/>
      <c r="D15" s="600" t="s">
        <v>1391</v>
      </c>
      <c r="E15" s="837">
        <v>2.5000000000000001E-3</v>
      </c>
      <c r="F15" s="498"/>
      <c r="G15" s="498"/>
      <c r="H15" s="498"/>
      <c r="I15" s="498"/>
      <c r="J15" s="498"/>
      <c r="K15" s="498"/>
      <c r="L15" s="600" t="s">
        <v>1391</v>
      </c>
      <c r="M15" s="601">
        <v>0</v>
      </c>
      <c r="P15" s="497"/>
      <c r="Q15" s="498"/>
      <c r="R15" s="498"/>
      <c r="S15" s="509" t="s">
        <v>714</v>
      </c>
      <c r="T15" s="666" t="s">
        <v>720</v>
      </c>
    </row>
    <row r="16" spans="2:45" ht="12" customHeight="1" x14ac:dyDescent="0.25">
      <c r="B16" s="508"/>
      <c r="C16" s="498"/>
      <c r="D16" s="600" t="s">
        <v>714</v>
      </c>
      <c r="E16" s="601" t="s">
        <v>722</v>
      </c>
      <c r="F16" s="498"/>
      <c r="G16" s="510"/>
      <c r="H16" s="498"/>
      <c r="I16" s="498"/>
      <c r="J16" s="498"/>
      <c r="K16" s="498"/>
      <c r="L16" s="600" t="s">
        <v>714</v>
      </c>
      <c r="M16" s="601" t="s">
        <v>723</v>
      </c>
      <c r="O16" s="511"/>
      <c r="P16" s="511"/>
      <c r="Q16" s="498"/>
      <c r="R16" s="498"/>
    </row>
    <row r="17" spans="1:24" ht="12" customHeight="1" x14ac:dyDescent="0.25">
      <c r="B17" s="508"/>
      <c r="C17" s="498"/>
      <c r="D17" s="821" t="s">
        <v>697</v>
      </c>
      <c r="E17" s="822" t="s">
        <v>726</v>
      </c>
      <c r="F17" s="498"/>
      <c r="G17" s="510"/>
      <c r="H17" s="498"/>
      <c r="I17" s="498"/>
      <c r="J17" s="498"/>
      <c r="K17" s="498"/>
      <c r="L17" s="821" t="s">
        <v>697</v>
      </c>
      <c r="M17" s="823" t="s">
        <v>1392</v>
      </c>
      <c r="O17" s="511"/>
      <c r="P17" s="511"/>
      <c r="Q17" s="498"/>
      <c r="R17" s="498"/>
    </row>
    <row r="18" spans="1:24" ht="12" customHeight="1" x14ac:dyDescent="0.25">
      <c r="B18" s="508"/>
      <c r="C18" s="498"/>
      <c r="D18" s="1105" t="s">
        <v>1393</v>
      </c>
      <c r="E18" s="822" t="s">
        <v>1446</v>
      </c>
      <c r="F18" s="498"/>
      <c r="G18" s="510"/>
      <c r="H18" s="498"/>
      <c r="I18" s="498"/>
      <c r="J18" s="498"/>
      <c r="K18" s="498"/>
      <c r="L18" s="821" t="s">
        <v>1393</v>
      </c>
      <c r="M18" s="824" t="s">
        <v>1394</v>
      </c>
      <c r="O18" s="511"/>
      <c r="P18" s="511"/>
      <c r="Q18" s="498"/>
      <c r="R18" s="498"/>
    </row>
    <row r="19" spans="1:24" ht="12" customHeight="1" x14ac:dyDescent="0.25">
      <c r="B19" s="508"/>
      <c r="C19" s="498"/>
      <c r="D19" s="1106"/>
      <c r="E19" s="822" t="s">
        <v>1447</v>
      </c>
      <c r="F19" s="498"/>
      <c r="G19" s="510"/>
      <c r="H19" s="498"/>
      <c r="I19" s="498"/>
      <c r="J19" s="862"/>
      <c r="K19" s="862"/>
      <c r="L19" s="862"/>
      <c r="M19" s="862"/>
      <c r="O19" s="511"/>
      <c r="P19" s="511"/>
      <c r="Q19" s="498"/>
      <c r="R19" s="498"/>
    </row>
    <row r="20" spans="1:24" ht="21" customHeight="1" x14ac:dyDescent="0.25">
      <c r="B20" s="498"/>
      <c r="C20" s="498"/>
      <c r="H20" s="497"/>
      <c r="I20" s="497"/>
      <c r="P20" s="497"/>
    </row>
    <row r="21" spans="1:24" s="512" customFormat="1" ht="25.5" customHeight="1" x14ac:dyDescent="0.35">
      <c r="B21" s="1114" t="s">
        <v>25</v>
      </c>
      <c r="C21" s="513"/>
      <c r="D21" s="1109" t="s">
        <v>683</v>
      </c>
      <c r="E21" s="1110"/>
      <c r="F21" s="1110"/>
      <c r="G21" s="1110"/>
      <c r="H21" s="1110"/>
      <c r="I21" s="1117"/>
      <c r="J21" s="1111"/>
      <c r="K21" s="513"/>
      <c r="L21" s="1109" t="s">
        <v>703</v>
      </c>
      <c r="M21" s="1110"/>
      <c r="N21" s="1110"/>
      <c r="O21" s="1110"/>
      <c r="P21" s="1110"/>
      <c r="Q21" s="1111"/>
      <c r="R21" s="513"/>
      <c r="S21" s="1109" t="s">
        <v>248</v>
      </c>
      <c r="T21" s="1110"/>
      <c r="U21" s="1110"/>
      <c r="V21" s="1110"/>
      <c r="W21" s="1110"/>
      <c r="X21" s="1111"/>
    </row>
    <row r="22" spans="1:24" ht="25.5" customHeight="1" thickBot="1" x14ac:dyDescent="0.3">
      <c r="B22" s="1115"/>
      <c r="C22" s="514"/>
      <c r="D22" s="1112" t="s">
        <v>698</v>
      </c>
      <c r="E22" s="1112" t="s">
        <v>699</v>
      </c>
      <c r="F22" s="1112" t="s">
        <v>700</v>
      </c>
      <c r="G22" s="1112" t="s">
        <v>701</v>
      </c>
      <c r="H22" s="1112" t="s">
        <v>705</v>
      </c>
      <c r="I22" s="1112" t="s">
        <v>1459</v>
      </c>
      <c r="J22" s="1118" t="s">
        <v>702</v>
      </c>
      <c r="K22" s="514"/>
      <c r="L22" s="1112" t="s">
        <v>698</v>
      </c>
      <c r="M22" s="1112" t="s">
        <v>699</v>
      </c>
      <c r="N22" s="1112" t="s">
        <v>700</v>
      </c>
      <c r="O22" s="1112" t="s">
        <v>701</v>
      </c>
      <c r="P22" s="1112" t="s">
        <v>704</v>
      </c>
      <c r="Q22" s="1112" t="s">
        <v>702</v>
      </c>
      <c r="R22" s="514"/>
      <c r="S22" s="1112" t="s">
        <v>746</v>
      </c>
      <c r="T22" s="1112" t="s">
        <v>699</v>
      </c>
      <c r="U22" s="1112" t="s">
        <v>700</v>
      </c>
      <c r="V22" s="1112" t="s">
        <v>747</v>
      </c>
      <c r="W22" s="1112" t="s">
        <v>748</v>
      </c>
      <c r="X22" s="1112" t="s">
        <v>749</v>
      </c>
    </row>
    <row r="23" spans="1:24" ht="25.5" customHeight="1" thickTop="1" x14ac:dyDescent="0.25">
      <c r="B23" s="1116"/>
      <c r="C23" s="514"/>
      <c r="D23" s="1113"/>
      <c r="E23" s="1113"/>
      <c r="F23" s="1113"/>
      <c r="G23" s="1113"/>
      <c r="H23" s="1113"/>
      <c r="I23" s="1113"/>
      <c r="J23" s="1119"/>
      <c r="K23" s="514"/>
      <c r="L23" s="1113"/>
      <c r="M23" s="1113"/>
      <c r="N23" s="1113"/>
      <c r="O23" s="1113"/>
      <c r="P23" s="1113"/>
      <c r="Q23" s="1113"/>
      <c r="R23" s="514"/>
      <c r="S23" s="1113"/>
      <c r="T23" s="1113"/>
      <c r="U23" s="1113"/>
      <c r="V23" s="1113"/>
      <c r="W23" s="1113"/>
      <c r="X23" s="1113"/>
    </row>
    <row r="24" spans="1:24" s="523" customFormat="1" ht="11.5" x14ac:dyDescent="0.25">
      <c r="A24" s="515">
        <v>22</v>
      </c>
      <c r="B24" s="516">
        <f>'00 - Cover'!F17</f>
        <v>45498</v>
      </c>
      <c r="C24" s="517"/>
      <c r="D24" s="518">
        <f>G25</f>
        <v>650283436.13999999</v>
      </c>
      <c r="E24" s="519">
        <v>0</v>
      </c>
      <c r="F24" s="519">
        <f>MIN(D24,'15 - Priority of Payments'!L24)</f>
        <v>16479655.059999999</v>
      </c>
      <c r="G24" s="519">
        <f>D24+E24-F24</f>
        <v>633803781.08000004</v>
      </c>
      <c r="H24" s="520">
        <f>'12 - Notes Interest'!B17</f>
        <v>6835</v>
      </c>
      <c r="I24" s="1032">
        <f>F24/H24</f>
        <v>2411.0687724945133</v>
      </c>
      <c r="J24" s="521">
        <f>G24/H24</f>
        <v>92729.155973664965</v>
      </c>
      <c r="K24" s="517"/>
      <c r="L24" s="518">
        <f>O25</f>
        <v>67585000</v>
      </c>
      <c r="M24" s="519">
        <v>0</v>
      </c>
      <c r="N24" s="519">
        <f>IF('11 - Notes Follow-up'!G24&gt;0,0,MIN(L24,'15 - Priority of Payments'!L25))</f>
        <v>0</v>
      </c>
      <c r="O24" s="519">
        <f>L24+M24-N24</f>
        <v>67585000</v>
      </c>
      <c r="P24" s="522">
        <v>67585</v>
      </c>
      <c r="Q24" s="521">
        <f>O24/P24</f>
        <v>1000</v>
      </c>
      <c r="R24" s="517"/>
      <c r="S24" s="518">
        <f>V25</f>
        <v>300</v>
      </c>
      <c r="T24" s="519">
        <v>0</v>
      </c>
      <c r="U24" s="519">
        <v>0</v>
      </c>
      <c r="V24" s="519">
        <f>S24+T24-U24</f>
        <v>300</v>
      </c>
      <c r="W24" s="522">
        <v>2</v>
      </c>
      <c r="X24" s="521">
        <f>V24/W24</f>
        <v>150</v>
      </c>
    </row>
    <row r="25" spans="1:24" s="534" customFormat="1" ht="12.5" x14ac:dyDescent="0.25">
      <c r="A25" s="524">
        <f>A24-1</f>
        <v>21</v>
      </c>
      <c r="B25" s="846">
        <v>45407</v>
      </c>
      <c r="C25" s="526"/>
      <c r="D25" s="847">
        <v>683500000</v>
      </c>
      <c r="E25" s="848">
        <v>0</v>
      </c>
      <c r="F25" s="848">
        <v>33216563.859999996</v>
      </c>
      <c r="G25" s="849">
        <v>650283436.13999999</v>
      </c>
      <c r="H25" s="850">
        <v>6835</v>
      </c>
      <c r="I25" s="889">
        <v>4859.7752538405257</v>
      </c>
      <c r="J25" s="851">
        <v>95140.224746159467</v>
      </c>
      <c r="K25" s="532"/>
      <c r="L25" s="533">
        <v>67585000</v>
      </c>
      <c r="M25" s="528">
        <v>0</v>
      </c>
      <c r="N25" s="528">
        <v>0</v>
      </c>
      <c r="O25" s="529">
        <v>67585000</v>
      </c>
      <c r="P25" s="530">
        <v>67585</v>
      </c>
      <c r="Q25" s="531">
        <v>1000</v>
      </c>
      <c r="R25" s="532"/>
      <c r="S25" s="533">
        <v>300</v>
      </c>
      <c r="T25" s="528">
        <v>0</v>
      </c>
      <c r="U25" s="528">
        <v>0</v>
      </c>
      <c r="V25" s="529">
        <v>300</v>
      </c>
      <c r="W25" s="530">
        <v>2</v>
      </c>
      <c r="X25" s="531">
        <v>150</v>
      </c>
    </row>
    <row r="26" spans="1:24" s="534" customFormat="1" ht="12.5" x14ac:dyDescent="0.25">
      <c r="A26" s="535">
        <f>A25-1</f>
        <v>20</v>
      </c>
      <c r="B26" s="846">
        <v>45268</v>
      </c>
      <c r="C26" s="536"/>
      <c r="D26" s="847">
        <v>0</v>
      </c>
      <c r="E26" s="848">
        <v>683500000</v>
      </c>
      <c r="F26" s="848">
        <v>0</v>
      </c>
      <c r="G26" s="849">
        <v>683500000</v>
      </c>
      <c r="H26" s="850">
        <v>6835</v>
      </c>
      <c r="I26" s="887">
        <v>0</v>
      </c>
      <c r="J26" s="851">
        <v>100000</v>
      </c>
      <c r="K26" s="532"/>
      <c r="L26" s="533">
        <v>0</v>
      </c>
      <c r="M26" s="528">
        <v>67585000</v>
      </c>
      <c r="N26" s="528">
        <v>0</v>
      </c>
      <c r="O26" s="529">
        <v>67585000</v>
      </c>
      <c r="P26" s="530">
        <v>67585</v>
      </c>
      <c r="Q26" s="531">
        <v>1000</v>
      </c>
      <c r="R26" s="532"/>
      <c r="S26" s="533">
        <v>0</v>
      </c>
      <c r="T26" s="528">
        <v>300</v>
      </c>
      <c r="U26" s="528">
        <v>0</v>
      </c>
      <c r="V26" s="529">
        <v>300</v>
      </c>
      <c r="W26" s="530">
        <v>2</v>
      </c>
      <c r="X26" s="531">
        <v>150</v>
      </c>
    </row>
    <row r="27" spans="1:24" s="534" customFormat="1" ht="12.5" x14ac:dyDescent="0.25">
      <c r="A27" s="535">
        <f t="shared" ref="A27:A90" si="0">A26-1</f>
        <v>19</v>
      </c>
      <c r="B27" s="846"/>
      <c r="C27" s="536"/>
      <c r="D27" s="847"/>
      <c r="E27" s="848"/>
      <c r="F27" s="848"/>
      <c r="G27" s="849"/>
      <c r="H27" s="850"/>
      <c r="I27" s="887"/>
      <c r="J27" s="851"/>
      <c r="K27" s="532"/>
      <c r="L27" s="533"/>
      <c r="M27" s="528"/>
      <c r="N27" s="528"/>
      <c r="O27" s="529"/>
      <c r="P27" s="530"/>
      <c r="Q27" s="531"/>
      <c r="R27" s="532"/>
      <c r="S27" s="533"/>
      <c r="T27" s="528"/>
      <c r="U27" s="528"/>
      <c r="V27" s="529"/>
      <c r="W27" s="530"/>
      <c r="X27" s="531"/>
    </row>
    <row r="28" spans="1:24" s="534" customFormat="1" ht="12.5" x14ac:dyDescent="0.25">
      <c r="A28" s="535">
        <f t="shared" si="0"/>
        <v>18</v>
      </c>
      <c r="B28" s="846"/>
      <c r="C28" s="536"/>
      <c r="D28" s="847"/>
      <c r="E28" s="848"/>
      <c r="F28" s="848"/>
      <c r="G28" s="849"/>
      <c r="H28" s="850"/>
      <c r="I28" s="887"/>
      <c r="J28" s="851"/>
      <c r="K28" s="532"/>
      <c r="L28" s="533"/>
      <c r="M28" s="528"/>
      <c r="N28" s="528"/>
      <c r="O28" s="529"/>
      <c r="P28" s="530"/>
      <c r="Q28" s="531"/>
      <c r="R28" s="532"/>
      <c r="S28" s="533"/>
      <c r="T28" s="528"/>
      <c r="U28" s="528"/>
      <c r="V28" s="529"/>
      <c r="W28" s="530"/>
      <c r="X28" s="531"/>
    </row>
    <row r="29" spans="1:24" s="534" customFormat="1" ht="12.5" x14ac:dyDescent="0.25">
      <c r="A29" s="535">
        <f t="shared" si="0"/>
        <v>17</v>
      </c>
      <c r="B29" s="846"/>
      <c r="C29" s="526"/>
      <c r="D29" s="847"/>
      <c r="E29" s="848"/>
      <c r="F29" s="848"/>
      <c r="G29" s="849"/>
      <c r="H29" s="850"/>
      <c r="I29" s="887"/>
      <c r="J29" s="851"/>
      <c r="K29" s="532"/>
      <c r="L29" s="533"/>
      <c r="M29" s="528"/>
      <c r="N29" s="528"/>
      <c r="O29" s="529"/>
      <c r="P29" s="530"/>
      <c r="Q29" s="531"/>
      <c r="R29" s="532"/>
      <c r="S29" s="533"/>
      <c r="T29" s="528"/>
      <c r="U29" s="528"/>
      <c r="V29" s="529"/>
      <c r="W29" s="530"/>
      <c r="X29" s="531"/>
    </row>
    <row r="30" spans="1:24" s="534" customFormat="1" ht="12.5" x14ac:dyDescent="0.25">
      <c r="A30" s="535">
        <f t="shared" si="0"/>
        <v>16</v>
      </c>
      <c r="B30" s="846"/>
      <c r="C30" s="526"/>
      <c r="D30" s="847"/>
      <c r="E30" s="848"/>
      <c r="F30" s="848"/>
      <c r="G30" s="849"/>
      <c r="H30" s="850"/>
      <c r="I30" s="887"/>
      <c r="J30" s="851"/>
      <c r="K30" s="532"/>
      <c r="L30" s="533"/>
      <c r="M30" s="528"/>
      <c r="N30" s="528"/>
      <c r="O30" s="529"/>
      <c r="P30" s="530"/>
      <c r="Q30" s="531"/>
      <c r="R30" s="532"/>
      <c r="S30" s="533"/>
      <c r="T30" s="528"/>
      <c r="U30" s="528"/>
      <c r="V30" s="529"/>
      <c r="W30" s="530"/>
      <c r="X30" s="531"/>
    </row>
    <row r="31" spans="1:24" s="534" customFormat="1" ht="12.5" x14ac:dyDescent="0.25">
      <c r="A31" s="535">
        <f t="shared" si="0"/>
        <v>15</v>
      </c>
      <c r="B31" s="846"/>
      <c r="C31" s="526"/>
      <c r="D31" s="847"/>
      <c r="E31" s="848"/>
      <c r="F31" s="848"/>
      <c r="G31" s="849"/>
      <c r="H31" s="850"/>
      <c r="I31" s="887"/>
      <c r="J31" s="851"/>
      <c r="K31" s="532"/>
      <c r="L31" s="533"/>
      <c r="M31" s="528"/>
      <c r="N31" s="528"/>
      <c r="O31" s="529"/>
      <c r="P31" s="530"/>
      <c r="Q31" s="531"/>
      <c r="R31" s="532"/>
      <c r="S31" s="533"/>
      <c r="T31" s="528"/>
      <c r="U31" s="528"/>
      <c r="V31" s="529"/>
      <c r="W31" s="530"/>
      <c r="X31" s="531"/>
    </row>
    <row r="32" spans="1:24" s="534" customFormat="1" ht="12.5" x14ac:dyDescent="0.25">
      <c r="A32" s="535">
        <f t="shared" si="0"/>
        <v>14</v>
      </c>
      <c r="B32" s="846"/>
      <c r="C32" s="537"/>
      <c r="D32" s="847"/>
      <c r="E32" s="848"/>
      <c r="F32" s="848"/>
      <c r="G32" s="849"/>
      <c r="H32" s="850"/>
      <c r="I32" s="887"/>
      <c r="J32" s="851"/>
      <c r="K32" s="538"/>
      <c r="L32" s="533"/>
      <c r="M32" s="528"/>
      <c r="N32" s="528"/>
      <c r="O32" s="529"/>
      <c r="P32" s="530"/>
      <c r="Q32" s="531"/>
      <c r="R32" s="538"/>
      <c r="S32" s="533"/>
      <c r="T32" s="528"/>
      <c r="U32" s="528"/>
      <c r="V32" s="529"/>
      <c r="W32" s="530"/>
      <c r="X32" s="531"/>
    </row>
    <row r="33" spans="1:24" s="534" customFormat="1" ht="12.5" x14ac:dyDescent="0.25">
      <c r="A33" s="535">
        <f t="shared" si="0"/>
        <v>13</v>
      </c>
      <c r="B33" s="846"/>
      <c r="C33" s="537"/>
      <c r="D33" s="847"/>
      <c r="E33" s="848"/>
      <c r="F33" s="848"/>
      <c r="G33" s="849"/>
      <c r="H33" s="850"/>
      <c r="I33" s="887"/>
      <c r="J33" s="851"/>
      <c r="K33" s="538"/>
      <c r="L33" s="533"/>
      <c r="M33" s="528"/>
      <c r="N33" s="528"/>
      <c r="O33" s="529"/>
      <c r="P33" s="530"/>
      <c r="Q33" s="531"/>
      <c r="R33" s="538"/>
      <c r="S33" s="533"/>
      <c r="T33" s="528"/>
      <c r="U33" s="528"/>
      <c r="V33" s="529"/>
      <c r="W33" s="530"/>
      <c r="X33" s="531"/>
    </row>
    <row r="34" spans="1:24" s="534" customFormat="1" ht="12.5" x14ac:dyDescent="0.25">
      <c r="A34" s="535">
        <f t="shared" si="0"/>
        <v>12</v>
      </c>
      <c r="B34" s="846"/>
      <c r="C34" s="537"/>
      <c r="D34" s="847"/>
      <c r="E34" s="848"/>
      <c r="F34" s="848"/>
      <c r="G34" s="849"/>
      <c r="H34" s="850"/>
      <c r="I34" s="887"/>
      <c r="J34" s="851"/>
      <c r="K34" s="538"/>
      <c r="L34" s="533"/>
      <c r="M34" s="528"/>
      <c r="N34" s="528"/>
      <c r="O34" s="529"/>
      <c r="P34" s="530"/>
      <c r="Q34" s="531"/>
      <c r="R34" s="538"/>
      <c r="S34" s="533"/>
      <c r="T34" s="528"/>
      <c r="U34" s="528"/>
      <c r="V34" s="529"/>
      <c r="W34" s="530"/>
      <c r="X34" s="531"/>
    </row>
    <row r="35" spans="1:24" s="534" customFormat="1" ht="12.5" x14ac:dyDescent="0.25">
      <c r="A35" s="535">
        <f t="shared" si="0"/>
        <v>11</v>
      </c>
      <c r="B35" s="846"/>
      <c r="C35" s="537"/>
      <c r="D35" s="847"/>
      <c r="E35" s="848"/>
      <c r="F35" s="848"/>
      <c r="G35" s="849"/>
      <c r="H35" s="850"/>
      <c r="I35" s="887"/>
      <c r="J35" s="851"/>
      <c r="K35" s="538"/>
      <c r="L35" s="533"/>
      <c r="M35" s="528"/>
      <c r="N35" s="528"/>
      <c r="O35" s="529"/>
      <c r="P35" s="530"/>
      <c r="Q35" s="531"/>
      <c r="R35" s="538"/>
      <c r="S35" s="533"/>
      <c r="T35" s="528"/>
      <c r="U35" s="528"/>
      <c r="V35" s="529"/>
      <c r="W35" s="530"/>
      <c r="X35" s="531"/>
    </row>
    <row r="36" spans="1:24" s="534" customFormat="1" ht="12.5" x14ac:dyDescent="0.25">
      <c r="A36" s="535">
        <f t="shared" si="0"/>
        <v>10</v>
      </c>
      <c r="B36" s="846"/>
      <c r="C36" s="537"/>
      <c r="D36" s="847"/>
      <c r="E36" s="848"/>
      <c r="F36" s="848"/>
      <c r="G36" s="849"/>
      <c r="H36" s="850"/>
      <c r="I36" s="887"/>
      <c r="J36" s="851"/>
      <c r="K36" s="538"/>
      <c r="L36" s="533"/>
      <c r="M36" s="528"/>
      <c r="N36" s="528"/>
      <c r="O36" s="529"/>
      <c r="P36" s="530"/>
      <c r="Q36" s="531"/>
      <c r="R36" s="538"/>
      <c r="S36" s="533"/>
      <c r="T36" s="528"/>
      <c r="U36" s="528"/>
      <c r="V36" s="529"/>
      <c r="W36" s="530"/>
      <c r="X36" s="531"/>
    </row>
    <row r="37" spans="1:24" s="534" customFormat="1" ht="12.5" x14ac:dyDescent="0.25">
      <c r="A37" s="535">
        <f t="shared" si="0"/>
        <v>9</v>
      </c>
      <c r="B37" s="846"/>
      <c r="C37" s="537"/>
      <c r="D37" s="847"/>
      <c r="E37" s="848"/>
      <c r="F37" s="848"/>
      <c r="G37" s="849"/>
      <c r="H37" s="850"/>
      <c r="I37" s="887"/>
      <c r="J37" s="851"/>
      <c r="K37" s="538"/>
      <c r="L37" s="533"/>
      <c r="M37" s="528"/>
      <c r="N37" s="528"/>
      <c r="O37" s="529"/>
      <c r="P37" s="530"/>
      <c r="Q37" s="531"/>
      <c r="R37" s="538"/>
      <c r="S37" s="533"/>
      <c r="T37" s="528"/>
      <c r="U37" s="528"/>
      <c r="V37" s="529"/>
      <c r="W37" s="530"/>
      <c r="X37" s="531"/>
    </row>
    <row r="38" spans="1:24" s="534" customFormat="1" ht="12.5" x14ac:dyDescent="0.25">
      <c r="A38" s="535">
        <f t="shared" si="0"/>
        <v>8</v>
      </c>
      <c r="B38" s="846"/>
      <c r="C38" s="537"/>
      <c r="D38" s="847"/>
      <c r="E38" s="848"/>
      <c r="F38" s="848"/>
      <c r="G38" s="849"/>
      <c r="H38" s="850"/>
      <c r="I38" s="887"/>
      <c r="J38" s="851"/>
      <c r="K38" s="538"/>
      <c r="L38" s="533"/>
      <c r="M38" s="528"/>
      <c r="N38" s="528"/>
      <c r="O38" s="529"/>
      <c r="P38" s="530"/>
      <c r="Q38" s="531"/>
      <c r="R38" s="538"/>
      <c r="S38" s="533"/>
      <c r="T38" s="528"/>
      <c r="U38" s="528"/>
      <c r="V38" s="529"/>
      <c r="W38" s="530"/>
      <c r="X38" s="531"/>
    </row>
    <row r="39" spans="1:24" s="534" customFormat="1" ht="12.5" x14ac:dyDescent="0.25">
      <c r="A39" s="535">
        <f t="shared" si="0"/>
        <v>7</v>
      </c>
      <c r="B39" s="846"/>
      <c r="C39" s="537"/>
      <c r="D39" s="847"/>
      <c r="E39" s="848"/>
      <c r="F39" s="848"/>
      <c r="G39" s="849"/>
      <c r="H39" s="850"/>
      <c r="I39" s="887"/>
      <c r="J39" s="851"/>
      <c r="K39" s="538"/>
      <c r="L39" s="533"/>
      <c r="M39" s="528"/>
      <c r="N39" s="528"/>
      <c r="O39" s="529"/>
      <c r="P39" s="530"/>
      <c r="Q39" s="531"/>
      <c r="R39" s="538"/>
      <c r="S39" s="533"/>
      <c r="T39" s="528"/>
      <c r="U39" s="528"/>
      <c r="V39" s="529"/>
      <c r="W39" s="530"/>
      <c r="X39" s="531"/>
    </row>
    <row r="40" spans="1:24" s="534" customFormat="1" ht="12.5" x14ac:dyDescent="0.25">
      <c r="A40" s="535">
        <f t="shared" si="0"/>
        <v>6</v>
      </c>
      <c r="B40" s="846"/>
      <c r="C40" s="537"/>
      <c r="D40" s="847"/>
      <c r="E40" s="848"/>
      <c r="F40" s="848"/>
      <c r="G40" s="849"/>
      <c r="H40" s="850"/>
      <c r="I40" s="887"/>
      <c r="J40" s="851"/>
      <c r="K40" s="538"/>
      <c r="L40" s="533"/>
      <c r="M40" s="528"/>
      <c r="N40" s="528"/>
      <c r="O40" s="529"/>
      <c r="P40" s="530"/>
      <c r="Q40" s="531"/>
      <c r="R40" s="538"/>
      <c r="S40" s="533"/>
      <c r="T40" s="528"/>
      <c r="U40" s="528"/>
      <c r="V40" s="529"/>
      <c r="W40" s="530"/>
      <c r="X40" s="531"/>
    </row>
    <row r="41" spans="1:24" s="534" customFormat="1" ht="12.5" x14ac:dyDescent="0.25">
      <c r="A41" s="535">
        <f t="shared" si="0"/>
        <v>5</v>
      </c>
      <c r="B41" s="846"/>
      <c r="C41" s="537"/>
      <c r="D41" s="847"/>
      <c r="E41" s="848"/>
      <c r="F41" s="848"/>
      <c r="G41" s="849"/>
      <c r="H41" s="850"/>
      <c r="I41" s="887"/>
      <c r="J41" s="851"/>
      <c r="K41" s="538"/>
      <c r="L41" s="533"/>
      <c r="M41" s="528"/>
      <c r="N41" s="528"/>
      <c r="O41" s="529"/>
      <c r="P41" s="530"/>
      <c r="Q41" s="531"/>
      <c r="R41" s="538"/>
      <c r="S41" s="533"/>
      <c r="T41" s="528"/>
      <c r="U41" s="528"/>
      <c r="V41" s="529"/>
      <c r="W41" s="530"/>
      <c r="X41" s="531"/>
    </row>
    <row r="42" spans="1:24" s="534" customFormat="1" ht="12.5" x14ac:dyDescent="0.25">
      <c r="A42" s="535">
        <f t="shared" si="0"/>
        <v>4</v>
      </c>
      <c r="B42" s="846"/>
      <c r="C42" s="537"/>
      <c r="D42" s="847"/>
      <c r="E42" s="848"/>
      <c r="F42" s="848"/>
      <c r="G42" s="849"/>
      <c r="H42" s="850"/>
      <c r="I42" s="887"/>
      <c r="J42" s="851"/>
      <c r="K42" s="538"/>
      <c r="L42" s="533"/>
      <c r="M42" s="528"/>
      <c r="N42" s="528"/>
      <c r="O42" s="529"/>
      <c r="P42" s="530"/>
      <c r="Q42" s="531"/>
      <c r="R42" s="538"/>
      <c r="S42" s="533"/>
      <c r="T42" s="528"/>
      <c r="U42" s="528"/>
      <c r="V42" s="529"/>
      <c r="W42" s="530"/>
      <c r="X42" s="531"/>
    </row>
    <row r="43" spans="1:24" s="534" customFormat="1" ht="12.5" x14ac:dyDescent="0.25">
      <c r="A43" s="535">
        <f t="shared" si="0"/>
        <v>3</v>
      </c>
      <c r="B43" s="846"/>
      <c r="C43" s="537"/>
      <c r="D43" s="847"/>
      <c r="E43" s="848"/>
      <c r="F43" s="848"/>
      <c r="G43" s="849"/>
      <c r="H43" s="850"/>
      <c r="I43" s="887"/>
      <c r="J43" s="851"/>
      <c r="K43" s="538"/>
      <c r="L43" s="533"/>
      <c r="M43" s="528"/>
      <c r="N43" s="528"/>
      <c r="O43" s="529"/>
      <c r="P43" s="530"/>
      <c r="Q43" s="531"/>
      <c r="R43" s="538"/>
      <c r="S43" s="533"/>
      <c r="T43" s="528"/>
      <c r="U43" s="528"/>
      <c r="V43" s="529"/>
      <c r="W43" s="530"/>
      <c r="X43" s="531"/>
    </row>
    <row r="44" spans="1:24" s="512" customFormat="1" x14ac:dyDescent="0.25">
      <c r="A44" s="535">
        <f t="shared" si="0"/>
        <v>2</v>
      </c>
      <c r="B44" s="846"/>
      <c r="C44" s="537"/>
      <c r="D44" s="847"/>
      <c r="E44" s="852"/>
      <c r="F44" s="848"/>
      <c r="G44" s="849"/>
      <c r="H44" s="850"/>
      <c r="I44" s="887"/>
      <c r="J44" s="853"/>
      <c r="K44" s="538"/>
      <c r="L44" s="527"/>
      <c r="M44" s="539"/>
      <c r="N44" s="528"/>
      <c r="O44" s="529"/>
      <c r="P44" s="530"/>
      <c r="Q44" s="540"/>
      <c r="R44" s="538"/>
      <c r="S44" s="527"/>
      <c r="T44" s="539"/>
      <c r="U44" s="528"/>
      <c r="V44" s="529"/>
      <c r="W44" s="530"/>
      <c r="X44" s="540"/>
    </row>
    <row r="45" spans="1:24" s="512" customFormat="1" x14ac:dyDescent="0.25">
      <c r="A45" s="535">
        <f t="shared" si="0"/>
        <v>1</v>
      </c>
      <c r="B45" s="846"/>
      <c r="C45" s="537"/>
      <c r="D45" s="847"/>
      <c r="E45" s="852"/>
      <c r="F45" s="848"/>
      <c r="G45" s="849"/>
      <c r="H45" s="850"/>
      <c r="I45" s="887"/>
      <c r="J45" s="853"/>
      <c r="K45" s="538"/>
      <c r="L45" s="527"/>
      <c r="M45" s="539"/>
      <c r="N45" s="528"/>
      <c r="O45" s="529"/>
      <c r="P45" s="530"/>
      <c r="Q45" s="540"/>
      <c r="R45" s="538"/>
      <c r="S45" s="527"/>
      <c r="T45" s="539"/>
      <c r="U45" s="528"/>
      <c r="V45" s="529"/>
      <c r="W45" s="530"/>
      <c r="X45" s="540"/>
    </row>
    <row r="46" spans="1:24" s="512" customFormat="1" x14ac:dyDescent="0.25">
      <c r="A46" s="535">
        <f t="shared" si="0"/>
        <v>0</v>
      </c>
      <c r="B46" s="846"/>
      <c r="C46" s="537"/>
      <c r="D46" s="847"/>
      <c r="E46" s="852"/>
      <c r="F46" s="848"/>
      <c r="G46" s="849"/>
      <c r="H46" s="850"/>
      <c r="I46" s="887"/>
      <c r="J46" s="853"/>
      <c r="K46" s="538"/>
      <c r="L46" s="527"/>
      <c r="M46" s="539"/>
      <c r="N46" s="528"/>
      <c r="O46" s="529"/>
      <c r="P46" s="530"/>
      <c r="Q46" s="540"/>
      <c r="R46" s="538"/>
      <c r="S46" s="527"/>
      <c r="T46" s="539"/>
      <c r="U46" s="528"/>
      <c r="V46" s="529"/>
      <c r="W46" s="530"/>
      <c r="X46" s="540"/>
    </row>
    <row r="47" spans="1:24" s="512" customFormat="1" x14ac:dyDescent="0.25">
      <c r="A47" s="535">
        <f t="shared" si="0"/>
        <v>-1</v>
      </c>
      <c r="B47" s="846" t="s">
        <v>657</v>
      </c>
      <c r="C47" s="537"/>
      <c r="D47" s="847" t="s">
        <v>657</v>
      </c>
      <c r="E47" s="852" t="s">
        <v>657</v>
      </c>
      <c r="F47" s="848" t="s">
        <v>657</v>
      </c>
      <c r="G47" s="849" t="s">
        <v>657</v>
      </c>
      <c r="H47" s="850" t="s">
        <v>657</v>
      </c>
      <c r="I47" s="887"/>
      <c r="J47" s="853" t="s">
        <v>657</v>
      </c>
      <c r="K47" s="538"/>
      <c r="L47" s="527" t="s">
        <v>657</v>
      </c>
      <c r="M47" s="539" t="s">
        <v>657</v>
      </c>
      <c r="N47" s="528" t="s">
        <v>657</v>
      </c>
      <c r="O47" s="529" t="s">
        <v>657</v>
      </c>
      <c r="P47" s="530" t="s">
        <v>657</v>
      </c>
      <c r="Q47" s="540" t="s">
        <v>657</v>
      </c>
      <c r="R47" s="538"/>
      <c r="S47" s="527" t="s">
        <v>657</v>
      </c>
      <c r="T47" s="539" t="s">
        <v>657</v>
      </c>
      <c r="U47" s="528" t="s">
        <v>657</v>
      </c>
      <c r="V47" s="529" t="s">
        <v>657</v>
      </c>
      <c r="W47" s="530" t="s">
        <v>657</v>
      </c>
      <c r="X47" s="540" t="s">
        <v>657</v>
      </c>
    </row>
    <row r="48" spans="1:24" s="512" customFormat="1" x14ac:dyDescent="0.25">
      <c r="A48" s="535">
        <f t="shared" si="0"/>
        <v>-2</v>
      </c>
      <c r="B48" s="846" t="s">
        <v>657</v>
      </c>
      <c r="C48" s="537"/>
      <c r="D48" s="847" t="s">
        <v>657</v>
      </c>
      <c r="E48" s="852" t="s">
        <v>657</v>
      </c>
      <c r="F48" s="848" t="s">
        <v>657</v>
      </c>
      <c r="G48" s="849" t="s">
        <v>657</v>
      </c>
      <c r="H48" s="850" t="s">
        <v>657</v>
      </c>
      <c r="I48" s="887"/>
      <c r="J48" s="853" t="s">
        <v>657</v>
      </c>
      <c r="K48" s="538"/>
      <c r="L48" s="527" t="s">
        <v>657</v>
      </c>
      <c r="M48" s="539" t="s">
        <v>657</v>
      </c>
      <c r="N48" s="528" t="s">
        <v>657</v>
      </c>
      <c r="O48" s="529" t="s">
        <v>657</v>
      </c>
      <c r="P48" s="530" t="s">
        <v>657</v>
      </c>
      <c r="Q48" s="540" t="s">
        <v>657</v>
      </c>
      <c r="R48" s="538"/>
      <c r="S48" s="527" t="s">
        <v>657</v>
      </c>
      <c r="T48" s="539" t="s">
        <v>657</v>
      </c>
      <c r="U48" s="528" t="s">
        <v>657</v>
      </c>
      <c r="V48" s="529" t="s">
        <v>657</v>
      </c>
      <c r="W48" s="530" t="s">
        <v>657</v>
      </c>
      <c r="X48" s="540" t="s">
        <v>657</v>
      </c>
    </row>
    <row r="49" spans="1:24" s="512" customFormat="1" x14ac:dyDescent="0.25">
      <c r="A49" s="535">
        <f t="shared" si="0"/>
        <v>-3</v>
      </c>
      <c r="B49" s="846" t="s">
        <v>657</v>
      </c>
      <c r="C49" s="537"/>
      <c r="D49" s="847" t="s">
        <v>657</v>
      </c>
      <c r="E49" s="852" t="s">
        <v>657</v>
      </c>
      <c r="F49" s="848" t="s">
        <v>657</v>
      </c>
      <c r="G49" s="849" t="s">
        <v>657</v>
      </c>
      <c r="H49" s="850" t="s">
        <v>657</v>
      </c>
      <c r="I49" s="887"/>
      <c r="J49" s="853" t="s">
        <v>657</v>
      </c>
      <c r="K49" s="538"/>
      <c r="L49" s="527" t="s">
        <v>657</v>
      </c>
      <c r="M49" s="539" t="s">
        <v>657</v>
      </c>
      <c r="N49" s="528" t="s">
        <v>657</v>
      </c>
      <c r="O49" s="529" t="s">
        <v>657</v>
      </c>
      <c r="P49" s="530" t="s">
        <v>657</v>
      </c>
      <c r="Q49" s="540" t="s">
        <v>657</v>
      </c>
      <c r="R49" s="538"/>
      <c r="S49" s="527" t="s">
        <v>657</v>
      </c>
      <c r="T49" s="539" t="s">
        <v>657</v>
      </c>
      <c r="U49" s="528" t="s">
        <v>657</v>
      </c>
      <c r="V49" s="529" t="s">
        <v>657</v>
      </c>
      <c r="W49" s="530" t="s">
        <v>657</v>
      </c>
      <c r="X49" s="540" t="s">
        <v>657</v>
      </c>
    </row>
    <row r="50" spans="1:24" s="512" customFormat="1" x14ac:dyDescent="0.25">
      <c r="A50" s="535">
        <f t="shared" si="0"/>
        <v>-4</v>
      </c>
      <c r="B50" s="846" t="s">
        <v>657</v>
      </c>
      <c r="C50" s="537"/>
      <c r="D50" s="847" t="s">
        <v>657</v>
      </c>
      <c r="E50" s="852" t="s">
        <v>657</v>
      </c>
      <c r="F50" s="852" t="s">
        <v>657</v>
      </c>
      <c r="G50" s="849" t="s">
        <v>657</v>
      </c>
      <c r="H50" s="850" t="s">
        <v>657</v>
      </c>
      <c r="I50" s="887"/>
      <c r="J50" s="853" t="s">
        <v>657</v>
      </c>
      <c r="K50" s="538"/>
      <c r="L50" s="541" t="s">
        <v>657</v>
      </c>
      <c r="M50" s="539" t="s">
        <v>657</v>
      </c>
      <c r="N50" s="539" t="s">
        <v>657</v>
      </c>
      <c r="O50" s="529" t="s">
        <v>657</v>
      </c>
      <c r="P50" s="530" t="s">
        <v>657</v>
      </c>
      <c r="Q50" s="540" t="s">
        <v>657</v>
      </c>
      <c r="R50" s="538"/>
      <c r="S50" s="541" t="s">
        <v>657</v>
      </c>
      <c r="T50" s="539" t="s">
        <v>657</v>
      </c>
      <c r="U50" s="539" t="s">
        <v>657</v>
      </c>
      <c r="V50" s="529" t="s">
        <v>657</v>
      </c>
      <c r="W50" s="530" t="s">
        <v>657</v>
      </c>
      <c r="X50" s="540" t="s">
        <v>657</v>
      </c>
    </row>
    <row r="51" spans="1:24" s="512" customFormat="1" x14ac:dyDescent="0.25">
      <c r="A51" s="535">
        <f t="shared" si="0"/>
        <v>-5</v>
      </c>
      <c r="B51" s="846" t="s">
        <v>657</v>
      </c>
      <c r="C51" s="537"/>
      <c r="D51" s="854" t="s">
        <v>657</v>
      </c>
      <c r="E51" s="852" t="s">
        <v>657</v>
      </c>
      <c r="F51" s="852" t="s">
        <v>657</v>
      </c>
      <c r="G51" s="849" t="s">
        <v>657</v>
      </c>
      <c r="H51" s="850" t="s">
        <v>657</v>
      </c>
      <c r="I51" s="887"/>
      <c r="J51" s="853" t="s">
        <v>657</v>
      </c>
      <c r="K51" s="538"/>
      <c r="L51" s="533" t="s">
        <v>657</v>
      </c>
      <c r="M51" s="539" t="s">
        <v>657</v>
      </c>
      <c r="N51" s="539" t="s">
        <v>657</v>
      </c>
      <c r="O51" s="529" t="s">
        <v>657</v>
      </c>
      <c r="P51" s="530" t="s">
        <v>657</v>
      </c>
      <c r="Q51" s="540" t="s">
        <v>657</v>
      </c>
      <c r="R51" s="538"/>
      <c r="S51" s="533" t="s">
        <v>657</v>
      </c>
      <c r="T51" s="539" t="s">
        <v>657</v>
      </c>
      <c r="U51" s="539" t="s">
        <v>657</v>
      </c>
      <c r="V51" s="529" t="s">
        <v>657</v>
      </c>
      <c r="W51" s="530" t="s">
        <v>657</v>
      </c>
      <c r="X51" s="540" t="s">
        <v>657</v>
      </c>
    </row>
    <row r="52" spans="1:24" s="512" customFormat="1" x14ac:dyDescent="0.25">
      <c r="A52" s="535">
        <f t="shared" si="0"/>
        <v>-6</v>
      </c>
      <c r="B52" s="846" t="s">
        <v>657</v>
      </c>
      <c r="C52" s="537"/>
      <c r="D52" s="854" t="s">
        <v>657</v>
      </c>
      <c r="E52" s="852" t="s">
        <v>657</v>
      </c>
      <c r="F52" s="852" t="s">
        <v>657</v>
      </c>
      <c r="G52" s="849" t="s">
        <v>657</v>
      </c>
      <c r="H52" s="850" t="s">
        <v>657</v>
      </c>
      <c r="I52" s="887"/>
      <c r="J52" s="853" t="s">
        <v>657</v>
      </c>
      <c r="K52" s="538"/>
      <c r="L52" s="533" t="s">
        <v>657</v>
      </c>
      <c r="M52" s="539" t="s">
        <v>657</v>
      </c>
      <c r="N52" s="539" t="s">
        <v>657</v>
      </c>
      <c r="O52" s="529" t="s">
        <v>657</v>
      </c>
      <c r="P52" s="530" t="s">
        <v>657</v>
      </c>
      <c r="Q52" s="540" t="s">
        <v>657</v>
      </c>
      <c r="R52" s="538"/>
      <c r="S52" s="533" t="s">
        <v>657</v>
      </c>
      <c r="T52" s="539" t="s">
        <v>657</v>
      </c>
      <c r="U52" s="539" t="s">
        <v>657</v>
      </c>
      <c r="V52" s="529" t="s">
        <v>657</v>
      </c>
      <c r="W52" s="530" t="s">
        <v>657</v>
      </c>
      <c r="X52" s="540" t="s">
        <v>657</v>
      </c>
    </row>
    <row r="53" spans="1:24" s="512" customFormat="1" x14ac:dyDescent="0.25">
      <c r="A53" s="535">
        <f t="shared" si="0"/>
        <v>-7</v>
      </c>
      <c r="B53" s="846" t="s">
        <v>657</v>
      </c>
      <c r="C53" s="537"/>
      <c r="D53" s="854" t="s">
        <v>657</v>
      </c>
      <c r="E53" s="852" t="s">
        <v>657</v>
      </c>
      <c r="F53" s="852" t="s">
        <v>657</v>
      </c>
      <c r="G53" s="849" t="s">
        <v>657</v>
      </c>
      <c r="H53" s="850" t="s">
        <v>657</v>
      </c>
      <c r="I53" s="887"/>
      <c r="J53" s="853" t="s">
        <v>657</v>
      </c>
      <c r="K53" s="538"/>
      <c r="L53" s="533" t="s">
        <v>657</v>
      </c>
      <c r="M53" s="539" t="s">
        <v>657</v>
      </c>
      <c r="N53" s="539" t="s">
        <v>657</v>
      </c>
      <c r="O53" s="529" t="s">
        <v>657</v>
      </c>
      <c r="P53" s="530" t="s">
        <v>657</v>
      </c>
      <c r="Q53" s="540" t="s">
        <v>657</v>
      </c>
      <c r="R53" s="538"/>
      <c r="S53" s="533" t="s">
        <v>657</v>
      </c>
      <c r="T53" s="539" t="s">
        <v>657</v>
      </c>
      <c r="U53" s="539" t="s">
        <v>657</v>
      </c>
      <c r="V53" s="529" t="s">
        <v>657</v>
      </c>
      <c r="W53" s="530" t="s">
        <v>657</v>
      </c>
      <c r="X53" s="540" t="s">
        <v>657</v>
      </c>
    </row>
    <row r="54" spans="1:24" s="512" customFormat="1" x14ac:dyDescent="0.25">
      <c r="A54" s="535">
        <f t="shared" si="0"/>
        <v>-8</v>
      </c>
      <c r="B54" s="846" t="s">
        <v>657</v>
      </c>
      <c r="C54" s="537"/>
      <c r="D54" s="854" t="s">
        <v>657</v>
      </c>
      <c r="E54" s="852" t="s">
        <v>657</v>
      </c>
      <c r="F54" s="852" t="s">
        <v>657</v>
      </c>
      <c r="G54" s="849" t="s">
        <v>657</v>
      </c>
      <c r="H54" s="850" t="s">
        <v>657</v>
      </c>
      <c r="I54" s="887"/>
      <c r="J54" s="853" t="s">
        <v>657</v>
      </c>
      <c r="K54" s="538"/>
      <c r="L54" s="533" t="s">
        <v>657</v>
      </c>
      <c r="M54" s="539" t="s">
        <v>657</v>
      </c>
      <c r="N54" s="539" t="s">
        <v>657</v>
      </c>
      <c r="O54" s="529" t="s">
        <v>657</v>
      </c>
      <c r="P54" s="530" t="s">
        <v>657</v>
      </c>
      <c r="Q54" s="540" t="s">
        <v>657</v>
      </c>
      <c r="R54" s="538"/>
      <c r="S54" s="533" t="s">
        <v>657</v>
      </c>
      <c r="T54" s="539" t="s">
        <v>657</v>
      </c>
      <c r="U54" s="539" t="s">
        <v>657</v>
      </c>
      <c r="V54" s="529" t="s">
        <v>657</v>
      </c>
      <c r="W54" s="530" t="s">
        <v>657</v>
      </c>
      <c r="X54" s="540" t="s">
        <v>657</v>
      </c>
    </row>
    <row r="55" spans="1:24" s="512" customFormat="1" x14ac:dyDescent="0.25">
      <c r="A55" s="535">
        <f t="shared" si="0"/>
        <v>-9</v>
      </c>
      <c r="B55" s="846" t="s">
        <v>657</v>
      </c>
      <c r="C55" s="537"/>
      <c r="D55" s="854" t="s">
        <v>657</v>
      </c>
      <c r="E55" s="852" t="s">
        <v>657</v>
      </c>
      <c r="F55" s="852" t="s">
        <v>657</v>
      </c>
      <c r="G55" s="849" t="s">
        <v>657</v>
      </c>
      <c r="H55" s="850" t="s">
        <v>657</v>
      </c>
      <c r="I55" s="887"/>
      <c r="J55" s="853" t="s">
        <v>657</v>
      </c>
      <c r="K55" s="538"/>
      <c r="L55" s="533" t="s">
        <v>657</v>
      </c>
      <c r="M55" s="539" t="s">
        <v>657</v>
      </c>
      <c r="N55" s="539" t="s">
        <v>657</v>
      </c>
      <c r="O55" s="529" t="s">
        <v>657</v>
      </c>
      <c r="P55" s="530" t="s">
        <v>657</v>
      </c>
      <c r="Q55" s="540" t="s">
        <v>657</v>
      </c>
      <c r="R55" s="538"/>
      <c r="S55" s="533" t="s">
        <v>657</v>
      </c>
      <c r="T55" s="539" t="s">
        <v>657</v>
      </c>
      <c r="U55" s="539" t="s">
        <v>657</v>
      </c>
      <c r="V55" s="529" t="s">
        <v>657</v>
      </c>
      <c r="W55" s="530" t="s">
        <v>657</v>
      </c>
      <c r="X55" s="540" t="s">
        <v>657</v>
      </c>
    </row>
    <row r="56" spans="1:24" s="512" customFormat="1" x14ac:dyDescent="0.25">
      <c r="A56" s="535">
        <f t="shared" si="0"/>
        <v>-10</v>
      </c>
      <c r="B56" s="846" t="s">
        <v>657</v>
      </c>
      <c r="C56" s="537"/>
      <c r="D56" s="854" t="s">
        <v>657</v>
      </c>
      <c r="E56" s="852" t="s">
        <v>657</v>
      </c>
      <c r="F56" s="852" t="s">
        <v>657</v>
      </c>
      <c r="G56" s="849" t="s">
        <v>657</v>
      </c>
      <c r="H56" s="850" t="s">
        <v>657</v>
      </c>
      <c r="I56" s="887"/>
      <c r="J56" s="853" t="s">
        <v>657</v>
      </c>
      <c r="K56" s="538"/>
      <c r="L56" s="533" t="s">
        <v>657</v>
      </c>
      <c r="M56" s="539" t="s">
        <v>657</v>
      </c>
      <c r="N56" s="539" t="s">
        <v>657</v>
      </c>
      <c r="O56" s="529" t="s">
        <v>657</v>
      </c>
      <c r="P56" s="530" t="s">
        <v>657</v>
      </c>
      <c r="Q56" s="540" t="s">
        <v>657</v>
      </c>
      <c r="R56" s="538"/>
      <c r="S56" s="533" t="s">
        <v>657</v>
      </c>
      <c r="T56" s="539" t="s">
        <v>657</v>
      </c>
      <c r="U56" s="539" t="s">
        <v>657</v>
      </c>
      <c r="V56" s="529" t="s">
        <v>657</v>
      </c>
      <c r="W56" s="530" t="s">
        <v>657</v>
      </c>
      <c r="X56" s="540" t="s">
        <v>657</v>
      </c>
    </row>
    <row r="57" spans="1:24" s="512" customFormat="1" x14ac:dyDescent="0.25">
      <c r="A57" s="535">
        <f t="shared" si="0"/>
        <v>-11</v>
      </c>
      <c r="B57" s="846" t="s">
        <v>657</v>
      </c>
      <c r="C57" s="537"/>
      <c r="D57" s="854" t="s">
        <v>657</v>
      </c>
      <c r="E57" s="852" t="s">
        <v>657</v>
      </c>
      <c r="F57" s="852" t="s">
        <v>657</v>
      </c>
      <c r="G57" s="849" t="s">
        <v>657</v>
      </c>
      <c r="H57" s="850" t="s">
        <v>657</v>
      </c>
      <c r="I57" s="887"/>
      <c r="J57" s="853" t="s">
        <v>657</v>
      </c>
      <c r="K57" s="538"/>
      <c r="L57" s="533" t="s">
        <v>657</v>
      </c>
      <c r="M57" s="539" t="s">
        <v>657</v>
      </c>
      <c r="N57" s="539" t="s">
        <v>657</v>
      </c>
      <c r="O57" s="529" t="s">
        <v>657</v>
      </c>
      <c r="P57" s="530" t="s">
        <v>657</v>
      </c>
      <c r="Q57" s="540" t="s">
        <v>657</v>
      </c>
      <c r="R57" s="538"/>
      <c r="S57" s="533" t="s">
        <v>657</v>
      </c>
      <c r="T57" s="539" t="s">
        <v>657</v>
      </c>
      <c r="U57" s="539" t="s">
        <v>657</v>
      </c>
      <c r="V57" s="529" t="s">
        <v>657</v>
      </c>
      <c r="W57" s="530" t="s">
        <v>657</v>
      </c>
      <c r="X57" s="540" t="s">
        <v>657</v>
      </c>
    </row>
    <row r="58" spans="1:24" s="512" customFormat="1" x14ac:dyDescent="0.25">
      <c r="A58" s="535">
        <f t="shared" si="0"/>
        <v>-12</v>
      </c>
      <c r="B58" s="846" t="s">
        <v>657</v>
      </c>
      <c r="C58" s="537"/>
      <c r="D58" s="854" t="s">
        <v>657</v>
      </c>
      <c r="E58" s="852" t="s">
        <v>657</v>
      </c>
      <c r="F58" s="852" t="s">
        <v>657</v>
      </c>
      <c r="G58" s="849" t="s">
        <v>657</v>
      </c>
      <c r="H58" s="850" t="s">
        <v>657</v>
      </c>
      <c r="I58" s="887"/>
      <c r="J58" s="853" t="s">
        <v>657</v>
      </c>
      <c r="K58" s="538"/>
      <c r="L58" s="533" t="s">
        <v>657</v>
      </c>
      <c r="M58" s="539" t="s">
        <v>657</v>
      </c>
      <c r="N58" s="539" t="s">
        <v>657</v>
      </c>
      <c r="O58" s="529" t="s">
        <v>657</v>
      </c>
      <c r="P58" s="530" t="s">
        <v>657</v>
      </c>
      <c r="Q58" s="540" t="s">
        <v>657</v>
      </c>
      <c r="R58" s="538"/>
      <c r="S58" s="533" t="s">
        <v>657</v>
      </c>
      <c r="T58" s="539" t="s">
        <v>657</v>
      </c>
      <c r="U58" s="539" t="s">
        <v>657</v>
      </c>
      <c r="V58" s="529" t="s">
        <v>657</v>
      </c>
      <c r="W58" s="530" t="s">
        <v>657</v>
      </c>
      <c r="X58" s="540" t="s">
        <v>657</v>
      </c>
    </row>
    <row r="59" spans="1:24" s="512" customFormat="1" x14ac:dyDescent="0.25">
      <c r="A59" s="535">
        <f t="shared" si="0"/>
        <v>-13</v>
      </c>
      <c r="B59" s="846" t="s">
        <v>657</v>
      </c>
      <c r="C59" s="537"/>
      <c r="D59" s="854" t="s">
        <v>657</v>
      </c>
      <c r="E59" s="852" t="s">
        <v>657</v>
      </c>
      <c r="F59" s="852" t="s">
        <v>657</v>
      </c>
      <c r="G59" s="849" t="s">
        <v>657</v>
      </c>
      <c r="H59" s="850" t="s">
        <v>657</v>
      </c>
      <c r="I59" s="887"/>
      <c r="J59" s="853" t="s">
        <v>657</v>
      </c>
      <c r="K59" s="538"/>
      <c r="L59" s="533" t="s">
        <v>657</v>
      </c>
      <c r="M59" s="539" t="s">
        <v>657</v>
      </c>
      <c r="N59" s="539" t="s">
        <v>657</v>
      </c>
      <c r="O59" s="529" t="s">
        <v>657</v>
      </c>
      <c r="P59" s="530" t="s">
        <v>657</v>
      </c>
      <c r="Q59" s="540" t="s">
        <v>657</v>
      </c>
      <c r="R59" s="538"/>
      <c r="S59" s="533" t="s">
        <v>657</v>
      </c>
      <c r="T59" s="539" t="s">
        <v>657</v>
      </c>
      <c r="U59" s="539" t="s">
        <v>657</v>
      </c>
      <c r="V59" s="529" t="s">
        <v>657</v>
      </c>
      <c r="W59" s="530" t="s">
        <v>657</v>
      </c>
      <c r="X59" s="540" t="s">
        <v>657</v>
      </c>
    </row>
    <row r="60" spans="1:24" s="512" customFormat="1" x14ac:dyDescent="0.25">
      <c r="A60" s="535">
        <f t="shared" si="0"/>
        <v>-14</v>
      </c>
      <c r="B60" s="846" t="s">
        <v>657</v>
      </c>
      <c r="C60" s="537"/>
      <c r="D60" s="854" t="s">
        <v>657</v>
      </c>
      <c r="E60" s="852" t="s">
        <v>657</v>
      </c>
      <c r="F60" s="852" t="s">
        <v>657</v>
      </c>
      <c r="G60" s="849" t="s">
        <v>657</v>
      </c>
      <c r="H60" s="850" t="s">
        <v>657</v>
      </c>
      <c r="I60" s="887"/>
      <c r="J60" s="853" t="s">
        <v>657</v>
      </c>
      <c r="K60" s="538"/>
      <c r="L60" s="533" t="s">
        <v>657</v>
      </c>
      <c r="M60" s="539" t="s">
        <v>657</v>
      </c>
      <c r="N60" s="539" t="s">
        <v>657</v>
      </c>
      <c r="O60" s="529" t="s">
        <v>657</v>
      </c>
      <c r="P60" s="530" t="s">
        <v>657</v>
      </c>
      <c r="Q60" s="540" t="s">
        <v>657</v>
      </c>
      <c r="R60" s="538"/>
      <c r="S60" s="533" t="s">
        <v>657</v>
      </c>
      <c r="T60" s="539" t="s">
        <v>657</v>
      </c>
      <c r="U60" s="539" t="s">
        <v>657</v>
      </c>
      <c r="V60" s="529" t="s">
        <v>657</v>
      </c>
      <c r="W60" s="530" t="s">
        <v>657</v>
      </c>
      <c r="X60" s="540" t="s">
        <v>657</v>
      </c>
    </row>
    <row r="61" spans="1:24" s="512" customFormat="1" x14ac:dyDescent="0.25">
      <c r="A61" s="535">
        <f t="shared" si="0"/>
        <v>-15</v>
      </c>
      <c r="B61" s="846" t="s">
        <v>657</v>
      </c>
      <c r="C61" s="537"/>
      <c r="D61" s="854" t="s">
        <v>657</v>
      </c>
      <c r="E61" s="852" t="s">
        <v>657</v>
      </c>
      <c r="F61" s="852" t="s">
        <v>657</v>
      </c>
      <c r="G61" s="849" t="s">
        <v>657</v>
      </c>
      <c r="H61" s="850" t="s">
        <v>657</v>
      </c>
      <c r="I61" s="887"/>
      <c r="J61" s="853" t="s">
        <v>657</v>
      </c>
      <c r="K61" s="538"/>
      <c r="L61" s="533" t="s">
        <v>657</v>
      </c>
      <c r="M61" s="539" t="s">
        <v>657</v>
      </c>
      <c r="N61" s="539" t="s">
        <v>657</v>
      </c>
      <c r="O61" s="529" t="s">
        <v>657</v>
      </c>
      <c r="P61" s="530" t="s">
        <v>657</v>
      </c>
      <c r="Q61" s="540" t="s">
        <v>657</v>
      </c>
      <c r="R61" s="538"/>
      <c r="S61" s="533" t="s">
        <v>657</v>
      </c>
      <c r="T61" s="539" t="s">
        <v>657</v>
      </c>
      <c r="U61" s="539" t="s">
        <v>657</v>
      </c>
      <c r="V61" s="529" t="s">
        <v>657</v>
      </c>
      <c r="W61" s="530" t="s">
        <v>657</v>
      </c>
      <c r="X61" s="540" t="s">
        <v>657</v>
      </c>
    </row>
    <row r="62" spans="1:24" s="512" customFormat="1" x14ac:dyDescent="0.25">
      <c r="A62" s="535">
        <f t="shared" si="0"/>
        <v>-16</v>
      </c>
      <c r="B62" s="846" t="s">
        <v>657</v>
      </c>
      <c r="C62" s="537"/>
      <c r="D62" s="854" t="s">
        <v>657</v>
      </c>
      <c r="E62" s="852" t="s">
        <v>657</v>
      </c>
      <c r="F62" s="852" t="s">
        <v>657</v>
      </c>
      <c r="G62" s="849" t="s">
        <v>657</v>
      </c>
      <c r="H62" s="850" t="s">
        <v>657</v>
      </c>
      <c r="I62" s="887"/>
      <c r="J62" s="853" t="s">
        <v>657</v>
      </c>
      <c r="K62" s="538"/>
      <c r="L62" s="533" t="s">
        <v>657</v>
      </c>
      <c r="M62" s="539" t="s">
        <v>657</v>
      </c>
      <c r="N62" s="539" t="s">
        <v>657</v>
      </c>
      <c r="O62" s="529" t="s">
        <v>657</v>
      </c>
      <c r="P62" s="530" t="s">
        <v>657</v>
      </c>
      <c r="Q62" s="540" t="s">
        <v>657</v>
      </c>
      <c r="R62" s="538"/>
      <c r="S62" s="533" t="s">
        <v>657</v>
      </c>
      <c r="T62" s="539" t="s">
        <v>657</v>
      </c>
      <c r="U62" s="539" t="s">
        <v>657</v>
      </c>
      <c r="V62" s="529" t="s">
        <v>657</v>
      </c>
      <c r="W62" s="530" t="s">
        <v>657</v>
      </c>
      <c r="X62" s="540" t="s">
        <v>657</v>
      </c>
    </row>
    <row r="63" spans="1:24" s="512" customFormat="1" x14ac:dyDescent="0.25">
      <c r="A63" s="535">
        <f t="shared" si="0"/>
        <v>-17</v>
      </c>
      <c r="B63" s="846" t="s">
        <v>657</v>
      </c>
      <c r="C63" s="537"/>
      <c r="D63" s="854" t="s">
        <v>657</v>
      </c>
      <c r="E63" s="852" t="s">
        <v>657</v>
      </c>
      <c r="F63" s="852" t="s">
        <v>657</v>
      </c>
      <c r="G63" s="849" t="s">
        <v>657</v>
      </c>
      <c r="H63" s="850" t="s">
        <v>657</v>
      </c>
      <c r="I63" s="887"/>
      <c r="J63" s="853" t="s">
        <v>657</v>
      </c>
      <c r="K63" s="538"/>
      <c r="L63" s="533" t="s">
        <v>657</v>
      </c>
      <c r="M63" s="539" t="s">
        <v>657</v>
      </c>
      <c r="N63" s="539" t="s">
        <v>657</v>
      </c>
      <c r="O63" s="529" t="s">
        <v>657</v>
      </c>
      <c r="P63" s="530" t="s">
        <v>657</v>
      </c>
      <c r="Q63" s="540" t="s">
        <v>657</v>
      </c>
      <c r="R63" s="538"/>
      <c r="S63" s="533" t="s">
        <v>657</v>
      </c>
      <c r="T63" s="539" t="s">
        <v>657</v>
      </c>
      <c r="U63" s="539" t="s">
        <v>657</v>
      </c>
      <c r="V63" s="529" t="s">
        <v>657</v>
      </c>
      <c r="W63" s="530" t="s">
        <v>657</v>
      </c>
      <c r="X63" s="540" t="s">
        <v>657</v>
      </c>
    </row>
    <row r="64" spans="1:24" s="512" customFormat="1" x14ac:dyDescent="0.25">
      <c r="A64" s="535">
        <f t="shared" si="0"/>
        <v>-18</v>
      </c>
      <c r="B64" s="846" t="s">
        <v>657</v>
      </c>
      <c r="C64" s="537"/>
      <c r="D64" s="854" t="s">
        <v>657</v>
      </c>
      <c r="E64" s="852" t="s">
        <v>657</v>
      </c>
      <c r="F64" s="852" t="s">
        <v>657</v>
      </c>
      <c r="G64" s="849" t="s">
        <v>657</v>
      </c>
      <c r="H64" s="850" t="s">
        <v>657</v>
      </c>
      <c r="I64" s="887"/>
      <c r="J64" s="853" t="s">
        <v>657</v>
      </c>
      <c r="K64" s="538"/>
      <c r="L64" s="533" t="s">
        <v>657</v>
      </c>
      <c r="M64" s="539" t="s">
        <v>657</v>
      </c>
      <c r="N64" s="539" t="s">
        <v>657</v>
      </c>
      <c r="O64" s="529" t="s">
        <v>657</v>
      </c>
      <c r="P64" s="530" t="s">
        <v>657</v>
      </c>
      <c r="Q64" s="540" t="s">
        <v>657</v>
      </c>
      <c r="R64" s="538"/>
      <c r="S64" s="533" t="s">
        <v>657</v>
      </c>
      <c r="T64" s="539" t="s">
        <v>657</v>
      </c>
      <c r="U64" s="539" t="s">
        <v>657</v>
      </c>
      <c r="V64" s="529" t="s">
        <v>657</v>
      </c>
      <c r="W64" s="530" t="s">
        <v>657</v>
      </c>
      <c r="X64" s="540" t="s">
        <v>657</v>
      </c>
    </row>
    <row r="65" spans="1:24" s="512" customFormat="1" x14ac:dyDescent="0.25">
      <c r="A65" s="535">
        <f t="shared" si="0"/>
        <v>-19</v>
      </c>
      <c r="B65" s="846" t="s">
        <v>657</v>
      </c>
      <c r="C65" s="537"/>
      <c r="D65" s="854" t="s">
        <v>657</v>
      </c>
      <c r="E65" s="852" t="s">
        <v>657</v>
      </c>
      <c r="F65" s="852" t="s">
        <v>657</v>
      </c>
      <c r="G65" s="849" t="s">
        <v>657</v>
      </c>
      <c r="H65" s="850" t="s">
        <v>657</v>
      </c>
      <c r="I65" s="887"/>
      <c r="J65" s="853" t="s">
        <v>657</v>
      </c>
      <c r="K65" s="538"/>
      <c r="L65" s="533" t="s">
        <v>657</v>
      </c>
      <c r="M65" s="539" t="s">
        <v>657</v>
      </c>
      <c r="N65" s="539" t="s">
        <v>657</v>
      </c>
      <c r="O65" s="529" t="s">
        <v>657</v>
      </c>
      <c r="P65" s="530" t="s">
        <v>657</v>
      </c>
      <c r="Q65" s="540" t="s">
        <v>657</v>
      </c>
      <c r="R65" s="538"/>
      <c r="S65" s="533" t="s">
        <v>657</v>
      </c>
      <c r="T65" s="539" t="s">
        <v>657</v>
      </c>
      <c r="U65" s="539" t="s">
        <v>657</v>
      </c>
      <c r="V65" s="529" t="s">
        <v>657</v>
      </c>
      <c r="W65" s="530" t="s">
        <v>657</v>
      </c>
      <c r="X65" s="540" t="s">
        <v>657</v>
      </c>
    </row>
    <row r="66" spans="1:24" s="512" customFormat="1" x14ac:dyDescent="0.25">
      <c r="A66" s="535">
        <f t="shared" si="0"/>
        <v>-20</v>
      </c>
      <c r="B66" s="846" t="s">
        <v>657</v>
      </c>
      <c r="C66" s="537"/>
      <c r="D66" s="854" t="s">
        <v>657</v>
      </c>
      <c r="E66" s="852" t="s">
        <v>657</v>
      </c>
      <c r="F66" s="852" t="s">
        <v>657</v>
      </c>
      <c r="G66" s="849" t="s">
        <v>657</v>
      </c>
      <c r="H66" s="850" t="s">
        <v>657</v>
      </c>
      <c r="I66" s="887"/>
      <c r="J66" s="853" t="s">
        <v>657</v>
      </c>
      <c r="K66" s="538"/>
      <c r="L66" s="533" t="s">
        <v>657</v>
      </c>
      <c r="M66" s="539" t="s">
        <v>657</v>
      </c>
      <c r="N66" s="539" t="s">
        <v>657</v>
      </c>
      <c r="O66" s="529" t="s">
        <v>657</v>
      </c>
      <c r="P66" s="530" t="s">
        <v>657</v>
      </c>
      <c r="Q66" s="540" t="s">
        <v>657</v>
      </c>
      <c r="R66" s="538"/>
      <c r="S66" s="533" t="s">
        <v>657</v>
      </c>
      <c r="T66" s="539" t="s">
        <v>657</v>
      </c>
      <c r="U66" s="539" t="s">
        <v>657</v>
      </c>
      <c r="V66" s="529" t="s">
        <v>657</v>
      </c>
      <c r="W66" s="530" t="s">
        <v>657</v>
      </c>
      <c r="X66" s="540" t="s">
        <v>657</v>
      </c>
    </row>
    <row r="67" spans="1:24" s="512" customFormat="1" x14ac:dyDescent="0.25">
      <c r="A67" s="535">
        <f t="shared" si="0"/>
        <v>-21</v>
      </c>
      <c r="B67" s="846" t="s">
        <v>657</v>
      </c>
      <c r="C67" s="537"/>
      <c r="D67" s="854" t="s">
        <v>657</v>
      </c>
      <c r="E67" s="852" t="s">
        <v>657</v>
      </c>
      <c r="F67" s="852" t="s">
        <v>657</v>
      </c>
      <c r="G67" s="849" t="s">
        <v>657</v>
      </c>
      <c r="H67" s="850" t="s">
        <v>657</v>
      </c>
      <c r="I67" s="887"/>
      <c r="J67" s="853" t="s">
        <v>657</v>
      </c>
      <c r="K67" s="538"/>
      <c r="L67" s="533" t="s">
        <v>657</v>
      </c>
      <c r="M67" s="539" t="s">
        <v>657</v>
      </c>
      <c r="N67" s="539" t="s">
        <v>657</v>
      </c>
      <c r="O67" s="529" t="s">
        <v>657</v>
      </c>
      <c r="P67" s="530" t="s">
        <v>657</v>
      </c>
      <c r="Q67" s="540" t="s">
        <v>657</v>
      </c>
      <c r="R67" s="538"/>
      <c r="S67" s="533" t="s">
        <v>657</v>
      </c>
      <c r="T67" s="539" t="s">
        <v>657</v>
      </c>
      <c r="U67" s="539" t="s">
        <v>657</v>
      </c>
      <c r="V67" s="529" t="s">
        <v>657</v>
      </c>
      <c r="W67" s="530" t="s">
        <v>657</v>
      </c>
      <c r="X67" s="540" t="s">
        <v>657</v>
      </c>
    </row>
    <row r="68" spans="1:24" s="512" customFormat="1" x14ac:dyDescent="0.25">
      <c r="A68" s="535">
        <f t="shared" si="0"/>
        <v>-22</v>
      </c>
      <c r="B68" s="846" t="s">
        <v>657</v>
      </c>
      <c r="C68" s="537"/>
      <c r="D68" s="854" t="s">
        <v>657</v>
      </c>
      <c r="E68" s="852" t="s">
        <v>657</v>
      </c>
      <c r="F68" s="852" t="s">
        <v>657</v>
      </c>
      <c r="G68" s="849" t="s">
        <v>657</v>
      </c>
      <c r="H68" s="850" t="s">
        <v>657</v>
      </c>
      <c r="I68" s="887"/>
      <c r="J68" s="853" t="s">
        <v>657</v>
      </c>
      <c r="K68" s="538"/>
      <c r="L68" s="533" t="s">
        <v>657</v>
      </c>
      <c r="M68" s="539" t="s">
        <v>657</v>
      </c>
      <c r="N68" s="539" t="s">
        <v>657</v>
      </c>
      <c r="O68" s="529" t="s">
        <v>657</v>
      </c>
      <c r="P68" s="530" t="s">
        <v>657</v>
      </c>
      <c r="Q68" s="540" t="s">
        <v>657</v>
      </c>
      <c r="R68" s="538"/>
      <c r="S68" s="533" t="s">
        <v>657</v>
      </c>
      <c r="T68" s="539" t="s">
        <v>657</v>
      </c>
      <c r="U68" s="539" t="s">
        <v>657</v>
      </c>
      <c r="V68" s="529" t="s">
        <v>657</v>
      </c>
      <c r="W68" s="530" t="s">
        <v>657</v>
      </c>
      <c r="X68" s="540" t="s">
        <v>657</v>
      </c>
    </row>
    <row r="69" spans="1:24" s="512" customFormat="1" x14ac:dyDescent="0.25">
      <c r="A69" s="535">
        <f t="shared" si="0"/>
        <v>-23</v>
      </c>
      <c r="B69" s="846" t="s">
        <v>657</v>
      </c>
      <c r="C69" s="537"/>
      <c r="D69" s="854" t="s">
        <v>657</v>
      </c>
      <c r="E69" s="852" t="s">
        <v>657</v>
      </c>
      <c r="F69" s="852" t="s">
        <v>657</v>
      </c>
      <c r="G69" s="849" t="s">
        <v>657</v>
      </c>
      <c r="H69" s="850" t="s">
        <v>657</v>
      </c>
      <c r="I69" s="887"/>
      <c r="J69" s="853" t="s">
        <v>657</v>
      </c>
      <c r="K69" s="538"/>
      <c r="L69" s="533" t="s">
        <v>657</v>
      </c>
      <c r="M69" s="539" t="s">
        <v>657</v>
      </c>
      <c r="N69" s="539" t="s">
        <v>657</v>
      </c>
      <c r="O69" s="529" t="s">
        <v>657</v>
      </c>
      <c r="P69" s="530" t="s">
        <v>657</v>
      </c>
      <c r="Q69" s="540" t="s">
        <v>657</v>
      </c>
      <c r="R69" s="538"/>
      <c r="S69" s="533" t="s">
        <v>657</v>
      </c>
      <c r="T69" s="539" t="s">
        <v>657</v>
      </c>
      <c r="U69" s="539" t="s">
        <v>657</v>
      </c>
      <c r="V69" s="529" t="s">
        <v>657</v>
      </c>
      <c r="W69" s="530" t="s">
        <v>657</v>
      </c>
      <c r="X69" s="540" t="s">
        <v>657</v>
      </c>
    </row>
    <row r="70" spans="1:24" s="512" customFormat="1" x14ac:dyDescent="0.25">
      <c r="A70" s="535">
        <f t="shared" si="0"/>
        <v>-24</v>
      </c>
      <c r="B70" s="846" t="s">
        <v>657</v>
      </c>
      <c r="C70" s="537"/>
      <c r="D70" s="847" t="s">
        <v>657</v>
      </c>
      <c r="E70" s="852" t="s">
        <v>657</v>
      </c>
      <c r="F70" s="852" t="s">
        <v>657</v>
      </c>
      <c r="G70" s="849" t="s">
        <v>657</v>
      </c>
      <c r="H70" s="850" t="s">
        <v>657</v>
      </c>
      <c r="I70" s="887"/>
      <c r="J70" s="853" t="s">
        <v>657</v>
      </c>
      <c r="K70" s="538"/>
      <c r="L70" s="527" t="s">
        <v>657</v>
      </c>
      <c r="M70" s="539" t="s">
        <v>657</v>
      </c>
      <c r="N70" s="539" t="s">
        <v>657</v>
      </c>
      <c r="O70" s="529" t="s">
        <v>657</v>
      </c>
      <c r="P70" s="530" t="s">
        <v>657</v>
      </c>
      <c r="Q70" s="540" t="s">
        <v>657</v>
      </c>
      <c r="R70" s="538"/>
      <c r="S70" s="527" t="s">
        <v>657</v>
      </c>
      <c r="T70" s="539" t="s">
        <v>657</v>
      </c>
      <c r="U70" s="539" t="s">
        <v>657</v>
      </c>
      <c r="V70" s="529" t="s">
        <v>657</v>
      </c>
      <c r="W70" s="530" t="s">
        <v>657</v>
      </c>
      <c r="X70" s="540" t="s">
        <v>657</v>
      </c>
    </row>
    <row r="71" spans="1:24" s="512" customFormat="1" x14ac:dyDescent="0.25">
      <c r="A71" s="535">
        <f t="shared" si="0"/>
        <v>-25</v>
      </c>
      <c r="B71" s="846" t="s">
        <v>657</v>
      </c>
      <c r="C71" s="537"/>
      <c r="D71" s="847" t="s">
        <v>657</v>
      </c>
      <c r="E71" s="852" t="s">
        <v>657</v>
      </c>
      <c r="F71" s="852" t="s">
        <v>657</v>
      </c>
      <c r="G71" s="849" t="s">
        <v>657</v>
      </c>
      <c r="H71" s="850" t="s">
        <v>657</v>
      </c>
      <c r="I71" s="887"/>
      <c r="J71" s="853" t="s">
        <v>657</v>
      </c>
      <c r="K71" s="538"/>
      <c r="L71" s="527" t="s">
        <v>657</v>
      </c>
      <c r="M71" s="539" t="s">
        <v>657</v>
      </c>
      <c r="N71" s="539" t="s">
        <v>657</v>
      </c>
      <c r="O71" s="529" t="s">
        <v>657</v>
      </c>
      <c r="P71" s="530" t="s">
        <v>657</v>
      </c>
      <c r="Q71" s="540" t="s">
        <v>657</v>
      </c>
      <c r="R71" s="538"/>
      <c r="S71" s="527" t="s">
        <v>657</v>
      </c>
      <c r="T71" s="539" t="s">
        <v>657</v>
      </c>
      <c r="U71" s="539" t="s">
        <v>657</v>
      </c>
      <c r="V71" s="529" t="s">
        <v>657</v>
      </c>
      <c r="W71" s="530" t="s">
        <v>657</v>
      </c>
      <c r="X71" s="540" t="s">
        <v>657</v>
      </c>
    </row>
    <row r="72" spans="1:24" s="512" customFormat="1" x14ac:dyDescent="0.25">
      <c r="A72" s="535">
        <f t="shared" si="0"/>
        <v>-26</v>
      </c>
      <c r="B72" s="846" t="s">
        <v>657</v>
      </c>
      <c r="C72" s="537"/>
      <c r="D72" s="847" t="s">
        <v>657</v>
      </c>
      <c r="E72" s="852" t="s">
        <v>657</v>
      </c>
      <c r="F72" s="852" t="s">
        <v>657</v>
      </c>
      <c r="G72" s="849" t="s">
        <v>657</v>
      </c>
      <c r="H72" s="850" t="s">
        <v>657</v>
      </c>
      <c r="I72" s="887"/>
      <c r="J72" s="853" t="s">
        <v>657</v>
      </c>
      <c r="K72" s="538"/>
      <c r="L72" s="527" t="s">
        <v>657</v>
      </c>
      <c r="M72" s="539" t="s">
        <v>657</v>
      </c>
      <c r="N72" s="539" t="s">
        <v>657</v>
      </c>
      <c r="O72" s="529" t="s">
        <v>657</v>
      </c>
      <c r="P72" s="530" t="s">
        <v>657</v>
      </c>
      <c r="Q72" s="540" t="s">
        <v>657</v>
      </c>
      <c r="R72" s="538"/>
      <c r="S72" s="527" t="s">
        <v>657</v>
      </c>
      <c r="T72" s="539" t="s">
        <v>657</v>
      </c>
      <c r="U72" s="539" t="s">
        <v>657</v>
      </c>
      <c r="V72" s="529" t="s">
        <v>657</v>
      </c>
      <c r="W72" s="530" t="s">
        <v>657</v>
      </c>
      <c r="X72" s="540" t="s">
        <v>657</v>
      </c>
    </row>
    <row r="73" spans="1:24" s="512" customFormat="1" x14ac:dyDescent="0.25">
      <c r="A73" s="535">
        <f t="shared" si="0"/>
        <v>-27</v>
      </c>
      <c r="B73" s="846" t="s">
        <v>657</v>
      </c>
      <c r="C73" s="537"/>
      <c r="D73" s="854" t="s">
        <v>657</v>
      </c>
      <c r="E73" s="852" t="s">
        <v>657</v>
      </c>
      <c r="F73" s="852" t="s">
        <v>657</v>
      </c>
      <c r="G73" s="849" t="s">
        <v>657</v>
      </c>
      <c r="H73" s="850" t="s">
        <v>657</v>
      </c>
      <c r="I73" s="887"/>
      <c r="J73" s="853" t="s">
        <v>657</v>
      </c>
      <c r="K73" s="538"/>
      <c r="L73" s="533" t="s">
        <v>657</v>
      </c>
      <c r="M73" s="539" t="s">
        <v>657</v>
      </c>
      <c r="N73" s="539" t="s">
        <v>657</v>
      </c>
      <c r="O73" s="529" t="s">
        <v>657</v>
      </c>
      <c r="P73" s="530" t="s">
        <v>657</v>
      </c>
      <c r="Q73" s="540" t="s">
        <v>657</v>
      </c>
      <c r="R73" s="538"/>
      <c r="S73" s="533" t="s">
        <v>657</v>
      </c>
      <c r="T73" s="539" t="s">
        <v>657</v>
      </c>
      <c r="U73" s="539" t="s">
        <v>657</v>
      </c>
      <c r="V73" s="529" t="s">
        <v>657</v>
      </c>
      <c r="W73" s="530" t="s">
        <v>657</v>
      </c>
      <c r="X73" s="540" t="s">
        <v>657</v>
      </c>
    </row>
    <row r="74" spans="1:24" s="512" customFormat="1" x14ac:dyDescent="0.25">
      <c r="A74" s="535">
        <f t="shared" si="0"/>
        <v>-28</v>
      </c>
      <c r="B74" s="846" t="s">
        <v>657</v>
      </c>
      <c r="C74" s="537"/>
      <c r="D74" s="854" t="s">
        <v>657</v>
      </c>
      <c r="E74" s="852" t="s">
        <v>657</v>
      </c>
      <c r="F74" s="852" t="s">
        <v>657</v>
      </c>
      <c r="G74" s="849" t="s">
        <v>657</v>
      </c>
      <c r="H74" s="850" t="s">
        <v>657</v>
      </c>
      <c r="I74" s="887"/>
      <c r="J74" s="853" t="s">
        <v>657</v>
      </c>
      <c r="K74" s="538"/>
      <c r="L74" s="533" t="s">
        <v>657</v>
      </c>
      <c r="M74" s="539" t="s">
        <v>657</v>
      </c>
      <c r="N74" s="539" t="s">
        <v>657</v>
      </c>
      <c r="O74" s="529" t="s">
        <v>657</v>
      </c>
      <c r="P74" s="530" t="s">
        <v>657</v>
      </c>
      <c r="Q74" s="540" t="s">
        <v>657</v>
      </c>
      <c r="R74" s="538"/>
      <c r="S74" s="533" t="s">
        <v>657</v>
      </c>
      <c r="T74" s="539" t="s">
        <v>657</v>
      </c>
      <c r="U74" s="539" t="s">
        <v>657</v>
      </c>
      <c r="V74" s="529" t="s">
        <v>657</v>
      </c>
      <c r="W74" s="530" t="s">
        <v>657</v>
      </c>
      <c r="X74" s="540" t="s">
        <v>657</v>
      </c>
    </row>
    <row r="75" spans="1:24" s="512" customFormat="1" x14ac:dyDescent="0.25">
      <c r="A75" s="535">
        <f t="shared" si="0"/>
        <v>-29</v>
      </c>
      <c r="B75" s="846" t="s">
        <v>657</v>
      </c>
      <c r="C75" s="537"/>
      <c r="D75" s="854" t="s">
        <v>657</v>
      </c>
      <c r="E75" s="852" t="s">
        <v>657</v>
      </c>
      <c r="F75" s="852" t="s">
        <v>657</v>
      </c>
      <c r="G75" s="849" t="s">
        <v>657</v>
      </c>
      <c r="H75" s="850" t="s">
        <v>657</v>
      </c>
      <c r="I75" s="887"/>
      <c r="J75" s="853" t="s">
        <v>657</v>
      </c>
      <c r="K75" s="538"/>
      <c r="L75" s="533" t="s">
        <v>657</v>
      </c>
      <c r="M75" s="539" t="s">
        <v>657</v>
      </c>
      <c r="N75" s="539" t="s">
        <v>657</v>
      </c>
      <c r="O75" s="529" t="s">
        <v>657</v>
      </c>
      <c r="P75" s="530" t="s">
        <v>657</v>
      </c>
      <c r="Q75" s="540" t="s">
        <v>657</v>
      </c>
      <c r="R75" s="538"/>
      <c r="S75" s="533" t="s">
        <v>657</v>
      </c>
      <c r="T75" s="539" t="s">
        <v>657</v>
      </c>
      <c r="U75" s="539" t="s">
        <v>657</v>
      </c>
      <c r="V75" s="529" t="s">
        <v>657</v>
      </c>
      <c r="W75" s="530" t="s">
        <v>657</v>
      </c>
      <c r="X75" s="540" t="s">
        <v>657</v>
      </c>
    </row>
    <row r="76" spans="1:24" s="512" customFormat="1" x14ac:dyDescent="0.25">
      <c r="A76" s="535">
        <f t="shared" si="0"/>
        <v>-30</v>
      </c>
      <c r="B76" s="846" t="s">
        <v>657</v>
      </c>
      <c r="C76" s="537"/>
      <c r="D76" s="854" t="s">
        <v>657</v>
      </c>
      <c r="E76" s="852" t="s">
        <v>657</v>
      </c>
      <c r="F76" s="852" t="s">
        <v>657</v>
      </c>
      <c r="G76" s="849" t="s">
        <v>657</v>
      </c>
      <c r="H76" s="850" t="s">
        <v>657</v>
      </c>
      <c r="I76" s="887"/>
      <c r="J76" s="853" t="s">
        <v>657</v>
      </c>
      <c r="K76" s="538"/>
      <c r="L76" s="533" t="s">
        <v>657</v>
      </c>
      <c r="M76" s="539" t="s">
        <v>657</v>
      </c>
      <c r="N76" s="539" t="s">
        <v>657</v>
      </c>
      <c r="O76" s="529" t="s">
        <v>657</v>
      </c>
      <c r="P76" s="530" t="s">
        <v>657</v>
      </c>
      <c r="Q76" s="540" t="s">
        <v>657</v>
      </c>
      <c r="R76" s="538"/>
      <c r="S76" s="533" t="s">
        <v>657</v>
      </c>
      <c r="T76" s="539" t="s">
        <v>657</v>
      </c>
      <c r="U76" s="539" t="s">
        <v>657</v>
      </c>
      <c r="V76" s="529" t="s">
        <v>657</v>
      </c>
      <c r="W76" s="530" t="s">
        <v>657</v>
      </c>
      <c r="X76" s="540" t="s">
        <v>657</v>
      </c>
    </row>
    <row r="77" spans="1:24" s="512" customFormat="1" x14ac:dyDescent="0.25">
      <c r="A77" s="535">
        <f t="shared" si="0"/>
        <v>-31</v>
      </c>
      <c r="B77" s="846" t="s">
        <v>657</v>
      </c>
      <c r="C77" s="537"/>
      <c r="D77" s="854" t="s">
        <v>657</v>
      </c>
      <c r="E77" s="852" t="s">
        <v>657</v>
      </c>
      <c r="F77" s="852" t="s">
        <v>657</v>
      </c>
      <c r="G77" s="849" t="s">
        <v>657</v>
      </c>
      <c r="H77" s="850" t="s">
        <v>657</v>
      </c>
      <c r="I77" s="887"/>
      <c r="J77" s="853" t="s">
        <v>657</v>
      </c>
      <c r="K77" s="538"/>
      <c r="L77" s="533" t="s">
        <v>657</v>
      </c>
      <c r="M77" s="539" t="s">
        <v>657</v>
      </c>
      <c r="N77" s="539" t="s">
        <v>657</v>
      </c>
      <c r="O77" s="529" t="s">
        <v>657</v>
      </c>
      <c r="P77" s="530" t="s">
        <v>657</v>
      </c>
      <c r="Q77" s="540" t="s">
        <v>657</v>
      </c>
      <c r="R77" s="538"/>
      <c r="S77" s="533" t="s">
        <v>657</v>
      </c>
      <c r="T77" s="539" t="s">
        <v>657</v>
      </c>
      <c r="U77" s="539" t="s">
        <v>657</v>
      </c>
      <c r="V77" s="529" t="s">
        <v>657</v>
      </c>
      <c r="W77" s="530" t="s">
        <v>657</v>
      </c>
      <c r="X77" s="540" t="s">
        <v>657</v>
      </c>
    </row>
    <row r="78" spans="1:24" s="512" customFormat="1" x14ac:dyDescent="0.25">
      <c r="A78" s="535">
        <f t="shared" si="0"/>
        <v>-32</v>
      </c>
      <c r="B78" s="846" t="s">
        <v>657</v>
      </c>
      <c r="C78" s="537"/>
      <c r="D78" s="854" t="s">
        <v>657</v>
      </c>
      <c r="E78" s="852" t="s">
        <v>657</v>
      </c>
      <c r="F78" s="852" t="s">
        <v>657</v>
      </c>
      <c r="G78" s="849" t="s">
        <v>657</v>
      </c>
      <c r="H78" s="850" t="s">
        <v>657</v>
      </c>
      <c r="I78" s="887"/>
      <c r="J78" s="853" t="s">
        <v>657</v>
      </c>
      <c r="K78" s="538"/>
      <c r="L78" s="533" t="s">
        <v>657</v>
      </c>
      <c r="M78" s="539" t="s">
        <v>657</v>
      </c>
      <c r="N78" s="539" t="s">
        <v>657</v>
      </c>
      <c r="O78" s="529" t="s">
        <v>657</v>
      </c>
      <c r="P78" s="530" t="s">
        <v>657</v>
      </c>
      <c r="Q78" s="540" t="s">
        <v>657</v>
      </c>
      <c r="R78" s="538"/>
      <c r="S78" s="533" t="s">
        <v>657</v>
      </c>
      <c r="T78" s="539" t="s">
        <v>657</v>
      </c>
      <c r="U78" s="539" t="s">
        <v>657</v>
      </c>
      <c r="V78" s="529" t="s">
        <v>657</v>
      </c>
      <c r="W78" s="530" t="s">
        <v>657</v>
      </c>
      <c r="X78" s="540" t="s">
        <v>657</v>
      </c>
    </row>
    <row r="79" spans="1:24" s="512" customFormat="1" x14ac:dyDescent="0.25">
      <c r="A79" s="535">
        <f t="shared" si="0"/>
        <v>-33</v>
      </c>
      <c r="B79" s="846" t="s">
        <v>657</v>
      </c>
      <c r="C79" s="537"/>
      <c r="D79" s="854" t="s">
        <v>657</v>
      </c>
      <c r="E79" s="852" t="s">
        <v>657</v>
      </c>
      <c r="F79" s="852" t="s">
        <v>657</v>
      </c>
      <c r="G79" s="849" t="s">
        <v>657</v>
      </c>
      <c r="H79" s="850" t="s">
        <v>657</v>
      </c>
      <c r="I79" s="887"/>
      <c r="J79" s="853" t="s">
        <v>657</v>
      </c>
      <c r="K79" s="538"/>
      <c r="L79" s="533" t="s">
        <v>657</v>
      </c>
      <c r="M79" s="539" t="s">
        <v>657</v>
      </c>
      <c r="N79" s="539" t="s">
        <v>657</v>
      </c>
      <c r="O79" s="529" t="s">
        <v>657</v>
      </c>
      <c r="P79" s="530" t="s">
        <v>657</v>
      </c>
      <c r="Q79" s="540" t="s">
        <v>657</v>
      </c>
      <c r="R79" s="538"/>
      <c r="S79" s="533" t="s">
        <v>657</v>
      </c>
      <c r="T79" s="539" t="s">
        <v>657</v>
      </c>
      <c r="U79" s="539" t="s">
        <v>657</v>
      </c>
      <c r="V79" s="529" t="s">
        <v>657</v>
      </c>
      <c r="W79" s="530" t="s">
        <v>657</v>
      </c>
      <c r="X79" s="540" t="s">
        <v>657</v>
      </c>
    </row>
    <row r="80" spans="1:24" s="512" customFormat="1" x14ac:dyDescent="0.25">
      <c r="A80" s="535">
        <f t="shared" si="0"/>
        <v>-34</v>
      </c>
      <c r="B80" s="846" t="s">
        <v>657</v>
      </c>
      <c r="C80" s="537"/>
      <c r="D80" s="854" t="s">
        <v>657</v>
      </c>
      <c r="E80" s="852" t="s">
        <v>657</v>
      </c>
      <c r="F80" s="852" t="s">
        <v>657</v>
      </c>
      <c r="G80" s="849" t="s">
        <v>657</v>
      </c>
      <c r="H80" s="850" t="s">
        <v>657</v>
      </c>
      <c r="I80" s="887"/>
      <c r="J80" s="853" t="s">
        <v>657</v>
      </c>
      <c r="K80" s="538"/>
      <c r="L80" s="533" t="s">
        <v>657</v>
      </c>
      <c r="M80" s="539" t="s">
        <v>657</v>
      </c>
      <c r="N80" s="539" t="s">
        <v>657</v>
      </c>
      <c r="O80" s="529" t="s">
        <v>657</v>
      </c>
      <c r="P80" s="530" t="s">
        <v>657</v>
      </c>
      <c r="Q80" s="540" t="s">
        <v>657</v>
      </c>
      <c r="R80" s="538"/>
      <c r="S80" s="533" t="s">
        <v>657</v>
      </c>
      <c r="T80" s="539" t="s">
        <v>657</v>
      </c>
      <c r="U80" s="539" t="s">
        <v>657</v>
      </c>
      <c r="V80" s="529" t="s">
        <v>657</v>
      </c>
      <c r="W80" s="530" t="s">
        <v>657</v>
      </c>
      <c r="X80" s="540" t="s">
        <v>657</v>
      </c>
    </row>
    <row r="81" spans="1:24" s="512" customFormat="1" x14ac:dyDescent="0.25">
      <c r="A81" s="535">
        <f t="shared" si="0"/>
        <v>-35</v>
      </c>
      <c r="B81" s="846" t="s">
        <v>657</v>
      </c>
      <c r="C81" s="537"/>
      <c r="D81" s="854" t="s">
        <v>657</v>
      </c>
      <c r="E81" s="852" t="s">
        <v>657</v>
      </c>
      <c r="F81" s="852" t="s">
        <v>657</v>
      </c>
      <c r="G81" s="849" t="s">
        <v>657</v>
      </c>
      <c r="H81" s="850" t="s">
        <v>657</v>
      </c>
      <c r="I81" s="887"/>
      <c r="J81" s="853" t="s">
        <v>657</v>
      </c>
      <c r="K81" s="538"/>
      <c r="L81" s="533" t="s">
        <v>657</v>
      </c>
      <c r="M81" s="539" t="s">
        <v>657</v>
      </c>
      <c r="N81" s="539" t="s">
        <v>657</v>
      </c>
      <c r="O81" s="529" t="s">
        <v>657</v>
      </c>
      <c r="P81" s="530" t="s">
        <v>657</v>
      </c>
      <c r="Q81" s="540" t="s">
        <v>657</v>
      </c>
      <c r="R81" s="538"/>
      <c r="S81" s="533" t="s">
        <v>657</v>
      </c>
      <c r="T81" s="539" t="s">
        <v>657</v>
      </c>
      <c r="U81" s="539" t="s">
        <v>657</v>
      </c>
      <c r="V81" s="529" t="s">
        <v>657</v>
      </c>
      <c r="W81" s="530" t="s">
        <v>657</v>
      </c>
      <c r="X81" s="540" t="s">
        <v>657</v>
      </c>
    </row>
    <row r="82" spans="1:24" s="512" customFormat="1" x14ac:dyDescent="0.25">
      <c r="A82" s="535">
        <f t="shared" si="0"/>
        <v>-36</v>
      </c>
      <c r="B82" s="846" t="s">
        <v>657</v>
      </c>
      <c r="C82" s="537"/>
      <c r="D82" s="854" t="s">
        <v>657</v>
      </c>
      <c r="E82" s="852" t="s">
        <v>657</v>
      </c>
      <c r="F82" s="852" t="s">
        <v>657</v>
      </c>
      <c r="G82" s="849" t="s">
        <v>657</v>
      </c>
      <c r="H82" s="850" t="s">
        <v>657</v>
      </c>
      <c r="I82" s="887"/>
      <c r="J82" s="853" t="s">
        <v>657</v>
      </c>
      <c r="K82" s="538"/>
      <c r="L82" s="533" t="s">
        <v>657</v>
      </c>
      <c r="M82" s="539" t="s">
        <v>657</v>
      </c>
      <c r="N82" s="539" t="s">
        <v>657</v>
      </c>
      <c r="O82" s="529" t="s">
        <v>657</v>
      </c>
      <c r="P82" s="530" t="s">
        <v>657</v>
      </c>
      <c r="Q82" s="540" t="s">
        <v>657</v>
      </c>
      <c r="R82" s="538"/>
      <c r="S82" s="533" t="s">
        <v>657</v>
      </c>
      <c r="T82" s="539" t="s">
        <v>657</v>
      </c>
      <c r="U82" s="539" t="s">
        <v>657</v>
      </c>
      <c r="V82" s="529" t="s">
        <v>657</v>
      </c>
      <c r="W82" s="530" t="s">
        <v>657</v>
      </c>
      <c r="X82" s="540" t="s">
        <v>657</v>
      </c>
    </row>
    <row r="83" spans="1:24" s="512" customFormat="1" x14ac:dyDescent="0.25">
      <c r="A83" s="535">
        <f t="shared" si="0"/>
        <v>-37</v>
      </c>
      <c r="B83" s="846" t="s">
        <v>657</v>
      </c>
      <c r="C83" s="537"/>
      <c r="D83" s="854" t="s">
        <v>657</v>
      </c>
      <c r="E83" s="852" t="s">
        <v>657</v>
      </c>
      <c r="F83" s="852" t="s">
        <v>657</v>
      </c>
      <c r="G83" s="849" t="s">
        <v>657</v>
      </c>
      <c r="H83" s="850" t="s">
        <v>657</v>
      </c>
      <c r="I83" s="887"/>
      <c r="J83" s="853" t="s">
        <v>657</v>
      </c>
      <c r="K83" s="538"/>
      <c r="L83" s="533" t="s">
        <v>657</v>
      </c>
      <c r="M83" s="539" t="s">
        <v>657</v>
      </c>
      <c r="N83" s="539" t="s">
        <v>657</v>
      </c>
      <c r="O83" s="529" t="s">
        <v>657</v>
      </c>
      <c r="P83" s="530" t="s">
        <v>657</v>
      </c>
      <c r="Q83" s="540" t="s">
        <v>657</v>
      </c>
      <c r="R83" s="538"/>
      <c r="S83" s="533" t="s">
        <v>657</v>
      </c>
      <c r="T83" s="539" t="s">
        <v>657</v>
      </c>
      <c r="U83" s="539" t="s">
        <v>657</v>
      </c>
      <c r="V83" s="529" t="s">
        <v>657</v>
      </c>
      <c r="W83" s="530" t="s">
        <v>657</v>
      </c>
      <c r="X83" s="540" t="s">
        <v>657</v>
      </c>
    </row>
    <row r="84" spans="1:24" s="512" customFormat="1" x14ac:dyDescent="0.25">
      <c r="A84" s="535">
        <f t="shared" si="0"/>
        <v>-38</v>
      </c>
      <c r="B84" s="846" t="s">
        <v>657</v>
      </c>
      <c r="C84" s="537"/>
      <c r="D84" s="854" t="s">
        <v>657</v>
      </c>
      <c r="E84" s="852" t="s">
        <v>657</v>
      </c>
      <c r="F84" s="852" t="s">
        <v>657</v>
      </c>
      <c r="G84" s="849" t="s">
        <v>657</v>
      </c>
      <c r="H84" s="850" t="s">
        <v>657</v>
      </c>
      <c r="I84" s="887"/>
      <c r="J84" s="853" t="s">
        <v>657</v>
      </c>
      <c r="K84" s="538"/>
      <c r="L84" s="533" t="s">
        <v>657</v>
      </c>
      <c r="M84" s="539" t="s">
        <v>657</v>
      </c>
      <c r="N84" s="539" t="s">
        <v>657</v>
      </c>
      <c r="O84" s="529" t="s">
        <v>657</v>
      </c>
      <c r="P84" s="530" t="s">
        <v>657</v>
      </c>
      <c r="Q84" s="540" t="s">
        <v>657</v>
      </c>
      <c r="R84" s="538"/>
      <c r="S84" s="533" t="s">
        <v>657</v>
      </c>
      <c r="T84" s="539" t="s">
        <v>657</v>
      </c>
      <c r="U84" s="539" t="s">
        <v>657</v>
      </c>
      <c r="V84" s="529" t="s">
        <v>657</v>
      </c>
      <c r="W84" s="530" t="s">
        <v>657</v>
      </c>
      <c r="X84" s="540" t="s">
        <v>657</v>
      </c>
    </row>
    <row r="85" spans="1:24" s="512" customFormat="1" x14ac:dyDescent="0.25">
      <c r="A85" s="535">
        <f t="shared" si="0"/>
        <v>-39</v>
      </c>
      <c r="B85" s="846" t="s">
        <v>657</v>
      </c>
      <c r="C85" s="537"/>
      <c r="D85" s="854" t="s">
        <v>657</v>
      </c>
      <c r="E85" s="852" t="s">
        <v>657</v>
      </c>
      <c r="F85" s="852" t="s">
        <v>657</v>
      </c>
      <c r="G85" s="849" t="s">
        <v>657</v>
      </c>
      <c r="H85" s="850" t="s">
        <v>657</v>
      </c>
      <c r="I85" s="887"/>
      <c r="J85" s="853" t="s">
        <v>657</v>
      </c>
      <c r="K85" s="538"/>
      <c r="L85" s="533" t="s">
        <v>657</v>
      </c>
      <c r="M85" s="539" t="s">
        <v>657</v>
      </c>
      <c r="N85" s="539" t="s">
        <v>657</v>
      </c>
      <c r="O85" s="529" t="s">
        <v>657</v>
      </c>
      <c r="P85" s="530" t="s">
        <v>657</v>
      </c>
      <c r="Q85" s="540" t="s">
        <v>657</v>
      </c>
      <c r="R85" s="538"/>
      <c r="S85" s="533" t="s">
        <v>657</v>
      </c>
      <c r="T85" s="539" t="s">
        <v>657</v>
      </c>
      <c r="U85" s="539" t="s">
        <v>657</v>
      </c>
      <c r="V85" s="529" t="s">
        <v>657</v>
      </c>
      <c r="W85" s="530" t="s">
        <v>657</v>
      </c>
      <c r="X85" s="540" t="s">
        <v>657</v>
      </c>
    </row>
    <row r="86" spans="1:24" s="512" customFormat="1" x14ac:dyDescent="0.25">
      <c r="A86" s="535">
        <f t="shared" si="0"/>
        <v>-40</v>
      </c>
      <c r="B86" s="846" t="s">
        <v>657</v>
      </c>
      <c r="C86" s="537"/>
      <c r="D86" s="854" t="s">
        <v>657</v>
      </c>
      <c r="E86" s="852" t="s">
        <v>657</v>
      </c>
      <c r="F86" s="852" t="s">
        <v>657</v>
      </c>
      <c r="G86" s="849" t="s">
        <v>657</v>
      </c>
      <c r="H86" s="850" t="s">
        <v>657</v>
      </c>
      <c r="I86" s="887"/>
      <c r="J86" s="853" t="s">
        <v>657</v>
      </c>
      <c r="K86" s="538"/>
      <c r="L86" s="533" t="s">
        <v>657</v>
      </c>
      <c r="M86" s="539" t="s">
        <v>657</v>
      </c>
      <c r="N86" s="539" t="s">
        <v>657</v>
      </c>
      <c r="O86" s="529" t="s">
        <v>657</v>
      </c>
      <c r="P86" s="530" t="s">
        <v>657</v>
      </c>
      <c r="Q86" s="540" t="s">
        <v>657</v>
      </c>
      <c r="R86" s="538"/>
      <c r="S86" s="533" t="s">
        <v>657</v>
      </c>
      <c r="T86" s="539" t="s">
        <v>657</v>
      </c>
      <c r="U86" s="539" t="s">
        <v>657</v>
      </c>
      <c r="V86" s="529" t="s">
        <v>657</v>
      </c>
      <c r="W86" s="530" t="s">
        <v>657</v>
      </c>
      <c r="X86" s="540" t="s">
        <v>657</v>
      </c>
    </row>
    <row r="87" spans="1:24" s="512" customFormat="1" x14ac:dyDescent="0.25">
      <c r="A87" s="535">
        <f t="shared" si="0"/>
        <v>-41</v>
      </c>
      <c r="B87" s="846" t="s">
        <v>657</v>
      </c>
      <c r="C87" s="537"/>
      <c r="D87" s="854" t="s">
        <v>657</v>
      </c>
      <c r="E87" s="852" t="s">
        <v>657</v>
      </c>
      <c r="F87" s="852" t="s">
        <v>657</v>
      </c>
      <c r="G87" s="849" t="s">
        <v>657</v>
      </c>
      <c r="H87" s="850" t="s">
        <v>657</v>
      </c>
      <c r="I87" s="887"/>
      <c r="J87" s="853" t="s">
        <v>657</v>
      </c>
      <c r="K87" s="538"/>
      <c r="L87" s="533" t="s">
        <v>657</v>
      </c>
      <c r="M87" s="539" t="s">
        <v>657</v>
      </c>
      <c r="N87" s="539" t="s">
        <v>657</v>
      </c>
      <c r="O87" s="529" t="s">
        <v>657</v>
      </c>
      <c r="P87" s="530" t="s">
        <v>657</v>
      </c>
      <c r="Q87" s="540" t="s">
        <v>657</v>
      </c>
      <c r="R87" s="538"/>
      <c r="S87" s="533" t="s">
        <v>657</v>
      </c>
      <c r="T87" s="539" t="s">
        <v>657</v>
      </c>
      <c r="U87" s="539" t="s">
        <v>657</v>
      </c>
      <c r="V87" s="529" t="s">
        <v>657</v>
      </c>
      <c r="W87" s="530" t="s">
        <v>657</v>
      </c>
      <c r="X87" s="540" t="s">
        <v>657</v>
      </c>
    </row>
    <row r="88" spans="1:24" s="512" customFormat="1" x14ac:dyDescent="0.25">
      <c r="A88" s="535">
        <f t="shared" si="0"/>
        <v>-42</v>
      </c>
      <c r="B88" s="846" t="s">
        <v>657</v>
      </c>
      <c r="C88" s="537"/>
      <c r="D88" s="854" t="s">
        <v>657</v>
      </c>
      <c r="E88" s="852" t="s">
        <v>657</v>
      </c>
      <c r="F88" s="852" t="s">
        <v>657</v>
      </c>
      <c r="G88" s="849" t="s">
        <v>657</v>
      </c>
      <c r="H88" s="850" t="s">
        <v>657</v>
      </c>
      <c r="I88" s="887"/>
      <c r="J88" s="853" t="s">
        <v>657</v>
      </c>
      <c r="K88" s="538"/>
      <c r="L88" s="533" t="s">
        <v>657</v>
      </c>
      <c r="M88" s="539" t="s">
        <v>657</v>
      </c>
      <c r="N88" s="539" t="s">
        <v>657</v>
      </c>
      <c r="O88" s="529" t="s">
        <v>657</v>
      </c>
      <c r="P88" s="530" t="s">
        <v>657</v>
      </c>
      <c r="Q88" s="540" t="s">
        <v>657</v>
      </c>
      <c r="R88" s="538"/>
      <c r="S88" s="533" t="s">
        <v>657</v>
      </c>
      <c r="T88" s="539" t="s">
        <v>657</v>
      </c>
      <c r="U88" s="539" t="s">
        <v>657</v>
      </c>
      <c r="V88" s="529" t="s">
        <v>657</v>
      </c>
      <c r="W88" s="530" t="s">
        <v>657</v>
      </c>
      <c r="X88" s="540" t="s">
        <v>657</v>
      </c>
    </row>
    <row r="89" spans="1:24" s="512" customFormat="1" x14ac:dyDescent="0.25">
      <c r="A89" s="535">
        <f t="shared" si="0"/>
        <v>-43</v>
      </c>
      <c r="B89" s="846" t="s">
        <v>657</v>
      </c>
      <c r="C89" s="537"/>
      <c r="D89" s="854" t="s">
        <v>657</v>
      </c>
      <c r="E89" s="852" t="s">
        <v>657</v>
      </c>
      <c r="F89" s="852" t="s">
        <v>657</v>
      </c>
      <c r="G89" s="849" t="s">
        <v>657</v>
      </c>
      <c r="H89" s="850" t="s">
        <v>657</v>
      </c>
      <c r="I89" s="887"/>
      <c r="J89" s="853" t="s">
        <v>657</v>
      </c>
      <c r="K89" s="538"/>
      <c r="L89" s="533" t="s">
        <v>657</v>
      </c>
      <c r="M89" s="539" t="s">
        <v>657</v>
      </c>
      <c r="N89" s="539" t="s">
        <v>657</v>
      </c>
      <c r="O89" s="529" t="s">
        <v>657</v>
      </c>
      <c r="P89" s="530" t="s">
        <v>657</v>
      </c>
      <c r="Q89" s="540" t="s">
        <v>657</v>
      </c>
      <c r="R89" s="538"/>
      <c r="S89" s="533" t="s">
        <v>657</v>
      </c>
      <c r="T89" s="539" t="s">
        <v>657</v>
      </c>
      <c r="U89" s="539" t="s">
        <v>657</v>
      </c>
      <c r="V89" s="529" t="s">
        <v>657</v>
      </c>
      <c r="W89" s="530" t="s">
        <v>657</v>
      </c>
      <c r="X89" s="540" t="s">
        <v>657</v>
      </c>
    </row>
    <row r="90" spans="1:24" s="512" customFormat="1" x14ac:dyDescent="0.25">
      <c r="A90" s="535">
        <f t="shared" si="0"/>
        <v>-44</v>
      </c>
      <c r="B90" s="846" t="s">
        <v>657</v>
      </c>
      <c r="C90" s="537"/>
      <c r="D90" s="854" t="s">
        <v>657</v>
      </c>
      <c r="E90" s="852" t="s">
        <v>657</v>
      </c>
      <c r="F90" s="852" t="s">
        <v>657</v>
      </c>
      <c r="G90" s="849" t="s">
        <v>657</v>
      </c>
      <c r="H90" s="850" t="s">
        <v>657</v>
      </c>
      <c r="I90" s="887"/>
      <c r="J90" s="853" t="s">
        <v>657</v>
      </c>
      <c r="K90" s="538"/>
      <c r="L90" s="533" t="s">
        <v>657</v>
      </c>
      <c r="M90" s="539" t="s">
        <v>657</v>
      </c>
      <c r="N90" s="539" t="s">
        <v>657</v>
      </c>
      <c r="O90" s="529" t="s">
        <v>657</v>
      </c>
      <c r="P90" s="530" t="s">
        <v>657</v>
      </c>
      <c r="Q90" s="540" t="s">
        <v>657</v>
      </c>
      <c r="R90" s="538"/>
      <c r="S90" s="533" t="s">
        <v>657</v>
      </c>
      <c r="T90" s="539" t="s">
        <v>657</v>
      </c>
      <c r="U90" s="539" t="s">
        <v>657</v>
      </c>
      <c r="V90" s="529" t="s">
        <v>657</v>
      </c>
      <c r="W90" s="530" t="s">
        <v>657</v>
      </c>
      <c r="X90" s="540" t="s">
        <v>657</v>
      </c>
    </row>
    <row r="91" spans="1:24" s="512" customFormat="1" x14ac:dyDescent="0.25">
      <c r="A91" s="535">
        <f t="shared" ref="A91:A154" si="1">A90-1</f>
        <v>-45</v>
      </c>
      <c r="B91" s="846" t="s">
        <v>657</v>
      </c>
      <c r="C91" s="537"/>
      <c r="D91" s="854" t="s">
        <v>657</v>
      </c>
      <c r="E91" s="852" t="s">
        <v>657</v>
      </c>
      <c r="F91" s="852" t="s">
        <v>657</v>
      </c>
      <c r="G91" s="849" t="s">
        <v>657</v>
      </c>
      <c r="H91" s="850" t="s">
        <v>657</v>
      </c>
      <c r="I91" s="887"/>
      <c r="J91" s="853" t="s">
        <v>657</v>
      </c>
      <c r="K91" s="538"/>
      <c r="L91" s="533" t="s">
        <v>657</v>
      </c>
      <c r="M91" s="539" t="s">
        <v>657</v>
      </c>
      <c r="N91" s="539" t="s">
        <v>657</v>
      </c>
      <c r="O91" s="529" t="s">
        <v>657</v>
      </c>
      <c r="P91" s="530" t="s">
        <v>657</v>
      </c>
      <c r="Q91" s="540" t="s">
        <v>657</v>
      </c>
      <c r="R91" s="538"/>
      <c r="S91" s="533" t="s">
        <v>657</v>
      </c>
      <c r="T91" s="539" t="s">
        <v>657</v>
      </c>
      <c r="U91" s="539" t="s">
        <v>657</v>
      </c>
      <c r="V91" s="529" t="s">
        <v>657</v>
      </c>
      <c r="W91" s="530" t="s">
        <v>657</v>
      </c>
      <c r="X91" s="540" t="s">
        <v>657</v>
      </c>
    </row>
    <row r="92" spans="1:24" s="512" customFormat="1" x14ac:dyDescent="0.25">
      <c r="A92" s="535">
        <f t="shared" si="1"/>
        <v>-46</v>
      </c>
      <c r="B92" s="846" t="s">
        <v>657</v>
      </c>
      <c r="C92" s="537"/>
      <c r="D92" s="854" t="s">
        <v>657</v>
      </c>
      <c r="E92" s="852" t="s">
        <v>657</v>
      </c>
      <c r="F92" s="852" t="s">
        <v>657</v>
      </c>
      <c r="G92" s="849" t="s">
        <v>657</v>
      </c>
      <c r="H92" s="850" t="s">
        <v>657</v>
      </c>
      <c r="I92" s="887"/>
      <c r="J92" s="853" t="s">
        <v>657</v>
      </c>
      <c r="K92" s="538"/>
      <c r="L92" s="533" t="s">
        <v>657</v>
      </c>
      <c r="M92" s="539" t="s">
        <v>657</v>
      </c>
      <c r="N92" s="539" t="s">
        <v>657</v>
      </c>
      <c r="O92" s="529" t="s">
        <v>657</v>
      </c>
      <c r="P92" s="530" t="s">
        <v>657</v>
      </c>
      <c r="Q92" s="540" t="s">
        <v>657</v>
      </c>
      <c r="R92" s="538"/>
      <c r="S92" s="533" t="s">
        <v>657</v>
      </c>
      <c r="T92" s="539" t="s">
        <v>657</v>
      </c>
      <c r="U92" s="539" t="s">
        <v>657</v>
      </c>
      <c r="V92" s="529" t="s">
        <v>657</v>
      </c>
      <c r="W92" s="530" t="s">
        <v>657</v>
      </c>
      <c r="X92" s="540" t="s">
        <v>657</v>
      </c>
    </row>
    <row r="93" spans="1:24" s="512" customFormat="1" x14ac:dyDescent="0.25">
      <c r="A93" s="535">
        <f t="shared" si="1"/>
        <v>-47</v>
      </c>
      <c r="B93" s="846" t="s">
        <v>657</v>
      </c>
      <c r="C93" s="537"/>
      <c r="D93" s="854" t="s">
        <v>657</v>
      </c>
      <c r="E93" s="852" t="s">
        <v>657</v>
      </c>
      <c r="F93" s="852" t="s">
        <v>657</v>
      </c>
      <c r="G93" s="849" t="s">
        <v>657</v>
      </c>
      <c r="H93" s="850" t="s">
        <v>657</v>
      </c>
      <c r="I93" s="887"/>
      <c r="J93" s="853" t="s">
        <v>657</v>
      </c>
      <c r="K93" s="538"/>
      <c r="L93" s="533" t="s">
        <v>657</v>
      </c>
      <c r="M93" s="539" t="s">
        <v>657</v>
      </c>
      <c r="N93" s="539" t="s">
        <v>657</v>
      </c>
      <c r="O93" s="529" t="s">
        <v>657</v>
      </c>
      <c r="P93" s="530" t="s">
        <v>657</v>
      </c>
      <c r="Q93" s="540" t="s">
        <v>657</v>
      </c>
      <c r="R93" s="538"/>
      <c r="S93" s="533" t="s">
        <v>657</v>
      </c>
      <c r="T93" s="539" t="s">
        <v>657</v>
      </c>
      <c r="U93" s="539" t="s">
        <v>657</v>
      </c>
      <c r="V93" s="529" t="s">
        <v>657</v>
      </c>
      <c r="W93" s="530" t="s">
        <v>657</v>
      </c>
      <c r="X93" s="540" t="s">
        <v>657</v>
      </c>
    </row>
    <row r="94" spans="1:24" s="512" customFormat="1" x14ac:dyDescent="0.25">
      <c r="A94" s="535">
        <f t="shared" si="1"/>
        <v>-48</v>
      </c>
      <c r="B94" s="846" t="s">
        <v>657</v>
      </c>
      <c r="C94" s="537"/>
      <c r="D94" s="854" t="s">
        <v>657</v>
      </c>
      <c r="E94" s="852" t="s">
        <v>657</v>
      </c>
      <c r="F94" s="852" t="s">
        <v>657</v>
      </c>
      <c r="G94" s="849" t="s">
        <v>657</v>
      </c>
      <c r="H94" s="850" t="s">
        <v>657</v>
      </c>
      <c r="I94" s="887"/>
      <c r="J94" s="853" t="s">
        <v>657</v>
      </c>
      <c r="K94" s="538"/>
      <c r="L94" s="533" t="s">
        <v>657</v>
      </c>
      <c r="M94" s="539" t="s">
        <v>657</v>
      </c>
      <c r="N94" s="539" t="s">
        <v>657</v>
      </c>
      <c r="O94" s="529" t="s">
        <v>657</v>
      </c>
      <c r="P94" s="530" t="s">
        <v>657</v>
      </c>
      <c r="Q94" s="540" t="s">
        <v>657</v>
      </c>
      <c r="R94" s="538"/>
      <c r="S94" s="533" t="s">
        <v>657</v>
      </c>
      <c r="T94" s="539" t="s">
        <v>657</v>
      </c>
      <c r="U94" s="539" t="s">
        <v>657</v>
      </c>
      <c r="V94" s="529" t="s">
        <v>657</v>
      </c>
      <c r="W94" s="530" t="s">
        <v>657</v>
      </c>
      <c r="X94" s="540" t="s">
        <v>657</v>
      </c>
    </row>
    <row r="95" spans="1:24" s="512" customFormat="1" x14ac:dyDescent="0.25">
      <c r="A95" s="535">
        <f t="shared" si="1"/>
        <v>-49</v>
      </c>
      <c r="B95" s="846" t="s">
        <v>657</v>
      </c>
      <c r="C95" s="537"/>
      <c r="D95" s="854" t="s">
        <v>657</v>
      </c>
      <c r="E95" s="852" t="s">
        <v>657</v>
      </c>
      <c r="F95" s="852" t="s">
        <v>657</v>
      </c>
      <c r="G95" s="849" t="s">
        <v>657</v>
      </c>
      <c r="H95" s="850" t="s">
        <v>657</v>
      </c>
      <c r="I95" s="887"/>
      <c r="J95" s="853" t="s">
        <v>657</v>
      </c>
      <c r="K95" s="538"/>
      <c r="L95" s="533" t="s">
        <v>657</v>
      </c>
      <c r="M95" s="539" t="s">
        <v>657</v>
      </c>
      <c r="N95" s="539" t="s">
        <v>657</v>
      </c>
      <c r="O95" s="529" t="s">
        <v>657</v>
      </c>
      <c r="P95" s="530" t="s">
        <v>657</v>
      </c>
      <c r="Q95" s="540" t="s">
        <v>657</v>
      </c>
      <c r="R95" s="538"/>
      <c r="S95" s="533" t="s">
        <v>657</v>
      </c>
      <c r="T95" s="539" t="s">
        <v>657</v>
      </c>
      <c r="U95" s="539" t="s">
        <v>657</v>
      </c>
      <c r="V95" s="529" t="s">
        <v>657</v>
      </c>
      <c r="W95" s="530" t="s">
        <v>657</v>
      </c>
      <c r="X95" s="540" t="s">
        <v>657</v>
      </c>
    </row>
    <row r="96" spans="1:24" s="512" customFormat="1" x14ac:dyDescent="0.25">
      <c r="A96" s="535">
        <f t="shared" si="1"/>
        <v>-50</v>
      </c>
      <c r="B96" s="846" t="s">
        <v>657</v>
      </c>
      <c r="C96" s="537"/>
      <c r="D96" s="854" t="s">
        <v>657</v>
      </c>
      <c r="E96" s="852" t="s">
        <v>657</v>
      </c>
      <c r="F96" s="852" t="s">
        <v>657</v>
      </c>
      <c r="G96" s="849" t="s">
        <v>657</v>
      </c>
      <c r="H96" s="850" t="s">
        <v>657</v>
      </c>
      <c r="I96" s="887"/>
      <c r="J96" s="853" t="s">
        <v>657</v>
      </c>
      <c r="K96" s="538"/>
      <c r="L96" s="533" t="s">
        <v>657</v>
      </c>
      <c r="M96" s="539" t="s">
        <v>657</v>
      </c>
      <c r="N96" s="539" t="s">
        <v>657</v>
      </c>
      <c r="O96" s="529" t="s">
        <v>657</v>
      </c>
      <c r="P96" s="530" t="s">
        <v>657</v>
      </c>
      <c r="Q96" s="540" t="s">
        <v>657</v>
      </c>
      <c r="R96" s="538"/>
      <c r="S96" s="533" t="s">
        <v>657</v>
      </c>
      <c r="T96" s="539" t="s">
        <v>657</v>
      </c>
      <c r="U96" s="539" t="s">
        <v>657</v>
      </c>
      <c r="V96" s="529" t="s">
        <v>657</v>
      </c>
      <c r="W96" s="530" t="s">
        <v>657</v>
      </c>
      <c r="X96" s="540" t="s">
        <v>657</v>
      </c>
    </row>
    <row r="97" spans="1:24" s="512" customFormat="1" x14ac:dyDescent="0.25">
      <c r="A97" s="535">
        <f t="shared" si="1"/>
        <v>-51</v>
      </c>
      <c r="B97" s="846" t="s">
        <v>657</v>
      </c>
      <c r="C97" s="537"/>
      <c r="D97" s="854" t="s">
        <v>657</v>
      </c>
      <c r="E97" s="852" t="s">
        <v>657</v>
      </c>
      <c r="F97" s="852" t="s">
        <v>657</v>
      </c>
      <c r="G97" s="849" t="s">
        <v>657</v>
      </c>
      <c r="H97" s="850" t="s">
        <v>657</v>
      </c>
      <c r="I97" s="887"/>
      <c r="J97" s="853" t="s">
        <v>657</v>
      </c>
      <c r="K97" s="538"/>
      <c r="L97" s="533" t="s">
        <v>657</v>
      </c>
      <c r="M97" s="539" t="s">
        <v>657</v>
      </c>
      <c r="N97" s="539" t="s">
        <v>657</v>
      </c>
      <c r="O97" s="529" t="s">
        <v>657</v>
      </c>
      <c r="P97" s="530" t="s">
        <v>657</v>
      </c>
      <c r="Q97" s="540" t="s">
        <v>657</v>
      </c>
      <c r="R97" s="538"/>
      <c r="S97" s="533" t="s">
        <v>657</v>
      </c>
      <c r="T97" s="539" t="s">
        <v>657</v>
      </c>
      <c r="U97" s="539" t="s">
        <v>657</v>
      </c>
      <c r="V97" s="529" t="s">
        <v>657</v>
      </c>
      <c r="W97" s="530" t="s">
        <v>657</v>
      </c>
      <c r="X97" s="540" t="s">
        <v>657</v>
      </c>
    </row>
    <row r="98" spans="1:24" s="512" customFormat="1" x14ac:dyDescent="0.25">
      <c r="A98" s="535">
        <f t="shared" si="1"/>
        <v>-52</v>
      </c>
      <c r="B98" s="846" t="s">
        <v>657</v>
      </c>
      <c r="C98" s="537"/>
      <c r="D98" s="854" t="s">
        <v>657</v>
      </c>
      <c r="E98" s="852" t="s">
        <v>657</v>
      </c>
      <c r="F98" s="852" t="s">
        <v>657</v>
      </c>
      <c r="G98" s="849" t="s">
        <v>657</v>
      </c>
      <c r="H98" s="850" t="s">
        <v>657</v>
      </c>
      <c r="I98" s="887"/>
      <c r="J98" s="853" t="s">
        <v>657</v>
      </c>
      <c r="K98" s="538"/>
      <c r="L98" s="533" t="s">
        <v>657</v>
      </c>
      <c r="M98" s="539" t="s">
        <v>657</v>
      </c>
      <c r="N98" s="539" t="s">
        <v>657</v>
      </c>
      <c r="O98" s="529" t="s">
        <v>657</v>
      </c>
      <c r="P98" s="530" t="s">
        <v>657</v>
      </c>
      <c r="Q98" s="540" t="s">
        <v>657</v>
      </c>
      <c r="R98" s="538"/>
      <c r="S98" s="533" t="s">
        <v>657</v>
      </c>
      <c r="T98" s="539" t="s">
        <v>657</v>
      </c>
      <c r="U98" s="539" t="s">
        <v>657</v>
      </c>
      <c r="V98" s="529" t="s">
        <v>657</v>
      </c>
      <c r="W98" s="530" t="s">
        <v>657</v>
      </c>
      <c r="X98" s="540" t="s">
        <v>657</v>
      </c>
    </row>
    <row r="99" spans="1:24" s="512" customFormat="1" x14ac:dyDescent="0.25">
      <c r="A99" s="535">
        <f t="shared" si="1"/>
        <v>-53</v>
      </c>
      <c r="B99" s="846" t="s">
        <v>657</v>
      </c>
      <c r="C99" s="537"/>
      <c r="D99" s="854" t="s">
        <v>657</v>
      </c>
      <c r="E99" s="852" t="s">
        <v>657</v>
      </c>
      <c r="F99" s="852" t="s">
        <v>657</v>
      </c>
      <c r="G99" s="849" t="s">
        <v>657</v>
      </c>
      <c r="H99" s="850" t="s">
        <v>657</v>
      </c>
      <c r="I99" s="887"/>
      <c r="J99" s="853" t="s">
        <v>657</v>
      </c>
      <c r="K99" s="538"/>
      <c r="L99" s="533" t="s">
        <v>657</v>
      </c>
      <c r="M99" s="539" t="s">
        <v>657</v>
      </c>
      <c r="N99" s="539" t="s">
        <v>657</v>
      </c>
      <c r="O99" s="529" t="s">
        <v>657</v>
      </c>
      <c r="P99" s="530" t="s">
        <v>657</v>
      </c>
      <c r="Q99" s="540" t="s">
        <v>657</v>
      </c>
      <c r="R99" s="538"/>
      <c r="S99" s="533" t="s">
        <v>657</v>
      </c>
      <c r="T99" s="539" t="s">
        <v>657</v>
      </c>
      <c r="U99" s="539" t="s">
        <v>657</v>
      </c>
      <c r="V99" s="529" t="s">
        <v>657</v>
      </c>
      <c r="W99" s="530" t="s">
        <v>657</v>
      </c>
      <c r="X99" s="540" t="s">
        <v>657</v>
      </c>
    </row>
    <row r="100" spans="1:24" s="512" customFormat="1" x14ac:dyDescent="0.25">
      <c r="A100" s="535">
        <f t="shared" si="1"/>
        <v>-54</v>
      </c>
      <c r="B100" s="846" t="s">
        <v>657</v>
      </c>
      <c r="C100" s="537"/>
      <c r="D100" s="854" t="s">
        <v>657</v>
      </c>
      <c r="E100" s="852" t="s">
        <v>657</v>
      </c>
      <c r="F100" s="852" t="s">
        <v>657</v>
      </c>
      <c r="G100" s="849" t="s">
        <v>657</v>
      </c>
      <c r="H100" s="850" t="s">
        <v>657</v>
      </c>
      <c r="I100" s="887"/>
      <c r="J100" s="853" t="s">
        <v>657</v>
      </c>
      <c r="K100" s="538"/>
      <c r="L100" s="533" t="s">
        <v>657</v>
      </c>
      <c r="M100" s="539" t="s">
        <v>657</v>
      </c>
      <c r="N100" s="539" t="s">
        <v>657</v>
      </c>
      <c r="O100" s="529" t="s">
        <v>657</v>
      </c>
      <c r="P100" s="530" t="s">
        <v>657</v>
      </c>
      <c r="Q100" s="540" t="s">
        <v>657</v>
      </c>
      <c r="R100" s="538"/>
      <c r="S100" s="533" t="s">
        <v>657</v>
      </c>
      <c r="T100" s="539" t="s">
        <v>657</v>
      </c>
      <c r="U100" s="539" t="s">
        <v>657</v>
      </c>
      <c r="V100" s="529" t="s">
        <v>657</v>
      </c>
      <c r="W100" s="530" t="s">
        <v>657</v>
      </c>
      <c r="X100" s="540" t="s">
        <v>657</v>
      </c>
    </row>
    <row r="101" spans="1:24" s="512" customFormat="1" x14ac:dyDescent="0.25">
      <c r="A101" s="535">
        <f t="shared" si="1"/>
        <v>-55</v>
      </c>
      <c r="B101" s="846" t="s">
        <v>657</v>
      </c>
      <c r="C101" s="537"/>
      <c r="D101" s="854" t="s">
        <v>657</v>
      </c>
      <c r="E101" s="852" t="s">
        <v>657</v>
      </c>
      <c r="F101" s="852" t="s">
        <v>657</v>
      </c>
      <c r="G101" s="849" t="s">
        <v>657</v>
      </c>
      <c r="H101" s="850" t="s">
        <v>657</v>
      </c>
      <c r="I101" s="887"/>
      <c r="J101" s="853" t="s">
        <v>657</v>
      </c>
      <c r="K101" s="538"/>
      <c r="L101" s="533" t="s">
        <v>657</v>
      </c>
      <c r="M101" s="539" t="s">
        <v>657</v>
      </c>
      <c r="N101" s="539" t="s">
        <v>657</v>
      </c>
      <c r="O101" s="529" t="s">
        <v>657</v>
      </c>
      <c r="P101" s="530" t="s">
        <v>657</v>
      </c>
      <c r="Q101" s="540" t="s">
        <v>657</v>
      </c>
      <c r="R101" s="538"/>
      <c r="S101" s="533" t="s">
        <v>657</v>
      </c>
      <c r="T101" s="539" t="s">
        <v>657</v>
      </c>
      <c r="U101" s="539" t="s">
        <v>657</v>
      </c>
      <c r="V101" s="529" t="s">
        <v>657</v>
      </c>
      <c r="W101" s="530" t="s">
        <v>657</v>
      </c>
      <c r="X101" s="540" t="s">
        <v>657</v>
      </c>
    </row>
    <row r="102" spans="1:24" s="512" customFormat="1" x14ac:dyDescent="0.25">
      <c r="A102" s="535">
        <f t="shared" si="1"/>
        <v>-56</v>
      </c>
      <c r="B102" s="846" t="s">
        <v>657</v>
      </c>
      <c r="C102" s="537"/>
      <c r="D102" s="854" t="s">
        <v>657</v>
      </c>
      <c r="E102" s="852" t="s">
        <v>657</v>
      </c>
      <c r="F102" s="852" t="s">
        <v>657</v>
      </c>
      <c r="G102" s="849" t="s">
        <v>657</v>
      </c>
      <c r="H102" s="850" t="s">
        <v>657</v>
      </c>
      <c r="I102" s="887"/>
      <c r="J102" s="853" t="s">
        <v>657</v>
      </c>
      <c r="K102" s="538"/>
      <c r="L102" s="533" t="s">
        <v>657</v>
      </c>
      <c r="M102" s="539" t="s">
        <v>657</v>
      </c>
      <c r="N102" s="539" t="s">
        <v>657</v>
      </c>
      <c r="O102" s="529" t="s">
        <v>657</v>
      </c>
      <c r="P102" s="530" t="s">
        <v>657</v>
      </c>
      <c r="Q102" s="540" t="s">
        <v>657</v>
      </c>
      <c r="R102" s="538"/>
      <c r="S102" s="533" t="s">
        <v>657</v>
      </c>
      <c r="T102" s="539" t="s">
        <v>657</v>
      </c>
      <c r="U102" s="539" t="s">
        <v>657</v>
      </c>
      <c r="V102" s="529" t="s">
        <v>657</v>
      </c>
      <c r="W102" s="530" t="s">
        <v>657</v>
      </c>
      <c r="X102" s="540" t="s">
        <v>657</v>
      </c>
    </row>
    <row r="103" spans="1:24" s="512" customFormat="1" x14ac:dyDescent="0.25">
      <c r="A103" s="535">
        <f t="shared" si="1"/>
        <v>-57</v>
      </c>
      <c r="B103" s="846" t="s">
        <v>657</v>
      </c>
      <c r="C103" s="537"/>
      <c r="D103" s="854" t="s">
        <v>657</v>
      </c>
      <c r="E103" s="852" t="s">
        <v>657</v>
      </c>
      <c r="F103" s="852" t="s">
        <v>657</v>
      </c>
      <c r="G103" s="849" t="s">
        <v>657</v>
      </c>
      <c r="H103" s="850" t="s">
        <v>657</v>
      </c>
      <c r="I103" s="887"/>
      <c r="J103" s="853" t="s">
        <v>657</v>
      </c>
      <c r="K103" s="538"/>
      <c r="L103" s="533" t="s">
        <v>657</v>
      </c>
      <c r="M103" s="539" t="s">
        <v>657</v>
      </c>
      <c r="N103" s="539" t="s">
        <v>657</v>
      </c>
      <c r="O103" s="529" t="s">
        <v>657</v>
      </c>
      <c r="P103" s="530" t="s">
        <v>657</v>
      </c>
      <c r="Q103" s="540" t="s">
        <v>657</v>
      </c>
      <c r="R103" s="538"/>
      <c r="S103" s="533" t="s">
        <v>657</v>
      </c>
      <c r="T103" s="539" t="s">
        <v>657</v>
      </c>
      <c r="U103" s="539" t="s">
        <v>657</v>
      </c>
      <c r="V103" s="529" t="s">
        <v>657</v>
      </c>
      <c r="W103" s="530" t="s">
        <v>657</v>
      </c>
      <c r="X103" s="540" t="s">
        <v>657</v>
      </c>
    </row>
    <row r="104" spans="1:24" s="512" customFormat="1" x14ac:dyDescent="0.25">
      <c r="A104" s="535">
        <f t="shared" si="1"/>
        <v>-58</v>
      </c>
      <c r="B104" s="846" t="s">
        <v>657</v>
      </c>
      <c r="C104" s="537"/>
      <c r="D104" s="854" t="s">
        <v>657</v>
      </c>
      <c r="E104" s="852" t="s">
        <v>657</v>
      </c>
      <c r="F104" s="852" t="s">
        <v>657</v>
      </c>
      <c r="G104" s="849" t="s">
        <v>657</v>
      </c>
      <c r="H104" s="850" t="s">
        <v>657</v>
      </c>
      <c r="I104" s="887"/>
      <c r="J104" s="853" t="s">
        <v>657</v>
      </c>
      <c r="K104" s="538"/>
      <c r="L104" s="533" t="s">
        <v>657</v>
      </c>
      <c r="M104" s="539" t="s">
        <v>657</v>
      </c>
      <c r="N104" s="539" t="s">
        <v>657</v>
      </c>
      <c r="O104" s="529" t="s">
        <v>657</v>
      </c>
      <c r="P104" s="530" t="s">
        <v>657</v>
      </c>
      <c r="Q104" s="540" t="s">
        <v>657</v>
      </c>
      <c r="R104" s="538"/>
      <c r="S104" s="533" t="s">
        <v>657</v>
      </c>
      <c r="T104" s="539" t="s">
        <v>657</v>
      </c>
      <c r="U104" s="539" t="s">
        <v>657</v>
      </c>
      <c r="V104" s="529" t="s">
        <v>657</v>
      </c>
      <c r="W104" s="530" t="s">
        <v>657</v>
      </c>
      <c r="X104" s="540" t="s">
        <v>657</v>
      </c>
    </row>
    <row r="105" spans="1:24" s="512" customFormat="1" x14ac:dyDescent="0.25">
      <c r="A105" s="535">
        <f t="shared" si="1"/>
        <v>-59</v>
      </c>
      <c r="B105" s="846" t="s">
        <v>657</v>
      </c>
      <c r="C105" s="537"/>
      <c r="D105" s="854" t="s">
        <v>657</v>
      </c>
      <c r="E105" s="852" t="s">
        <v>657</v>
      </c>
      <c r="F105" s="852" t="s">
        <v>657</v>
      </c>
      <c r="G105" s="849" t="s">
        <v>657</v>
      </c>
      <c r="H105" s="850" t="s">
        <v>657</v>
      </c>
      <c r="I105" s="887"/>
      <c r="J105" s="853" t="s">
        <v>657</v>
      </c>
      <c r="K105" s="538"/>
      <c r="L105" s="533" t="s">
        <v>657</v>
      </c>
      <c r="M105" s="539" t="s">
        <v>657</v>
      </c>
      <c r="N105" s="539" t="s">
        <v>657</v>
      </c>
      <c r="O105" s="529" t="s">
        <v>657</v>
      </c>
      <c r="P105" s="530" t="s">
        <v>657</v>
      </c>
      <c r="Q105" s="540" t="s">
        <v>657</v>
      </c>
      <c r="R105" s="538"/>
      <c r="S105" s="533" t="s">
        <v>657</v>
      </c>
      <c r="T105" s="539" t="s">
        <v>657</v>
      </c>
      <c r="U105" s="539" t="s">
        <v>657</v>
      </c>
      <c r="V105" s="529" t="s">
        <v>657</v>
      </c>
      <c r="W105" s="530" t="s">
        <v>657</v>
      </c>
      <c r="X105" s="540" t="s">
        <v>657</v>
      </c>
    </row>
    <row r="106" spans="1:24" s="512" customFormat="1" x14ac:dyDescent="0.25">
      <c r="A106" s="535">
        <f t="shared" si="1"/>
        <v>-60</v>
      </c>
      <c r="B106" s="846" t="s">
        <v>657</v>
      </c>
      <c r="C106" s="537"/>
      <c r="D106" s="854" t="s">
        <v>657</v>
      </c>
      <c r="E106" s="852" t="s">
        <v>657</v>
      </c>
      <c r="F106" s="852" t="s">
        <v>657</v>
      </c>
      <c r="G106" s="849" t="s">
        <v>657</v>
      </c>
      <c r="H106" s="850" t="s">
        <v>657</v>
      </c>
      <c r="I106" s="887"/>
      <c r="J106" s="853" t="s">
        <v>657</v>
      </c>
      <c r="K106" s="538"/>
      <c r="L106" s="533" t="s">
        <v>657</v>
      </c>
      <c r="M106" s="539" t="s">
        <v>657</v>
      </c>
      <c r="N106" s="539" t="s">
        <v>657</v>
      </c>
      <c r="O106" s="529" t="s">
        <v>657</v>
      </c>
      <c r="P106" s="530" t="s">
        <v>657</v>
      </c>
      <c r="Q106" s="540" t="s">
        <v>657</v>
      </c>
      <c r="R106" s="538"/>
      <c r="S106" s="533" t="s">
        <v>657</v>
      </c>
      <c r="T106" s="539" t="s">
        <v>657</v>
      </c>
      <c r="U106" s="539" t="s">
        <v>657</v>
      </c>
      <c r="V106" s="529" t="s">
        <v>657</v>
      </c>
      <c r="W106" s="530" t="s">
        <v>657</v>
      </c>
      <c r="X106" s="540" t="s">
        <v>657</v>
      </c>
    </row>
    <row r="107" spans="1:24" s="512" customFormat="1" x14ac:dyDescent="0.25">
      <c r="A107" s="535">
        <f t="shared" si="1"/>
        <v>-61</v>
      </c>
      <c r="B107" s="846" t="s">
        <v>657</v>
      </c>
      <c r="C107" s="537"/>
      <c r="D107" s="854" t="s">
        <v>657</v>
      </c>
      <c r="E107" s="852" t="s">
        <v>657</v>
      </c>
      <c r="F107" s="852" t="s">
        <v>657</v>
      </c>
      <c r="G107" s="849" t="s">
        <v>657</v>
      </c>
      <c r="H107" s="850" t="s">
        <v>657</v>
      </c>
      <c r="I107" s="887"/>
      <c r="J107" s="853" t="s">
        <v>657</v>
      </c>
      <c r="K107" s="538"/>
      <c r="L107" s="533" t="s">
        <v>657</v>
      </c>
      <c r="M107" s="539" t="s">
        <v>657</v>
      </c>
      <c r="N107" s="539" t="s">
        <v>657</v>
      </c>
      <c r="O107" s="529" t="s">
        <v>657</v>
      </c>
      <c r="P107" s="530" t="s">
        <v>657</v>
      </c>
      <c r="Q107" s="540" t="s">
        <v>657</v>
      </c>
      <c r="R107" s="538"/>
      <c r="S107" s="533" t="s">
        <v>657</v>
      </c>
      <c r="T107" s="539" t="s">
        <v>657</v>
      </c>
      <c r="U107" s="539" t="s">
        <v>657</v>
      </c>
      <c r="V107" s="529" t="s">
        <v>657</v>
      </c>
      <c r="W107" s="530" t="s">
        <v>657</v>
      </c>
      <c r="X107" s="540" t="s">
        <v>657</v>
      </c>
    </row>
    <row r="108" spans="1:24" s="512" customFormat="1" x14ac:dyDescent="0.25">
      <c r="A108" s="535">
        <f t="shared" si="1"/>
        <v>-62</v>
      </c>
      <c r="B108" s="846" t="s">
        <v>657</v>
      </c>
      <c r="C108" s="537"/>
      <c r="D108" s="854" t="s">
        <v>657</v>
      </c>
      <c r="E108" s="852" t="s">
        <v>657</v>
      </c>
      <c r="F108" s="852" t="s">
        <v>657</v>
      </c>
      <c r="G108" s="849" t="s">
        <v>657</v>
      </c>
      <c r="H108" s="850" t="s">
        <v>657</v>
      </c>
      <c r="I108" s="887"/>
      <c r="J108" s="853" t="s">
        <v>657</v>
      </c>
      <c r="K108" s="538"/>
      <c r="L108" s="533" t="s">
        <v>657</v>
      </c>
      <c r="M108" s="539" t="s">
        <v>657</v>
      </c>
      <c r="N108" s="539" t="s">
        <v>657</v>
      </c>
      <c r="O108" s="529" t="s">
        <v>657</v>
      </c>
      <c r="P108" s="530" t="s">
        <v>657</v>
      </c>
      <c r="Q108" s="540" t="s">
        <v>657</v>
      </c>
      <c r="R108" s="538"/>
      <c r="S108" s="533" t="s">
        <v>657</v>
      </c>
      <c r="T108" s="539" t="s">
        <v>657</v>
      </c>
      <c r="U108" s="539" t="s">
        <v>657</v>
      </c>
      <c r="V108" s="529" t="s">
        <v>657</v>
      </c>
      <c r="W108" s="530" t="s">
        <v>657</v>
      </c>
      <c r="X108" s="540" t="s">
        <v>657</v>
      </c>
    </row>
    <row r="109" spans="1:24" s="512" customFormat="1" x14ac:dyDescent="0.25">
      <c r="A109" s="535">
        <f t="shared" si="1"/>
        <v>-63</v>
      </c>
      <c r="B109" s="846" t="s">
        <v>657</v>
      </c>
      <c r="C109" s="537"/>
      <c r="D109" s="854" t="s">
        <v>657</v>
      </c>
      <c r="E109" s="852" t="s">
        <v>657</v>
      </c>
      <c r="F109" s="852" t="s">
        <v>657</v>
      </c>
      <c r="G109" s="849" t="s">
        <v>657</v>
      </c>
      <c r="H109" s="850" t="s">
        <v>657</v>
      </c>
      <c r="I109" s="887"/>
      <c r="J109" s="853" t="s">
        <v>657</v>
      </c>
      <c r="K109" s="538"/>
      <c r="L109" s="533" t="s">
        <v>657</v>
      </c>
      <c r="M109" s="539" t="s">
        <v>657</v>
      </c>
      <c r="N109" s="539" t="s">
        <v>657</v>
      </c>
      <c r="O109" s="529" t="s">
        <v>657</v>
      </c>
      <c r="P109" s="530" t="s">
        <v>657</v>
      </c>
      <c r="Q109" s="540" t="s">
        <v>657</v>
      </c>
      <c r="R109" s="538"/>
      <c r="S109" s="533" t="s">
        <v>657</v>
      </c>
      <c r="T109" s="539" t="s">
        <v>657</v>
      </c>
      <c r="U109" s="539" t="s">
        <v>657</v>
      </c>
      <c r="V109" s="529" t="s">
        <v>657</v>
      </c>
      <c r="W109" s="530" t="s">
        <v>657</v>
      </c>
      <c r="X109" s="540" t="s">
        <v>657</v>
      </c>
    </row>
    <row r="110" spans="1:24" s="512" customFormat="1" x14ac:dyDescent="0.25">
      <c r="A110" s="535">
        <f t="shared" si="1"/>
        <v>-64</v>
      </c>
      <c r="B110" s="846" t="s">
        <v>657</v>
      </c>
      <c r="C110" s="537"/>
      <c r="D110" s="854" t="s">
        <v>657</v>
      </c>
      <c r="E110" s="852" t="s">
        <v>657</v>
      </c>
      <c r="F110" s="852" t="s">
        <v>657</v>
      </c>
      <c r="G110" s="849" t="s">
        <v>657</v>
      </c>
      <c r="H110" s="850" t="s">
        <v>657</v>
      </c>
      <c r="I110" s="887"/>
      <c r="J110" s="853" t="s">
        <v>657</v>
      </c>
      <c r="K110" s="538"/>
      <c r="L110" s="533" t="s">
        <v>657</v>
      </c>
      <c r="M110" s="539" t="s">
        <v>657</v>
      </c>
      <c r="N110" s="539" t="s">
        <v>657</v>
      </c>
      <c r="O110" s="529" t="s">
        <v>657</v>
      </c>
      <c r="P110" s="530" t="s">
        <v>657</v>
      </c>
      <c r="Q110" s="540" t="s">
        <v>657</v>
      </c>
      <c r="R110" s="538"/>
      <c r="S110" s="533" t="s">
        <v>657</v>
      </c>
      <c r="T110" s="539" t="s">
        <v>657</v>
      </c>
      <c r="U110" s="539" t="s">
        <v>657</v>
      </c>
      <c r="V110" s="529" t="s">
        <v>657</v>
      </c>
      <c r="W110" s="530" t="s">
        <v>657</v>
      </c>
      <c r="X110" s="540" t="s">
        <v>657</v>
      </c>
    </row>
    <row r="111" spans="1:24" s="512" customFormat="1" x14ac:dyDescent="0.25">
      <c r="A111" s="535">
        <f t="shared" si="1"/>
        <v>-65</v>
      </c>
      <c r="B111" s="846" t="s">
        <v>657</v>
      </c>
      <c r="C111" s="537"/>
      <c r="D111" s="854" t="s">
        <v>657</v>
      </c>
      <c r="E111" s="852" t="s">
        <v>657</v>
      </c>
      <c r="F111" s="852" t="s">
        <v>657</v>
      </c>
      <c r="G111" s="849" t="s">
        <v>657</v>
      </c>
      <c r="H111" s="850" t="s">
        <v>657</v>
      </c>
      <c r="I111" s="887"/>
      <c r="J111" s="853" t="s">
        <v>657</v>
      </c>
      <c r="K111" s="538"/>
      <c r="L111" s="533" t="s">
        <v>657</v>
      </c>
      <c r="M111" s="539" t="s">
        <v>657</v>
      </c>
      <c r="N111" s="539" t="s">
        <v>657</v>
      </c>
      <c r="O111" s="529" t="s">
        <v>657</v>
      </c>
      <c r="P111" s="530" t="s">
        <v>657</v>
      </c>
      <c r="Q111" s="540" t="s">
        <v>657</v>
      </c>
      <c r="R111" s="538"/>
      <c r="S111" s="533" t="s">
        <v>657</v>
      </c>
      <c r="T111" s="539" t="s">
        <v>657</v>
      </c>
      <c r="U111" s="539" t="s">
        <v>657</v>
      </c>
      <c r="V111" s="529" t="s">
        <v>657</v>
      </c>
      <c r="W111" s="530" t="s">
        <v>657</v>
      </c>
      <c r="X111" s="540" t="s">
        <v>657</v>
      </c>
    </row>
    <row r="112" spans="1:24" s="512" customFormat="1" x14ac:dyDescent="0.25">
      <c r="A112" s="535">
        <f t="shared" si="1"/>
        <v>-66</v>
      </c>
      <c r="B112" s="846" t="s">
        <v>657</v>
      </c>
      <c r="C112" s="537"/>
      <c r="D112" s="854" t="s">
        <v>657</v>
      </c>
      <c r="E112" s="852" t="s">
        <v>657</v>
      </c>
      <c r="F112" s="852" t="s">
        <v>657</v>
      </c>
      <c r="G112" s="849" t="s">
        <v>657</v>
      </c>
      <c r="H112" s="850" t="s">
        <v>657</v>
      </c>
      <c r="I112" s="887"/>
      <c r="J112" s="853" t="s">
        <v>657</v>
      </c>
      <c r="K112" s="538"/>
      <c r="L112" s="533" t="s">
        <v>657</v>
      </c>
      <c r="M112" s="539" t="s">
        <v>657</v>
      </c>
      <c r="N112" s="539" t="s">
        <v>657</v>
      </c>
      <c r="O112" s="529" t="s">
        <v>657</v>
      </c>
      <c r="P112" s="530" t="s">
        <v>657</v>
      </c>
      <c r="Q112" s="540" t="s">
        <v>657</v>
      </c>
      <c r="R112" s="538"/>
      <c r="S112" s="533" t="s">
        <v>657</v>
      </c>
      <c r="T112" s="539" t="s">
        <v>657</v>
      </c>
      <c r="U112" s="539" t="s">
        <v>657</v>
      </c>
      <c r="V112" s="529" t="s">
        <v>657</v>
      </c>
      <c r="W112" s="530" t="s">
        <v>657</v>
      </c>
      <c r="X112" s="540" t="s">
        <v>657</v>
      </c>
    </row>
    <row r="113" spans="1:24" s="512" customFormat="1" x14ac:dyDescent="0.25">
      <c r="A113" s="535">
        <f t="shared" si="1"/>
        <v>-67</v>
      </c>
      <c r="B113" s="846" t="s">
        <v>657</v>
      </c>
      <c r="C113" s="537"/>
      <c r="D113" s="854" t="s">
        <v>657</v>
      </c>
      <c r="E113" s="852" t="s">
        <v>657</v>
      </c>
      <c r="F113" s="852" t="s">
        <v>657</v>
      </c>
      <c r="G113" s="849" t="s">
        <v>657</v>
      </c>
      <c r="H113" s="850" t="s">
        <v>657</v>
      </c>
      <c r="I113" s="887"/>
      <c r="J113" s="853" t="s">
        <v>657</v>
      </c>
      <c r="K113" s="538"/>
      <c r="L113" s="533" t="s">
        <v>657</v>
      </c>
      <c r="M113" s="539" t="s">
        <v>657</v>
      </c>
      <c r="N113" s="539" t="s">
        <v>657</v>
      </c>
      <c r="O113" s="529" t="s">
        <v>657</v>
      </c>
      <c r="P113" s="530" t="s">
        <v>657</v>
      </c>
      <c r="Q113" s="540" t="s">
        <v>657</v>
      </c>
      <c r="R113" s="538"/>
      <c r="S113" s="533" t="s">
        <v>657</v>
      </c>
      <c r="T113" s="539" t="s">
        <v>657</v>
      </c>
      <c r="U113" s="539" t="s">
        <v>657</v>
      </c>
      <c r="V113" s="529" t="s">
        <v>657</v>
      </c>
      <c r="W113" s="530" t="s">
        <v>657</v>
      </c>
      <c r="X113" s="540" t="s">
        <v>657</v>
      </c>
    </row>
    <row r="114" spans="1:24" s="512" customFormat="1" x14ac:dyDescent="0.25">
      <c r="A114" s="535">
        <f t="shared" si="1"/>
        <v>-68</v>
      </c>
      <c r="B114" s="846" t="s">
        <v>657</v>
      </c>
      <c r="C114" s="537"/>
      <c r="D114" s="854" t="s">
        <v>657</v>
      </c>
      <c r="E114" s="852" t="s">
        <v>657</v>
      </c>
      <c r="F114" s="852" t="s">
        <v>657</v>
      </c>
      <c r="G114" s="849" t="s">
        <v>657</v>
      </c>
      <c r="H114" s="850" t="s">
        <v>657</v>
      </c>
      <c r="I114" s="887"/>
      <c r="J114" s="853" t="s">
        <v>657</v>
      </c>
      <c r="K114" s="538"/>
      <c r="L114" s="533" t="s">
        <v>657</v>
      </c>
      <c r="M114" s="539" t="s">
        <v>657</v>
      </c>
      <c r="N114" s="539" t="s">
        <v>657</v>
      </c>
      <c r="O114" s="529" t="s">
        <v>657</v>
      </c>
      <c r="P114" s="530" t="s">
        <v>657</v>
      </c>
      <c r="Q114" s="540" t="s">
        <v>657</v>
      </c>
      <c r="R114" s="538"/>
      <c r="S114" s="533" t="s">
        <v>657</v>
      </c>
      <c r="T114" s="539" t="s">
        <v>657</v>
      </c>
      <c r="U114" s="539" t="s">
        <v>657</v>
      </c>
      <c r="V114" s="529" t="s">
        <v>657</v>
      </c>
      <c r="W114" s="530" t="s">
        <v>657</v>
      </c>
      <c r="X114" s="540" t="s">
        <v>657</v>
      </c>
    </row>
    <row r="115" spans="1:24" s="512" customFormat="1" x14ac:dyDescent="0.25">
      <c r="A115" s="535">
        <f t="shared" si="1"/>
        <v>-69</v>
      </c>
      <c r="B115" s="846" t="s">
        <v>657</v>
      </c>
      <c r="C115" s="537"/>
      <c r="D115" s="854" t="s">
        <v>657</v>
      </c>
      <c r="E115" s="852" t="s">
        <v>657</v>
      </c>
      <c r="F115" s="852" t="s">
        <v>657</v>
      </c>
      <c r="G115" s="849" t="s">
        <v>657</v>
      </c>
      <c r="H115" s="850" t="s">
        <v>657</v>
      </c>
      <c r="I115" s="887"/>
      <c r="J115" s="853" t="s">
        <v>657</v>
      </c>
      <c r="K115" s="538"/>
      <c r="L115" s="533" t="s">
        <v>657</v>
      </c>
      <c r="M115" s="539" t="s">
        <v>657</v>
      </c>
      <c r="N115" s="539" t="s">
        <v>657</v>
      </c>
      <c r="O115" s="529" t="s">
        <v>657</v>
      </c>
      <c r="P115" s="530" t="s">
        <v>657</v>
      </c>
      <c r="Q115" s="540" t="s">
        <v>657</v>
      </c>
      <c r="R115" s="538"/>
      <c r="S115" s="533" t="s">
        <v>657</v>
      </c>
      <c r="T115" s="539" t="s">
        <v>657</v>
      </c>
      <c r="U115" s="539" t="s">
        <v>657</v>
      </c>
      <c r="V115" s="529" t="s">
        <v>657</v>
      </c>
      <c r="W115" s="530" t="s">
        <v>657</v>
      </c>
      <c r="X115" s="540" t="s">
        <v>657</v>
      </c>
    </row>
    <row r="116" spans="1:24" s="512" customFormat="1" x14ac:dyDescent="0.25">
      <c r="A116" s="535">
        <f t="shared" si="1"/>
        <v>-70</v>
      </c>
      <c r="B116" s="846" t="s">
        <v>657</v>
      </c>
      <c r="C116" s="537"/>
      <c r="D116" s="854" t="s">
        <v>657</v>
      </c>
      <c r="E116" s="852" t="s">
        <v>657</v>
      </c>
      <c r="F116" s="852" t="s">
        <v>657</v>
      </c>
      <c r="G116" s="849" t="s">
        <v>657</v>
      </c>
      <c r="H116" s="850" t="s">
        <v>657</v>
      </c>
      <c r="I116" s="887"/>
      <c r="J116" s="853" t="s">
        <v>657</v>
      </c>
      <c r="K116" s="538"/>
      <c r="L116" s="533" t="s">
        <v>657</v>
      </c>
      <c r="M116" s="539" t="s">
        <v>657</v>
      </c>
      <c r="N116" s="539" t="s">
        <v>657</v>
      </c>
      <c r="O116" s="529" t="s">
        <v>657</v>
      </c>
      <c r="P116" s="530" t="s">
        <v>657</v>
      </c>
      <c r="Q116" s="540" t="s">
        <v>657</v>
      </c>
      <c r="R116" s="538"/>
      <c r="S116" s="533" t="s">
        <v>657</v>
      </c>
      <c r="T116" s="539" t="s">
        <v>657</v>
      </c>
      <c r="U116" s="539" t="s">
        <v>657</v>
      </c>
      <c r="V116" s="529" t="s">
        <v>657</v>
      </c>
      <c r="W116" s="530" t="s">
        <v>657</v>
      </c>
      <c r="X116" s="540" t="s">
        <v>657</v>
      </c>
    </row>
    <row r="117" spans="1:24" s="512" customFormat="1" x14ac:dyDescent="0.25">
      <c r="A117" s="535">
        <f t="shared" si="1"/>
        <v>-71</v>
      </c>
      <c r="B117" s="846" t="s">
        <v>657</v>
      </c>
      <c r="C117" s="537"/>
      <c r="D117" s="854" t="s">
        <v>657</v>
      </c>
      <c r="E117" s="852" t="s">
        <v>657</v>
      </c>
      <c r="F117" s="852" t="s">
        <v>657</v>
      </c>
      <c r="G117" s="849" t="s">
        <v>657</v>
      </c>
      <c r="H117" s="850" t="s">
        <v>657</v>
      </c>
      <c r="I117" s="887"/>
      <c r="J117" s="853" t="s">
        <v>657</v>
      </c>
      <c r="K117" s="538"/>
      <c r="L117" s="533" t="s">
        <v>657</v>
      </c>
      <c r="M117" s="539" t="s">
        <v>657</v>
      </c>
      <c r="N117" s="539" t="s">
        <v>657</v>
      </c>
      <c r="O117" s="529" t="s">
        <v>657</v>
      </c>
      <c r="P117" s="530" t="s">
        <v>657</v>
      </c>
      <c r="Q117" s="540" t="s">
        <v>657</v>
      </c>
      <c r="R117" s="538"/>
      <c r="S117" s="533" t="s">
        <v>657</v>
      </c>
      <c r="T117" s="539" t="s">
        <v>657</v>
      </c>
      <c r="U117" s="539" t="s">
        <v>657</v>
      </c>
      <c r="V117" s="529" t="s">
        <v>657</v>
      </c>
      <c r="W117" s="530" t="s">
        <v>657</v>
      </c>
      <c r="X117" s="540" t="s">
        <v>657</v>
      </c>
    </row>
    <row r="118" spans="1:24" s="512" customFormat="1" x14ac:dyDescent="0.25">
      <c r="A118" s="535">
        <f t="shared" si="1"/>
        <v>-72</v>
      </c>
      <c r="B118" s="846" t="s">
        <v>657</v>
      </c>
      <c r="C118" s="537"/>
      <c r="D118" s="854" t="s">
        <v>657</v>
      </c>
      <c r="E118" s="852" t="s">
        <v>657</v>
      </c>
      <c r="F118" s="852" t="s">
        <v>657</v>
      </c>
      <c r="G118" s="849" t="s">
        <v>657</v>
      </c>
      <c r="H118" s="850" t="s">
        <v>657</v>
      </c>
      <c r="I118" s="887"/>
      <c r="J118" s="853" t="s">
        <v>657</v>
      </c>
      <c r="K118" s="538"/>
      <c r="L118" s="533" t="s">
        <v>657</v>
      </c>
      <c r="M118" s="539" t="s">
        <v>657</v>
      </c>
      <c r="N118" s="539" t="s">
        <v>657</v>
      </c>
      <c r="O118" s="529" t="s">
        <v>657</v>
      </c>
      <c r="P118" s="530" t="s">
        <v>657</v>
      </c>
      <c r="Q118" s="540" t="s">
        <v>657</v>
      </c>
      <c r="R118" s="538"/>
      <c r="S118" s="533" t="s">
        <v>657</v>
      </c>
      <c r="T118" s="539" t="s">
        <v>657</v>
      </c>
      <c r="U118" s="539" t="s">
        <v>657</v>
      </c>
      <c r="V118" s="529" t="s">
        <v>657</v>
      </c>
      <c r="W118" s="530" t="s">
        <v>657</v>
      </c>
      <c r="X118" s="540" t="s">
        <v>657</v>
      </c>
    </row>
    <row r="119" spans="1:24" s="512" customFormat="1" x14ac:dyDescent="0.25">
      <c r="A119" s="535">
        <f t="shared" si="1"/>
        <v>-73</v>
      </c>
      <c r="B119" s="846" t="s">
        <v>657</v>
      </c>
      <c r="C119" s="537"/>
      <c r="D119" s="854" t="s">
        <v>657</v>
      </c>
      <c r="E119" s="852" t="s">
        <v>657</v>
      </c>
      <c r="F119" s="852" t="s">
        <v>657</v>
      </c>
      <c r="G119" s="849" t="s">
        <v>657</v>
      </c>
      <c r="H119" s="850" t="s">
        <v>657</v>
      </c>
      <c r="I119" s="887"/>
      <c r="J119" s="853" t="s">
        <v>657</v>
      </c>
      <c r="K119" s="538"/>
      <c r="L119" s="533" t="s">
        <v>657</v>
      </c>
      <c r="M119" s="539" t="s">
        <v>657</v>
      </c>
      <c r="N119" s="539" t="s">
        <v>657</v>
      </c>
      <c r="O119" s="529" t="s">
        <v>657</v>
      </c>
      <c r="P119" s="530" t="s">
        <v>657</v>
      </c>
      <c r="Q119" s="540" t="s">
        <v>657</v>
      </c>
      <c r="R119" s="538"/>
      <c r="S119" s="533" t="s">
        <v>657</v>
      </c>
      <c r="T119" s="539" t="s">
        <v>657</v>
      </c>
      <c r="U119" s="539" t="s">
        <v>657</v>
      </c>
      <c r="V119" s="529" t="s">
        <v>657</v>
      </c>
      <c r="W119" s="530" t="s">
        <v>657</v>
      </c>
      <c r="X119" s="540" t="s">
        <v>657</v>
      </c>
    </row>
    <row r="120" spans="1:24" s="512" customFormat="1" x14ac:dyDescent="0.25">
      <c r="A120" s="535">
        <f t="shared" si="1"/>
        <v>-74</v>
      </c>
      <c r="B120" s="846" t="s">
        <v>657</v>
      </c>
      <c r="C120" s="537"/>
      <c r="D120" s="854" t="s">
        <v>657</v>
      </c>
      <c r="E120" s="852" t="s">
        <v>657</v>
      </c>
      <c r="F120" s="852" t="s">
        <v>657</v>
      </c>
      <c r="G120" s="849" t="s">
        <v>657</v>
      </c>
      <c r="H120" s="850" t="s">
        <v>657</v>
      </c>
      <c r="I120" s="887"/>
      <c r="J120" s="853" t="s">
        <v>657</v>
      </c>
      <c r="K120" s="538"/>
      <c r="L120" s="533" t="s">
        <v>657</v>
      </c>
      <c r="M120" s="539" t="s">
        <v>657</v>
      </c>
      <c r="N120" s="539" t="s">
        <v>657</v>
      </c>
      <c r="O120" s="529" t="s">
        <v>657</v>
      </c>
      <c r="P120" s="530" t="s">
        <v>657</v>
      </c>
      <c r="Q120" s="540" t="s">
        <v>657</v>
      </c>
      <c r="R120" s="538"/>
      <c r="S120" s="533" t="s">
        <v>657</v>
      </c>
      <c r="T120" s="539" t="s">
        <v>657</v>
      </c>
      <c r="U120" s="539" t="s">
        <v>657</v>
      </c>
      <c r="V120" s="529" t="s">
        <v>657</v>
      </c>
      <c r="W120" s="530" t="s">
        <v>657</v>
      </c>
      <c r="X120" s="540" t="s">
        <v>657</v>
      </c>
    </row>
    <row r="121" spans="1:24" s="512" customFormat="1" x14ac:dyDescent="0.25">
      <c r="A121" s="535">
        <f t="shared" si="1"/>
        <v>-75</v>
      </c>
      <c r="B121" s="846" t="s">
        <v>657</v>
      </c>
      <c r="C121" s="537"/>
      <c r="D121" s="854" t="s">
        <v>657</v>
      </c>
      <c r="E121" s="852" t="s">
        <v>657</v>
      </c>
      <c r="F121" s="852" t="s">
        <v>657</v>
      </c>
      <c r="G121" s="849" t="s">
        <v>657</v>
      </c>
      <c r="H121" s="850" t="s">
        <v>657</v>
      </c>
      <c r="I121" s="887"/>
      <c r="J121" s="853" t="s">
        <v>657</v>
      </c>
      <c r="K121" s="538"/>
      <c r="L121" s="533" t="s">
        <v>657</v>
      </c>
      <c r="M121" s="539" t="s">
        <v>657</v>
      </c>
      <c r="N121" s="539" t="s">
        <v>657</v>
      </c>
      <c r="O121" s="529" t="s">
        <v>657</v>
      </c>
      <c r="P121" s="530" t="s">
        <v>657</v>
      </c>
      <c r="Q121" s="540" t="s">
        <v>657</v>
      </c>
      <c r="R121" s="538"/>
      <c r="S121" s="533" t="s">
        <v>657</v>
      </c>
      <c r="T121" s="539" t="s">
        <v>657</v>
      </c>
      <c r="U121" s="539" t="s">
        <v>657</v>
      </c>
      <c r="V121" s="529" t="s">
        <v>657</v>
      </c>
      <c r="W121" s="530" t="s">
        <v>657</v>
      </c>
      <c r="X121" s="540" t="s">
        <v>657</v>
      </c>
    </row>
    <row r="122" spans="1:24" s="512" customFormat="1" x14ac:dyDescent="0.25">
      <c r="A122" s="535">
        <f t="shared" si="1"/>
        <v>-76</v>
      </c>
      <c r="B122" s="846" t="s">
        <v>657</v>
      </c>
      <c r="C122" s="537"/>
      <c r="D122" s="854" t="s">
        <v>657</v>
      </c>
      <c r="E122" s="852" t="s">
        <v>657</v>
      </c>
      <c r="F122" s="852" t="s">
        <v>657</v>
      </c>
      <c r="G122" s="849" t="s">
        <v>657</v>
      </c>
      <c r="H122" s="850" t="s">
        <v>657</v>
      </c>
      <c r="I122" s="887"/>
      <c r="J122" s="853" t="s">
        <v>657</v>
      </c>
      <c r="K122" s="538"/>
      <c r="L122" s="533" t="s">
        <v>657</v>
      </c>
      <c r="M122" s="539" t="s">
        <v>657</v>
      </c>
      <c r="N122" s="539" t="s">
        <v>657</v>
      </c>
      <c r="O122" s="529" t="s">
        <v>657</v>
      </c>
      <c r="P122" s="530" t="s">
        <v>657</v>
      </c>
      <c r="Q122" s="540" t="s">
        <v>657</v>
      </c>
      <c r="R122" s="538"/>
      <c r="S122" s="533" t="s">
        <v>657</v>
      </c>
      <c r="T122" s="539" t="s">
        <v>657</v>
      </c>
      <c r="U122" s="539" t="s">
        <v>657</v>
      </c>
      <c r="V122" s="529" t="s">
        <v>657</v>
      </c>
      <c r="W122" s="530" t="s">
        <v>657</v>
      </c>
      <c r="X122" s="540" t="s">
        <v>657</v>
      </c>
    </row>
    <row r="123" spans="1:24" s="512" customFormat="1" x14ac:dyDescent="0.25">
      <c r="A123" s="535">
        <f t="shared" si="1"/>
        <v>-77</v>
      </c>
      <c r="B123" s="846" t="s">
        <v>657</v>
      </c>
      <c r="C123" s="537"/>
      <c r="D123" s="854" t="s">
        <v>657</v>
      </c>
      <c r="E123" s="852" t="s">
        <v>657</v>
      </c>
      <c r="F123" s="852" t="s">
        <v>657</v>
      </c>
      <c r="G123" s="849" t="s">
        <v>657</v>
      </c>
      <c r="H123" s="850" t="s">
        <v>657</v>
      </c>
      <c r="I123" s="887"/>
      <c r="J123" s="853" t="s">
        <v>657</v>
      </c>
      <c r="K123" s="538"/>
      <c r="L123" s="533" t="s">
        <v>657</v>
      </c>
      <c r="M123" s="539" t="s">
        <v>657</v>
      </c>
      <c r="N123" s="539" t="s">
        <v>657</v>
      </c>
      <c r="O123" s="529" t="s">
        <v>657</v>
      </c>
      <c r="P123" s="530" t="s">
        <v>657</v>
      </c>
      <c r="Q123" s="540" t="s">
        <v>657</v>
      </c>
      <c r="R123" s="538"/>
      <c r="S123" s="533" t="s">
        <v>657</v>
      </c>
      <c r="T123" s="539" t="s">
        <v>657</v>
      </c>
      <c r="U123" s="539" t="s">
        <v>657</v>
      </c>
      <c r="V123" s="529" t="s">
        <v>657</v>
      </c>
      <c r="W123" s="530" t="s">
        <v>657</v>
      </c>
      <c r="X123" s="540" t="s">
        <v>657</v>
      </c>
    </row>
    <row r="124" spans="1:24" s="512" customFormat="1" x14ac:dyDescent="0.25">
      <c r="A124" s="535">
        <f t="shared" si="1"/>
        <v>-78</v>
      </c>
      <c r="B124" s="846" t="s">
        <v>657</v>
      </c>
      <c r="C124" s="537"/>
      <c r="D124" s="854" t="s">
        <v>657</v>
      </c>
      <c r="E124" s="852" t="s">
        <v>657</v>
      </c>
      <c r="F124" s="852" t="s">
        <v>657</v>
      </c>
      <c r="G124" s="849" t="s">
        <v>657</v>
      </c>
      <c r="H124" s="850" t="s">
        <v>657</v>
      </c>
      <c r="I124" s="887"/>
      <c r="J124" s="853" t="s">
        <v>657</v>
      </c>
      <c r="K124" s="538"/>
      <c r="L124" s="533" t="s">
        <v>657</v>
      </c>
      <c r="M124" s="539" t="s">
        <v>657</v>
      </c>
      <c r="N124" s="539" t="s">
        <v>657</v>
      </c>
      <c r="O124" s="529" t="s">
        <v>657</v>
      </c>
      <c r="P124" s="530" t="s">
        <v>657</v>
      </c>
      <c r="Q124" s="540" t="s">
        <v>657</v>
      </c>
      <c r="R124" s="538"/>
      <c r="S124" s="533" t="s">
        <v>657</v>
      </c>
      <c r="T124" s="539" t="s">
        <v>657</v>
      </c>
      <c r="U124" s="539" t="s">
        <v>657</v>
      </c>
      <c r="V124" s="529" t="s">
        <v>657</v>
      </c>
      <c r="W124" s="530" t="s">
        <v>657</v>
      </c>
      <c r="X124" s="540" t="s">
        <v>657</v>
      </c>
    </row>
    <row r="125" spans="1:24" s="512" customFormat="1" x14ac:dyDescent="0.25">
      <c r="A125" s="535">
        <f t="shared" si="1"/>
        <v>-79</v>
      </c>
      <c r="B125" s="846" t="s">
        <v>657</v>
      </c>
      <c r="C125" s="537"/>
      <c r="D125" s="854" t="s">
        <v>657</v>
      </c>
      <c r="E125" s="852" t="s">
        <v>657</v>
      </c>
      <c r="F125" s="852" t="s">
        <v>657</v>
      </c>
      <c r="G125" s="849" t="s">
        <v>657</v>
      </c>
      <c r="H125" s="850" t="s">
        <v>657</v>
      </c>
      <c r="I125" s="887"/>
      <c r="J125" s="853" t="s">
        <v>657</v>
      </c>
      <c r="K125" s="538"/>
      <c r="L125" s="533" t="s">
        <v>657</v>
      </c>
      <c r="M125" s="539" t="s">
        <v>657</v>
      </c>
      <c r="N125" s="539" t="s">
        <v>657</v>
      </c>
      <c r="O125" s="529" t="s">
        <v>657</v>
      </c>
      <c r="P125" s="530" t="s">
        <v>657</v>
      </c>
      <c r="Q125" s="540" t="s">
        <v>657</v>
      </c>
      <c r="R125" s="538"/>
      <c r="S125" s="533" t="s">
        <v>657</v>
      </c>
      <c r="T125" s="539" t="s">
        <v>657</v>
      </c>
      <c r="U125" s="539" t="s">
        <v>657</v>
      </c>
      <c r="V125" s="529" t="s">
        <v>657</v>
      </c>
      <c r="W125" s="530" t="s">
        <v>657</v>
      </c>
      <c r="X125" s="540" t="s">
        <v>657</v>
      </c>
    </row>
    <row r="126" spans="1:24" s="512" customFormat="1" x14ac:dyDescent="0.25">
      <c r="A126" s="535">
        <f t="shared" si="1"/>
        <v>-80</v>
      </c>
      <c r="B126" s="846" t="s">
        <v>657</v>
      </c>
      <c r="C126" s="537"/>
      <c r="D126" s="854" t="s">
        <v>657</v>
      </c>
      <c r="E126" s="852" t="s">
        <v>657</v>
      </c>
      <c r="F126" s="852" t="s">
        <v>657</v>
      </c>
      <c r="G126" s="849" t="s">
        <v>657</v>
      </c>
      <c r="H126" s="850" t="s">
        <v>657</v>
      </c>
      <c r="I126" s="887"/>
      <c r="J126" s="853" t="s">
        <v>657</v>
      </c>
      <c r="K126" s="538"/>
      <c r="L126" s="533" t="s">
        <v>657</v>
      </c>
      <c r="M126" s="539" t="s">
        <v>657</v>
      </c>
      <c r="N126" s="539" t="s">
        <v>657</v>
      </c>
      <c r="O126" s="529" t="s">
        <v>657</v>
      </c>
      <c r="P126" s="530" t="s">
        <v>657</v>
      </c>
      <c r="Q126" s="540" t="s">
        <v>657</v>
      </c>
      <c r="R126" s="538"/>
      <c r="S126" s="533" t="s">
        <v>657</v>
      </c>
      <c r="T126" s="539" t="s">
        <v>657</v>
      </c>
      <c r="U126" s="539" t="s">
        <v>657</v>
      </c>
      <c r="V126" s="529" t="s">
        <v>657</v>
      </c>
      <c r="W126" s="530" t="s">
        <v>657</v>
      </c>
      <c r="X126" s="540" t="s">
        <v>657</v>
      </c>
    </row>
    <row r="127" spans="1:24" s="512" customFormat="1" x14ac:dyDescent="0.25">
      <c r="A127" s="535">
        <f t="shared" si="1"/>
        <v>-81</v>
      </c>
      <c r="B127" s="846" t="s">
        <v>657</v>
      </c>
      <c r="C127" s="537"/>
      <c r="D127" s="854" t="s">
        <v>657</v>
      </c>
      <c r="E127" s="852" t="s">
        <v>657</v>
      </c>
      <c r="F127" s="852" t="s">
        <v>657</v>
      </c>
      <c r="G127" s="849" t="s">
        <v>657</v>
      </c>
      <c r="H127" s="850" t="s">
        <v>657</v>
      </c>
      <c r="I127" s="887"/>
      <c r="J127" s="853" t="s">
        <v>657</v>
      </c>
      <c r="K127" s="538"/>
      <c r="L127" s="533" t="s">
        <v>657</v>
      </c>
      <c r="M127" s="539" t="s">
        <v>657</v>
      </c>
      <c r="N127" s="539" t="s">
        <v>657</v>
      </c>
      <c r="O127" s="529" t="s">
        <v>657</v>
      </c>
      <c r="P127" s="530" t="s">
        <v>657</v>
      </c>
      <c r="Q127" s="540" t="s">
        <v>657</v>
      </c>
      <c r="R127" s="538"/>
      <c r="S127" s="533" t="s">
        <v>657</v>
      </c>
      <c r="T127" s="539" t="s">
        <v>657</v>
      </c>
      <c r="U127" s="539" t="s">
        <v>657</v>
      </c>
      <c r="V127" s="529" t="s">
        <v>657</v>
      </c>
      <c r="W127" s="530" t="s">
        <v>657</v>
      </c>
      <c r="X127" s="540" t="s">
        <v>657</v>
      </c>
    </row>
    <row r="128" spans="1:24" s="512" customFormat="1" x14ac:dyDescent="0.25">
      <c r="A128" s="535">
        <f t="shared" si="1"/>
        <v>-82</v>
      </c>
      <c r="B128" s="846" t="s">
        <v>657</v>
      </c>
      <c r="C128" s="537"/>
      <c r="D128" s="854" t="s">
        <v>657</v>
      </c>
      <c r="E128" s="852" t="s">
        <v>657</v>
      </c>
      <c r="F128" s="852" t="s">
        <v>657</v>
      </c>
      <c r="G128" s="849" t="s">
        <v>657</v>
      </c>
      <c r="H128" s="850" t="s">
        <v>657</v>
      </c>
      <c r="I128" s="887"/>
      <c r="J128" s="853" t="s">
        <v>657</v>
      </c>
      <c r="K128" s="538"/>
      <c r="L128" s="533" t="s">
        <v>657</v>
      </c>
      <c r="M128" s="539" t="s">
        <v>657</v>
      </c>
      <c r="N128" s="539" t="s">
        <v>657</v>
      </c>
      <c r="O128" s="529" t="s">
        <v>657</v>
      </c>
      <c r="P128" s="530" t="s">
        <v>657</v>
      </c>
      <c r="Q128" s="540" t="s">
        <v>657</v>
      </c>
      <c r="R128" s="538"/>
      <c r="S128" s="533" t="s">
        <v>657</v>
      </c>
      <c r="T128" s="539" t="s">
        <v>657</v>
      </c>
      <c r="U128" s="539" t="s">
        <v>657</v>
      </c>
      <c r="V128" s="529" t="s">
        <v>657</v>
      </c>
      <c r="W128" s="530" t="s">
        <v>657</v>
      </c>
      <c r="X128" s="540" t="s">
        <v>657</v>
      </c>
    </row>
    <row r="129" spans="1:24" s="512" customFormat="1" x14ac:dyDescent="0.25">
      <c r="A129" s="535">
        <f t="shared" si="1"/>
        <v>-83</v>
      </c>
      <c r="B129" s="846" t="s">
        <v>657</v>
      </c>
      <c r="C129" s="537"/>
      <c r="D129" s="854" t="s">
        <v>657</v>
      </c>
      <c r="E129" s="852" t="s">
        <v>657</v>
      </c>
      <c r="F129" s="852" t="s">
        <v>657</v>
      </c>
      <c r="G129" s="849" t="s">
        <v>657</v>
      </c>
      <c r="H129" s="850" t="s">
        <v>657</v>
      </c>
      <c r="I129" s="887"/>
      <c r="J129" s="853" t="s">
        <v>657</v>
      </c>
      <c r="K129" s="538"/>
      <c r="L129" s="533" t="s">
        <v>657</v>
      </c>
      <c r="M129" s="539" t="s">
        <v>657</v>
      </c>
      <c r="N129" s="539" t="s">
        <v>657</v>
      </c>
      <c r="O129" s="529" t="s">
        <v>657</v>
      </c>
      <c r="P129" s="530" t="s">
        <v>657</v>
      </c>
      <c r="Q129" s="540" t="s">
        <v>657</v>
      </c>
      <c r="R129" s="538"/>
      <c r="S129" s="533" t="s">
        <v>657</v>
      </c>
      <c r="T129" s="539" t="s">
        <v>657</v>
      </c>
      <c r="U129" s="539" t="s">
        <v>657</v>
      </c>
      <c r="V129" s="529" t="s">
        <v>657</v>
      </c>
      <c r="W129" s="530" t="s">
        <v>657</v>
      </c>
      <c r="X129" s="540" t="s">
        <v>657</v>
      </c>
    </row>
    <row r="130" spans="1:24" s="512" customFormat="1" x14ac:dyDescent="0.25">
      <c r="A130" s="535">
        <f t="shared" si="1"/>
        <v>-84</v>
      </c>
      <c r="B130" s="846" t="s">
        <v>657</v>
      </c>
      <c r="C130" s="537"/>
      <c r="D130" s="854" t="s">
        <v>657</v>
      </c>
      <c r="E130" s="852" t="s">
        <v>657</v>
      </c>
      <c r="F130" s="852" t="s">
        <v>657</v>
      </c>
      <c r="G130" s="849" t="s">
        <v>657</v>
      </c>
      <c r="H130" s="850" t="s">
        <v>657</v>
      </c>
      <c r="I130" s="887"/>
      <c r="J130" s="853" t="s">
        <v>657</v>
      </c>
      <c r="K130" s="538"/>
      <c r="L130" s="533" t="s">
        <v>657</v>
      </c>
      <c r="M130" s="539" t="s">
        <v>657</v>
      </c>
      <c r="N130" s="539" t="s">
        <v>657</v>
      </c>
      <c r="O130" s="529" t="s">
        <v>657</v>
      </c>
      <c r="P130" s="530" t="s">
        <v>657</v>
      </c>
      <c r="Q130" s="540" t="s">
        <v>657</v>
      </c>
      <c r="R130" s="538"/>
      <c r="S130" s="533" t="s">
        <v>657</v>
      </c>
      <c r="T130" s="539" t="s">
        <v>657</v>
      </c>
      <c r="U130" s="539" t="s">
        <v>657</v>
      </c>
      <c r="V130" s="529" t="s">
        <v>657</v>
      </c>
      <c r="W130" s="530" t="s">
        <v>657</v>
      </c>
      <c r="X130" s="540" t="s">
        <v>657</v>
      </c>
    </row>
    <row r="131" spans="1:24" s="512" customFormat="1" x14ac:dyDescent="0.25">
      <c r="A131" s="535">
        <f t="shared" si="1"/>
        <v>-85</v>
      </c>
      <c r="B131" s="846" t="s">
        <v>657</v>
      </c>
      <c r="C131" s="537"/>
      <c r="D131" s="854" t="s">
        <v>657</v>
      </c>
      <c r="E131" s="852" t="s">
        <v>657</v>
      </c>
      <c r="F131" s="852" t="s">
        <v>657</v>
      </c>
      <c r="G131" s="849" t="s">
        <v>657</v>
      </c>
      <c r="H131" s="850" t="s">
        <v>657</v>
      </c>
      <c r="I131" s="887"/>
      <c r="J131" s="853" t="s">
        <v>657</v>
      </c>
      <c r="K131" s="538"/>
      <c r="L131" s="533" t="s">
        <v>657</v>
      </c>
      <c r="M131" s="539" t="s">
        <v>657</v>
      </c>
      <c r="N131" s="539" t="s">
        <v>657</v>
      </c>
      <c r="O131" s="529" t="s">
        <v>657</v>
      </c>
      <c r="P131" s="530" t="s">
        <v>657</v>
      </c>
      <c r="Q131" s="540" t="s">
        <v>657</v>
      </c>
      <c r="R131" s="538"/>
      <c r="S131" s="533" t="s">
        <v>657</v>
      </c>
      <c r="T131" s="539" t="s">
        <v>657</v>
      </c>
      <c r="U131" s="539" t="s">
        <v>657</v>
      </c>
      <c r="V131" s="529" t="s">
        <v>657</v>
      </c>
      <c r="W131" s="530" t="s">
        <v>657</v>
      </c>
      <c r="X131" s="540" t="s">
        <v>657</v>
      </c>
    </row>
    <row r="132" spans="1:24" s="512" customFormat="1" x14ac:dyDescent="0.25">
      <c r="A132" s="535">
        <f t="shared" si="1"/>
        <v>-86</v>
      </c>
      <c r="B132" s="846" t="s">
        <v>657</v>
      </c>
      <c r="C132" s="537"/>
      <c r="D132" s="854" t="s">
        <v>657</v>
      </c>
      <c r="E132" s="852" t="s">
        <v>657</v>
      </c>
      <c r="F132" s="852" t="s">
        <v>657</v>
      </c>
      <c r="G132" s="849" t="s">
        <v>657</v>
      </c>
      <c r="H132" s="850" t="s">
        <v>657</v>
      </c>
      <c r="I132" s="887"/>
      <c r="J132" s="853" t="s">
        <v>657</v>
      </c>
      <c r="K132" s="538"/>
      <c r="L132" s="533" t="s">
        <v>657</v>
      </c>
      <c r="M132" s="539" t="s">
        <v>657</v>
      </c>
      <c r="N132" s="539" t="s">
        <v>657</v>
      </c>
      <c r="O132" s="529" t="s">
        <v>657</v>
      </c>
      <c r="P132" s="530" t="s">
        <v>657</v>
      </c>
      <c r="Q132" s="540" t="s">
        <v>657</v>
      </c>
      <c r="R132" s="538"/>
      <c r="S132" s="533" t="s">
        <v>657</v>
      </c>
      <c r="T132" s="539" t="s">
        <v>657</v>
      </c>
      <c r="U132" s="539" t="s">
        <v>657</v>
      </c>
      <c r="V132" s="529" t="s">
        <v>657</v>
      </c>
      <c r="W132" s="530" t="s">
        <v>657</v>
      </c>
      <c r="X132" s="540" t="s">
        <v>657</v>
      </c>
    </row>
    <row r="133" spans="1:24" s="512" customFormat="1" x14ac:dyDescent="0.25">
      <c r="A133" s="535">
        <f t="shared" si="1"/>
        <v>-87</v>
      </c>
      <c r="B133" s="846" t="s">
        <v>657</v>
      </c>
      <c r="C133" s="537"/>
      <c r="D133" s="854" t="s">
        <v>657</v>
      </c>
      <c r="E133" s="852" t="s">
        <v>657</v>
      </c>
      <c r="F133" s="852" t="s">
        <v>657</v>
      </c>
      <c r="G133" s="849" t="s">
        <v>657</v>
      </c>
      <c r="H133" s="850" t="s">
        <v>657</v>
      </c>
      <c r="I133" s="887"/>
      <c r="J133" s="853" t="s">
        <v>657</v>
      </c>
      <c r="K133" s="538"/>
      <c r="L133" s="533" t="s">
        <v>657</v>
      </c>
      <c r="M133" s="539" t="s">
        <v>657</v>
      </c>
      <c r="N133" s="539" t="s">
        <v>657</v>
      </c>
      <c r="O133" s="529" t="s">
        <v>657</v>
      </c>
      <c r="P133" s="530" t="s">
        <v>657</v>
      </c>
      <c r="Q133" s="540" t="s">
        <v>657</v>
      </c>
      <c r="R133" s="538"/>
      <c r="S133" s="533" t="s">
        <v>657</v>
      </c>
      <c r="T133" s="539" t="s">
        <v>657</v>
      </c>
      <c r="U133" s="539" t="s">
        <v>657</v>
      </c>
      <c r="V133" s="529" t="s">
        <v>657</v>
      </c>
      <c r="W133" s="530" t="s">
        <v>657</v>
      </c>
      <c r="X133" s="540" t="s">
        <v>657</v>
      </c>
    </row>
    <row r="134" spans="1:24" s="512" customFormat="1" x14ac:dyDescent="0.25">
      <c r="A134" s="535">
        <f t="shared" si="1"/>
        <v>-88</v>
      </c>
      <c r="B134" s="846" t="s">
        <v>657</v>
      </c>
      <c r="C134" s="537"/>
      <c r="D134" s="854" t="s">
        <v>657</v>
      </c>
      <c r="E134" s="852" t="s">
        <v>657</v>
      </c>
      <c r="F134" s="852" t="s">
        <v>657</v>
      </c>
      <c r="G134" s="849" t="s">
        <v>657</v>
      </c>
      <c r="H134" s="850" t="s">
        <v>657</v>
      </c>
      <c r="I134" s="887"/>
      <c r="J134" s="853" t="s">
        <v>657</v>
      </c>
      <c r="K134" s="538"/>
      <c r="L134" s="533" t="s">
        <v>657</v>
      </c>
      <c r="M134" s="539" t="s">
        <v>657</v>
      </c>
      <c r="N134" s="539" t="s">
        <v>657</v>
      </c>
      <c r="O134" s="529" t="s">
        <v>657</v>
      </c>
      <c r="P134" s="530" t="s">
        <v>657</v>
      </c>
      <c r="Q134" s="540" t="s">
        <v>657</v>
      </c>
      <c r="R134" s="538"/>
      <c r="S134" s="533" t="s">
        <v>657</v>
      </c>
      <c r="T134" s="539" t="s">
        <v>657</v>
      </c>
      <c r="U134" s="539" t="s">
        <v>657</v>
      </c>
      <c r="V134" s="529" t="s">
        <v>657</v>
      </c>
      <c r="W134" s="530" t="s">
        <v>657</v>
      </c>
      <c r="X134" s="540" t="s">
        <v>657</v>
      </c>
    </row>
    <row r="135" spans="1:24" s="512" customFormat="1" x14ac:dyDescent="0.25">
      <c r="A135" s="535">
        <f t="shared" si="1"/>
        <v>-89</v>
      </c>
      <c r="B135" s="846" t="s">
        <v>657</v>
      </c>
      <c r="C135" s="537"/>
      <c r="D135" s="854" t="s">
        <v>657</v>
      </c>
      <c r="E135" s="852" t="s">
        <v>657</v>
      </c>
      <c r="F135" s="852" t="s">
        <v>657</v>
      </c>
      <c r="G135" s="849" t="s">
        <v>657</v>
      </c>
      <c r="H135" s="850" t="s">
        <v>657</v>
      </c>
      <c r="I135" s="887"/>
      <c r="J135" s="853" t="s">
        <v>657</v>
      </c>
      <c r="K135" s="538"/>
      <c r="L135" s="533" t="s">
        <v>657</v>
      </c>
      <c r="M135" s="539" t="s">
        <v>657</v>
      </c>
      <c r="N135" s="539" t="s">
        <v>657</v>
      </c>
      <c r="O135" s="529" t="s">
        <v>657</v>
      </c>
      <c r="P135" s="530" t="s">
        <v>657</v>
      </c>
      <c r="Q135" s="540" t="s">
        <v>657</v>
      </c>
      <c r="R135" s="538"/>
      <c r="S135" s="533" t="s">
        <v>657</v>
      </c>
      <c r="T135" s="539" t="s">
        <v>657</v>
      </c>
      <c r="U135" s="539" t="s">
        <v>657</v>
      </c>
      <c r="V135" s="529" t="s">
        <v>657</v>
      </c>
      <c r="W135" s="530" t="s">
        <v>657</v>
      </c>
      <c r="X135" s="540" t="s">
        <v>657</v>
      </c>
    </row>
    <row r="136" spans="1:24" s="512" customFormat="1" x14ac:dyDescent="0.25">
      <c r="A136" s="535">
        <f t="shared" si="1"/>
        <v>-90</v>
      </c>
      <c r="B136" s="846" t="s">
        <v>657</v>
      </c>
      <c r="C136" s="537"/>
      <c r="D136" s="854" t="s">
        <v>657</v>
      </c>
      <c r="E136" s="852" t="s">
        <v>657</v>
      </c>
      <c r="F136" s="852" t="s">
        <v>657</v>
      </c>
      <c r="G136" s="849" t="s">
        <v>657</v>
      </c>
      <c r="H136" s="850" t="s">
        <v>657</v>
      </c>
      <c r="I136" s="887"/>
      <c r="J136" s="853" t="s">
        <v>657</v>
      </c>
      <c r="K136" s="538"/>
      <c r="L136" s="533" t="s">
        <v>657</v>
      </c>
      <c r="M136" s="539" t="s">
        <v>657</v>
      </c>
      <c r="N136" s="539" t="s">
        <v>657</v>
      </c>
      <c r="O136" s="529" t="s">
        <v>657</v>
      </c>
      <c r="P136" s="530" t="s">
        <v>657</v>
      </c>
      <c r="Q136" s="540" t="s">
        <v>657</v>
      </c>
      <c r="R136" s="538"/>
      <c r="S136" s="533" t="s">
        <v>657</v>
      </c>
      <c r="T136" s="539" t="s">
        <v>657</v>
      </c>
      <c r="U136" s="539" t="s">
        <v>657</v>
      </c>
      <c r="V136" s="529" t="s">
        <v>657</v>
      </c>
      <c r="W136" s="530" t="s">
        <v>657</v>
      </c>
      <c r="X136" s="540" t="s">
        <v>657</v>
      </c>
    </row>
    <row r="137" spans="1:24" s="512" customFormat="1" x14ac:dyDescent="0.25">
      <c r="A137" s="535">
        <f t="shared" si="1"/>
        <v>-91</v>
      </c>
      <c r="B137" s="846" t="s">
        <v>657</v>
      </c>
      <c r="C137" s="537"/>
      <c r="D137" s="854" t="s">
        <v>657</v>
      </c>
      <c r="E137" s="852" t="s">
        <v>657</v>
      </c>
      <c r="F137" s="852" t="s">
        <v>657</v>
      </c>
      <c r="G137" s="849" t="s">
        <v>657</v>
      </c>
      <c r="H137" s="850" t="s">
        <v>657</v>
      </c>
      <c r="I137" s="887"/>
      <c r="J137" s="853" t="s">
        <v>657</v>
      </c>
      <c r="K137" s="538"/>
      <c r="L137" s="533" t="s">
        <v>657</v>
      </c>
      <c r="M137" s="539" t="s">
        <v>657</v>
      </c>
      <c r="N137" s="539" t="s">
        <v>657</v>
      </c>
      <c r="O137" s="529" t="s">
        <v>657</v>
      </c>
      <c r="P137" s="530" t="s">
        <v>657</v>
      </c>
      <c r="Q137" s="540" t="s">
        <v>657</v>
      </c>
      <c r="R137" s="538"/>
      <c r="S137" s="533" t="s">
        <v>657</v>
      </c>
      <c r="T137" s="539" t="s">
        <v>657</v>
      </c>
      <c r="U137" s="539" t="s">
        <v>657</v>
      </c>
      <c r="V137" s="529" t="s">
        <v>657</v>
      </c>
      <c r="W137" s="530" t="s">
        <v>657</v>
      </c>
      <c r="X137" s="540" t="s">
        <v>657</v>
      </c>
    </row>
    <row r="138" spans="1:24" s="512" customFormat="1" x14ac:dyDescent="0.25">
      <c r="A138" s="535">
        <f t="shared" si="1"/>
        <v>-92</v>
      </c>
      <c r="B138" s="846" t="s">
        <v>657</v>
      </c>
      <c r="C138" s="537"/>
      <c r="D138" s="854" t="s">
        <v>657</v>
      </c>
      <c r="E138" s="852" t="s">
        <v>657</v>
      </c>
      <c r="F138" s="852" t="s">
        <v>657</v>
      </c>
      <c r="G138" s="849" t="s">
        <v>657</v>
      </c>
      <c r="H138" s="850" t="s">
        <v>657</v>
      </c>
      <c r="I138" s="887"/>
      <c r="J138" s="853" t="s">
        <v>657</v>
      </c>
      <c r="K138" s="538"/>
      <c r="L138" s="533" t="s">
        <v>657</v>
      </c>
      <c r="M138" s="539" t="s">
        <v>657</v>
      </c>
      <c r="N138" s="539" t="s">
        <v>657</v>
      </c>
      <c r="O138" s="529" t="s">
        <v>657</v>
      </c>
      <c r="P138" s="530" t="s">
        <v>657</v>
      </c>
      <c r="Q138" s="540" t="s">
        <v>657</v>
      </c>
      <c r="R138" s="538"/>
      <c r="S138" s="533" t="s">
        <v>657</v>
      </c>
      <c r="T138" s="539" t="s">
        <v>657</v>
      </c>
      <c r="U138" s="539" t="s">
        <v>657</v>
      </c>
      <c r="V138" s="529" t="s">
        <v>657</v>
      </c>
      <c r="W138" s="530" t="s">
        <v>657</v>
      </c>
      <c r="X138" s="540" t="s">
        <v>657</v>
      </c>
    </row>
    <row r="139" spans="1:24" s="512" customFormat="1" x14ac:dyDescent="0.25">
      <c r="A139" s="535">
        <f t="shared" si="1"/>
        <v>-93</v>
      </c>
      <c r="B139" s="846" t="s">
        <v>657</v>
      </c>
      <c r="C139" s="537"/>
      <c r="D139" s="854" t="s">
        <v>657</v>
      </c>
      <c r="E139" s="852" t="s">
        <v>657</v>
      </c>
      <c r="F139" s="852" t="s">
        <v>657</v>
      </c>
      <c r="G139" s="849" t="s">
        <v>657</v>
      </c>
      <c r="H139" s="850" t="s">
        <v>657</v>
      </c>
      <c r="I139" s="887"/>
      <c r="J139" s="853" t="s">
        <v>657</v>
      </c>
      <c r="K139" s="538"/>
      <c r="L139" s="533" t="s">
        <v>657</v>
      </c>
      <c r="M139" s="539" t="s">
        <v>657</v>
      </c>
      <c r="N139" s="539" t="s">
        <v>657</v>
      </c>
      <c r="O139" s="529" t="s">
        <v>657</v>
      </c>
      <c r="P139" s="530" t="s">
        <v>657</v>
      </c>
      <c r="Q139" s="540" t="s">
        <v>657</v>
      </c>
      <c r="R139" s="538"/>
      <c r="S139" s="533" t="s">
        <v>657</v>
      </c>
      <c r="T139" s="539" t="s">
        <v>657</v>
      </c>
      <c r="U139" s="539" t="s">
        <v>657</v>
      </c>
      <c r="V139" s="529" t="s">
        <v>657</v>
      </c>
      <c r="W139" s="530" t="s">
        <v>657</v>
      </c>
      <c r="X139" s="540" t="s">
        <v>657</v>
      </c>
    </row>
    <row r="140" spans="1:24" s="512" customFormat="1" x14ac:dyDescent="0.25">
      <c r="A140" s="535">
        <f t="shared" si="1"/>
        <v>-94</v>
      </c>
      <c r="B140" s="846" t="s">
        <v>657</v>
      </c>
      <c r="C140" s="537"/>
      <c r="D140" s="854" t="s">
        <v>657</v>
      </c>
      <c r="E140" s="852" t="s">
        <v>657</v>
      </c>
      <c r="F140" s="852" t="s">
        <v>657</v>
      </c>
      <c r="G140" s="849" t="s">
        <v>657</v>
      </c>
      <c r="H140" s="850" t="s">
        <v>657</v>
      </c>
      <c r="I140" s="887"/>
      <c r="J140" s="853" t="s">
        <v>657</v>
      </c>
      <c r="K140" s="538"/>
      <c r="L140" s="533" t="s">
        <v>657</v>
      </c>
      <c r="M140" s="539" t="s">
        <v>657</v>
      </c>
      <c r="N140" s="539" t="s">
        <v>657</v>
      </c>
      <c r="O140" s="529" t="s">
        <v>657</v>
      </c>
      <c r="P140" s="530" t="s">
        <v>657</v>
      </c>
      <c r="Q140" s="540" t="s">
        <v>657</v>
      </c>
      <c r="R140" s="538"/>
      <c r="S140" s="533" t="s">
        <v>657</v>
      </c>
      <c r="T140" s="539" t="s">
        <v>657</v>
      </c>
      <c r="U140" s="539" t="s">
        <v>657</v>
      </c>
      <c r="V140" s="529" t="s">
        <v>657</v>
      </c>
      <c r="W140" s="530" t="s">
        <v>657</v>
      </c>
      <c r="X140" s="540" t="s">
        <v>657</v>
      </c>
    </row>
    <row r="141" spans="1:24" s="512" customFormat="1" x14ac:dyDescent="0.25">
      <c r="A141" s="535">
        <f t="shared" si="1"/>
        <v>-95</v>
      </c>
      <c r="B141" s="846" t="s">
        <v>657</v>
      </c>
      <c r="C141" s="537"/>
      <c r="D141" s="854" t="s">
        <v>657</v>
      </c>
      <c r="E141" s="852" t="s">
        <v>657</v>
      </c>
      <c r="F141" s="852" t="s">
        <v>657</v>
      </c>
      <c r="G141" s="849" t="s">
        <v>657</v>
      </c>
      <c r="H141" s="850" t="s">
        <v>657</v>
      </c>
      <c r="I141" s="887"/>
      <c r="J141" s="853" t="s">
        <v>657</v>
      </c>
      <c r="K141" s="538"/>
      <c r="L141" s="533" t="s">
        <v>657</v>
      </c>
      <c r="M141" s="539" t="s">
        <v>657</v>
      </c>
      <c r="N141" s="539" t="s">
        <v>657</v>
      </c>
      <c r="O141" s="529" t="s">
        <v>657</v>
      </c>
      <c r="P141" s="530" t="s">
        <v>657</v>
      </c>
      <c r="Q141" s="540" t="s">
        <v>657</v>
      </c>
      <c r="R141" s="538"/>
      <c r="S141" s="533" t="s">
        <v>657</v>
      </c>
      <c r="T141" s="539" t="s">
        <v>657</v>
      </c>
      <c r="U141" s="539" t="s">
        <v>657</v>
      </c>
      <c r="V141" s="529" t="s">
        <v>657</v>
      </c>
      <c r="W141" s="530" t="s">
        <v>657</v>
      </c>
      <c r="X141" s="540" t="s">
        <v>657</v>
      </c>
    </row>
    <row r="142" spans="1:24" s="512" customFormat="1" x14ac:dyDescent="0.25">
      <c r="A142" s="535">
        <f t="shared" si="1"/>
        <v>-96</v>
      </c>
      <c r="B142" s="846" t="s">
        <v>657</v>
      </c>
      <c r="C142" s="537"/>
      <c r="D142" s="854" t="s">
        <v>657</v>
      </c>
      <c r="E142" s="852" t="s">
        <v>657</v>
      </c>
      <c r="F142" s="852" t="s">
        <v>657</v>
      </c>
      <c r="G142" s="849" t="s">
        <v>657</v>
      </c>
      <c r="H142" s="850" t="s">
        <v>657</v>
      </c>
      <c r="I142" s="887"/>
      <c r="J142" s="853" t="s">
        <v>657</v>
      </c>
      <c r="K142" s="538"/>
      <c r="L142" s="533" t="s">
        <v>657</v>
      </c>
      <c r="M142" s="539" t="s">
        <v>657</v>
      </c>
      <c r="N142" s="539" t="s">
        <v>657</v>
      </c>
      <c r="O142" s="529" t="s">
        <v>657</v>
      </c>
      <c r="P142" s="530" t="s">
        <v>657</v>
      </c>
      <c r="Q142" s="540" t="s">
        <v>657</v>
      </c>
      <c r="R142" s="538"/>
      <c r="S142" s="533" t="s">
        <v>657</v>
      </c>
      <c r="T142" s="539" t="s">
        <v>657</v>
      </c>
      <c r="U142" s="539" t="s">
        <v>657</v>
      </c>
      <c r="V142" s="529" t="s">
        <v>657</v>
      </c>
      <c r="W142" s="530" t="s">
        <v>657</v>
      </c>
      <c r="X142" s="540" t="s">
        <v>657</v>
      </c>
    </row>
    <row r="143" spans="1:24" s="512" customFormat="1" x14ac:dyDescent="0.25">
      <c r="A143" s="535">
        <f t="shared" si="1"/>
        <v>-97</v>
      </c>
      <c r="B143" s="846" t="s">
        <v>657</v>
      </c>
      <c r="C143" s="537"/>
      <c r="D143" s="854" t="s">
        <v>657</v>
      </c>
      <c r="E143" s="852" t="s">
        <v>657</v>
      </c>
      <c r="F143" s="852" t="s">
        <v>657</v>
      </c>
      <c r="G143" s="849" t="s">
        <v>657</v>
      </c>
      <c r="H143" s="850" t="s">
        <v>657</v>
      </c>
      <c r="I143" s="887"/>
      <c r="J143" s="853" t="s">
        <v>657</v>
      </c>
      <c r="K143" s="538"/>
      <c r="L143" s="533" t="s">
        <v>657</v>
      </c>
      <c r="M143" s="539" t="s">
        <v>657</v>
      </c>
      <c r="N143" s="539" t="s">
        <v>657</v>
      </c>
      <c r="O143" s="529" t="s">
        <v>657</v>
      </c>
      <c r="P143" s="530" t="s">
        <v>657</v>
      </c>
      <c r="Q143" s="540" t="s">
        <v>657</v>
      </c>
      <c r="R143" s="538"/>
      <c r="S143" s="533" t="s">
        <v>657</v>
      </c>
      <c r="T143" s="539" t="s">
        <v>657</v>
      </c>
      <c r="U143" s="539" t="s">
        <v>657</v>
      </c>
      <c r="V143" s="529" t="s">
        <v>657</v>
      </c>
      <c r="W143" s="530" t="s">
        <v>657</v>
      </c>
      <c r="X143" s="540" t="s">
        <v>657</v>
      </c>
    </row>
    <row r="144" spans="1:24" s="512" customFormat="1" x14ac:dyDescent="0.25">
      <c r="A144" s="535">
        <f t="shared" si="1"/>
        <v>-98</v>
      </c>
      <c r="B144" s="846" t="s">
        <v>657</v>
      </c>
      <c r="C144" s="537"/>
      <c r="D144" s="854" t="s">
        <v>657</v>
      </c>
      <c r="E144" s="852" t="s">
        <v>657</v>
      </c>
      <c r="F144" s="852" t="s">
        <v>657</v>
      </c>
      <c r="G144" s="849" t="s">
        <v>657</v>
      </c>
      <c r="H144" s="850" t="s">
        <v>657</v>
      </c>
      <c r="I144" s="887"/>
      <c r="J144" s="853" t="s">
        <v>657</v>
      </c>
      <c r="K144" s="538"/>
      <c r="L144" s="533" t="s">
        <v>657</v>
      </c>
      <c r="M144" s="539" t="s">
        <v>657</v>
      </c>
      <c r="N144" s="539" t="s">
        <v>657</v>
      </c>
      <c r="O144" s="529" t="s">
        <v>657</v>
      </c>
      <c r="P144" s="530" t="s">
        <v>657</v>
      </c>
      <c r="Q144" s="540" t="s">
        <v>657</v>
      </c>
      <c r="R144" s="538"/>
      <c r="S144" s="533" t="s">
        <v>657</v>
      </c>
      <c r="T144" s="539" t="s">
        <v>657</v>
      </c>
      <c r="U144" s="539" t="s">
        <v>657</v>
      </c>
      <c r="V144" s="529" t="s">
        <v>657</v>
      </c>
      <c r="W144" s="530" t="s">
        <v>657</v>
      </c>
      <c r="X144" s="540" t="s">
        <v>657</v>
      </c>
    </row>
    <row r="145" spans="1:24" s="512" customFormat="1" x14ac:dyDescent="0.25">
      <c r="A145" s="535">
        <f t="shared" si="1"/>
        <v>-99</v>
      </c>
      <c r="B145" s="846" t="s">
        <v>657</v>
      </c>
      <c r="C145" s="537"/>
      <c r="D145" s="854" t="s">
        <v>657</v>
      </c>
      <c r="E145" s="852" t="s">
        <v>657</v>
      </c>
      <c r="F145" s="852" t="s">
        <v>657</v>
      </c>
      <c r="G145" s="849" t="s">
        <v>657</v>
      </c>
      <c r="H145" s="850" t="s">
        <v>657</v>
      </c>
      <c r="I145" s="887"/>
      <c r="J145" s="853" t="s">
        <v>657</v>
      </c>
      <c r="K145" s="538"/>
      <c r="L145" s="533" t="s">
        <v>657</v>
      </c>
      <c r="M145" s="539" t="s">
        <v>657</v>
      </c>
      <c r="N145" s="539" t="s">
        <v>657</v>
      </c>
      <c r="O145" s="529" t="s">
        <v>657</v>
      </c>
      <c r="P145" s="530" t="s">
        <v>657</v>
      </c>
      <c r="Q145" s="540" t="s">
        <v>657</v>
      </c>
      <c r="R145" s="538"/>
      <c r="S145" s="533" t="s">
        <v>657</v>
      </c>
      <c r="T145" s="539" t="s">
        <v>657</v>
      </c>
      <c r="U145" s="539" t="s">
        <v>657</v>
      </c>
      <c r="V145" s="529" t="s">
        <v>657</v>
      </c>
      <c r="W145" s="530" t="s">
        <v>657</v>
      </c>
      <c r="X145" s="540" t="s">
        <v>657</v>
      </c>
    </row>
    <row r="146" spans="1:24" s="512" customFormat="1" x14ac:dyDescent="0.25">
      <c r="A146" s="535">
        <f t="shared" si="1"/>
        <v>-100</v>
      </c>
      <c r="B146" s="846" t="s">
        <v>657</v>
      </c>
      <c r="C146" s="537"/>
      <c r="D146" s="854" t="s">
        <v>657</v>
      </c>
      <c r="E146" s="852" t="s">
        <v>657</v>
      </c>
      <c r="F146" s="852" t="s">
        <v>657</v>
      </c>
      <c r="G146" s="849" t="s">
        <v>657</v>
      </c>
      <c r="H146" s="850" t="s">
        <v>657</v>
      </c>
      <c r="I146" s="887"/>
      <c r="J146" s="853" t="s">
        <v>657</v>
      </c>
      <c r="K146" s="538"/>
      <c r="L146" s="533" t="s">
        <v>657</v>
      </c>
      <c r="M146" s="539" t="s">
        <v>657</v>
      </c>
      <c r="N146" s="539" t="s">
        <v>657</v>
      </c>
      <c r="O146" s="529" t="s">
        <v>657</v>
      </c>
      <c r="P146" s="530" t="s">
        <v>657</v>
      </c>
      <c r="Q146" s="540" t="s">
        <v>657</v>
      </c>
      <c r="R146" s="538"/>
      <c r="S146" s="533" t="s">
        <v>657</v>
      </c>
      <c r="T146" s="539" t="s">
        <v>657</v>
      </c>
      <c r="U146" s="539" t="s">
        <v>657</v>
      </c>
      <c r="V146" s="529" t="s">
        <v>657</v>
      </c>
      <c r="W146" s="530" t="s">
        <v>657</v>
      </c>
      <c r="X146" s="540" t="s">
        <v>657</v>
      </c>
    </row>
    <row r="147" spans="1:24" s="512" customFormat="1" x14ac:dyDescent="0.25">
      <c r="A147" s="535">
        <f t="shared" si="1"/>
        <v>-101</v>
      </c>
      <c r="B147" s="846" t="s">
        <v>657</v>
      </c>
      <c r="C147" s="537"/>
      <c r="D147" s="854" t="s">
        <v>657</v>
      </c>
      <c r="E147" s="852" t="s">
        <v>657</v>
      </c>
      <c r="F147" s="852" t="s">
        <v>657</v>
      </c>
      <c r="G147" s="849" t="s">
        <v>657</v>
      </c>
      <c r="H147" s="850" t="s">
        <v>657</v>
      </c>
      <c r="I147" s="887"/>
      <c r="J147" s="853" t="s">
        <v>657</v>
      </c>
      <c r="K147" s="538"/>
      <c r="L147" s="533" t="s">
        <v>657</v>
      </c>
      <c r="M147" s="539" t="s">
        <v>657</v>
      </c>
      <c r="N147" s="539" t="s">
        <v>657</v>
      </c>
      <c r="O147" s="529" t="s">
        <v>657</v>
      </c>
      <c r="P147" s="530" t="s">
        <v>657</v>
      </c>
      <c r="Q147" s="540" t="s">
        <v>657</v>
      </c>
      <c r="R147" s="538"/>
      <c r="S147" s="533" t="s">
        <v>657</v>
      </c>
      <c r="T147" s="539" t="s">
        <v>657</v>
      </c>
      <c r="U147" s="539" t="s">
        <v>657</v>
      </c>
      <c r="V147" s="529" t="s">
        <v>657</v>
      </c>
      <c r="W147" s="530" t="s">
        <v>657</v>
      </c>
      <c r="X147" s="540" t="s">
        <v>657</v>
      </c>
    </row>
    <row r="148" spans="1:24" s="512" customFormat="1" x14ac:dyDescent="0.25">
      <c r="A148" s="535">
        <f t="shared" si="1"/>
        <v>-102</v>
      </c>
      <c r="B148" s="846" t="s">
        <v>657</v>
      </c>
      <c r="C148" s="537"/>
      <c r="D148" s="854" t="s">
        <v>657</v>
      </c>
      <c r="E148" s="852" t="s">
        <v>657</v>
      </c>
      <c r="F148" s="852" t="s">
        <v>657</v>
      </c>
      <c r="G148" s="849" t="s">
        <v>657</v>
      </c>
      <c r="H148" s="850" t="s">
        <v>657</v>
      </c>
      <c r="I148" s="887"/>
      <c r="J148" s="853" t="s">
        <v>657</v>
      </c>
      <c r="K148" s="538"/>
      <c r="L148" s="533" t="s">
        <v>657</v>
      </c>
      <c r="M148" s="539" t="s">
        <v>657</v>
      </c>
      <c r="N148" s="539" t="s">
        <v>657</v>
      </c>
      <c r="O148" s="529" t="s">
        <v>657</v>
      </c>
      <c r="P148" s="530" t="s">
        <v>657</v>
      </c>
      <c r="Q148" s="540" t="s">
        <v>657</v>
      </c>
      <c r="R148" s="538"/>
      <c r="S148" s="533" t="s">
        <v>657</v>
      </c>
      <c r="T148" s="539" t="s">
        <v>657</v>
      </c>
      <c r="U148" s="539" t="s">
        <v>657</v>
      </c>
      <c r="V148" s="529" t="s">
        <v>657</v>
      </c>
      <c r="W148" s="530" t="s">
        <v>657</v>
      </c>
      <c r="X148" s="540" t="s">
        <v>657</v>
      </c>
    </row>
    <row r="149" spans="1:24" s="512" customFormat="1" x14ac:dyDescent="0.25">
      <c r="A149" s="535">
        <f t="shared" si="1"/>
        <v>-103</v>
      </c>
      <c r="B149" s="846" t="s">
        <v>657</v>
      </c>
      <c r="C149" s="537"/>
      <c r="D149" s="854" t="s">
        <v>657</v>
      </c>
      <c r="E149" s="852" t="s">
        <v>657</v>
      </c>
      <c r="F149" s="852" t="s">
        <v>657</v>
      </c>
      <c r="G149" s="849" t="s">
        <v>657</v>
      </c>
      <c r="H149" s="850" t="s">
        <v>657</v>
      </c>
      <c r="I149" s="887"/>
      <c r="J149" s="853" t="s">
        <v>657</v>
      </c>
      <c r="K149" s="538"/>
      <c r="L149" s="533" t="s">
        <v>657</v>
      </c>
      <c r="M149" s="539" t="s">
        <v>657</v>
      </c>
      <c r="N149" s="539" t="s">
        <v>657</v>
      </c>
      <c r="O149" s="529" t="s">
        <v>657</v>
      </c>
      <c r="P149" s="530" t="s">
        <v>657</v>
      </c>
      <c r="Q149" s="540" t="s">
        <v>657</v>
      </c>
      <c r="R149" s="538"/>
      <c r="S149" s="533" t="s">
        <v>657</v>
      </c>
      <c r="T149" s="539" t="s">
        <v>657</v>
      </c>
      <c r="U149" s="539" t="s">
        <v>657</v>
      </c>
      <c r="V149" s="529" t="s">
        <v>657</v>
      </c>
      <c r="W149" s="530" t="s">
        <v>657</v>
      </c>
      <c r="X149" s="540" t="s">
        <v>657</v>
      </c>
    </row>
    <row r="150" spans="1:24" s="512" customFormat="1" x14ac:dyDescent="0.25">
      <c r="A150" s="535">
        <f t="shared" si="1"/>
        <v>-104</v>
      </c>
      <c r="B150" s="846" t="s">
        <v>657</v>
      </c>
      <c r="C150" s="537"/>
      <c r="D150" s="854" t="s">
        <v>657</v>
      </c>
      <c r="E150" s="852" t="s">
        <v>657</v>
      </c>
      <c r="F150" s="852" t="s">
        <v>657</v>
      </c>
      <c r="G150" s="849" t="s">
        <v>657</v>
      </c>
      <c r="H150" s="850" t="s">
        <v>657</v>
      </c>
      <c r="I150" s="887"/>
      <c r="J150" s="853" t="s">
        <v>657</v>
      </c>
      <c r="K150" s="538"/>
      <c r="L150" s="533" t="s">
        <v>657</v>
      </c>
      <c r="M150" s="539" t="s">
        <v>657</v>
      </c>
      <c r="N150" s="539" t="s">
        <v>657</v>
      </c>
      <c r="O150" s="529" t="s">
        <v>657</v>
      </c>
      <c r="P150" s="530" t="s">
        <v>657</v>
      </c>
      <c r="Q150" s="540" t="s">
        <v>657</v>
      </c>
      <c r="R150" s="538"/>
      <c r="S150" s="533" t="s">
        <v>657</v>
      </c>
      <c r="T150" s="539" t="s">
        <v>657</v>
      </c>
      <c r="U150" s="539" t="s">
        <v>657</v>
      </c>
      <c r="V150" s="529" t="s">
        <v>657</v>
      </c>
      <c r="W150" s="530" t="s">
        <v>657</v>
      </c>
      <c r="X150" s="540" t="s">
        <v>657</v>
      </c>
    </row>
    <row r="151" spans="1:24" s="512" customFormat="1" x14ac:dyDescent="0.25">
      <c r="A151" s="535">
        <f t="shared" si="1"/>
        <v>-105</v>
      </c>
      <c r="B151" s="846" t="s">
        <v>657</v>
      </c>
      <c r="C151" s="537"/>
      <c r="D151" s="854" t="s">
        <v>657</v>
      </c>
      <c r="E151" s="852" t="s">
        <v>657</v>
      </c>
      <c r="F151" s="852" t="s">
        <v>657</v>
      </c>
      <c r="G151" s="849" t="s">
        <v>657</v>
      </c>
      <c r="H151" s="850" t="s">
        <v>657</v>
      </c>
      <c r="I151" s="887"/>
      <c r="J151" s="853" t="s">
        <v>657</v>
      </c>
      <c r="K151" s="538"/>
      <c r="L151" s="533" t="s">
        <v>657</v>
      </c>
      <c r="M151" s="539" t="s">
        <v>657</v>
      </c>
      <c r="N151" s="539" t="s">
        <v>657</v>
      </c>
      <c r="O151" s="529" t="s">
        <v>657</v>
      </c>
      <c r="P151" s="530" t="s">
        <v>657</v>
      </c>
      <c r="Q151" s="540" t="s">
        <v>657</v>
      </c>
      <c r="R151" s="538"/>
      <c r="S151" s="533" t="s">
        <v>657</v>
      </c>
      <c r="T151" s="539" t="s">
        <v>657</v>
      </c>
      <c r="U151" s="539" t="s">
        <v>657</v>
      </c>
      <c r="V151" s="529" t="s">
        <v>657</v>
      </c>
      <c r="W151" s="530" t="s">
        <v>657</v>
      </c>
      <c r="X151" s="540" t="s">
        <v>657</v>
      </c>
    </row>
    <row r="152" spans="1:24" s="512" customFormat="1" x14ac:dyDescent="0.25">
      <c r="A152" s="535">
        <f t="shared" si="1"/>
        <v>-106</v>
      </c>
      <c r="B152" s="846" t="s">
        <v>657</v>
      </c>
      <c r="C152" s="537"/>
      <c r="D152" s="854" t="s">
        <v>657</v>
      </c>
      <c r="E152" s="852" t="s">
        <v>657</v>
      </c>
      <c r="F152" s="852" t="s">
        <v>657</v>
      </c>
      <c r="G152" s="849" t="s">
        <v>657</v>
      </c>
      <c r="H152" s="850" t="s">
        <v>657</v>
      </c>
      <c r="I152" s="887"/>
      <c r="J152" s="853" t="s">
        <v>657</v>
      </c>
      <c r="K152" s="538"/>
      <c r="L152" s="533" t="s">
        <v>657</v>
      </c>
      <c r="M152" s="539" t="s">
        <v>657</v>
      </c>
      <c r="N152" s="539" t="s">
        <v>657</v>
      </c>
      <c r="O152" s="529" t="s">
        <v>657</v>
      </c>
      <c r="P152" s="530" t="s">
        <v>657</v>
      </c>
      <c r="Q152" s="540" t="s">
        <v>657</v>
      </c>
      <c r="R152" s="538"/>
      <c r="S152" s="533" t="s">
        <v>657</v>
      </c>
      <c r="T152" s="539" t="s">
        <v>657</v>
      </c>
      <c r="U152" s="539" t="s">
        <v>657</v>
      </c>
      <c r="V152" s="529" t="s">
        <v>657</v>
      </c>
      <c r="W152" s="530" t="s">
        <v>657</v>
      </c>
      <c r="X152" s="540" t="s">
        <v>657</v>
      </c>
    </row>
    <row r="153" spans="1:24" s="512" customFormat="1" x14ac:dyDescent="0.25">
      <c r="A153" s="535">
        <f t="shared" si="1"/>
        <v>-107</v>
      </c>
      <c r="B153" s="846" t="s">
        <v>657</v>
      </c>
      <c r="C153" s="537"/>
      <c r="D153" s="854" t="s">
        <v>657</v>
      </c>
      <c r="E153" s="852" t="s">
        <v>657</v>
      </c>
      <c r="F153" s="852" t="s">
        <v>657</v>
      </c>
      <c r="G153" s="849" t="s">
        <v>657</v>
      </c>
      <c r="H153" s="850" t="s">
        <v>657</v>
      </c>
      <c r="I153" s="887"/>
      <c r="J153" s="853" t="s">
        <v>657</v>
      </c>
      <c r="K153" s="538"/>
      <c r="L153" s="533" t="s">
        <v>657</v>
      </c>
      <c r="M153" s="539" t="s">
        <v>657</v>
      </c>
      <c r="N153" s="539" t="s">
        <v>657</v>
      </c>
      <c r="O153" s="529" t="s">
        <v>657</v>
      </c>
      <c r="P153" s="530" t="s">
        <v>657</v>
      </c>
      <c r="Q153" s="540" t="s">
        <v>657</v>
      </c>
      <c r="R153" s="538"/>
      <c r="S153" s="533" t="s">
        <v>657</v>
      </c>
      <c r="T153" s="539" t="s">
        <v>657</v>
      </c>
      <c r="U153" s="539" t="s">
        <v>657</v>
      </c>
      <c r="V153" s="529" t="s">
        <v>657</v>
      </c>
      <c r="W153" s="530" t="s">
        <v>657</v>
      </c>
      <c r="X153" s="540" t="s">
        <v>657</v>
      </c>
    </row>
    <row r="154" spans="1:24" s="512" customFormat="1" x14ac:dyDescent="0.25">
      <c r="A154" s="535">
        <f t="shared" si="1"/>
        <v>-108</v>
      </c>
      <c r="B154" s="846" t="s">
        <v>657</v>
      </c>
      <c r="C154" s="537"/>
      <c r="D154" s="854" t="s">
        <v>657</v>
      </c>
      <c r="E154" s="852" t="s">
        <v>657</v>
      </c>
      <c r="F154" s="852" t="s">
        <v>657</v>
      </c>
      <c r="G154" s="849" t="s">
        <v>657</v>
      </c>
      <c r="H154" s="850" t="s">
        <v>657</v>
      </c>
      <c r="I154" s="887"/>
      <c r="J154" s="853" t="s">
        <v>657</v>
      </c>
      <c r="K154" s="538"/>
      <c r="L154" s="533" t="s">
        <v>657</v>
      </c>
      <c r="M154" s="539" t="s">
        <v>657</v>
      </c>
      <c r="N154" s="539" t="s">
        <v>657</v>
      </c>
      <c r="O154" s="529" t="s">
        <v>657</v>
      </c>
      <c r="P154" s="530" t="s">
        <v>657</v>
      </c>
      <c r="Q154" s="540" t="s">
        <v>657</v>
      </c>
      <c r="R154" s="538"/>
      <c r="S154" s="533" t="s">
        <v>657</v>
      </c>
      <c r="T154" s="539" t="s">
        <v>657</v>
      </c>
      <c r="U154" s="539" t="s">
        <v>657</v>
      </c>
      <c r="V154" s="529" t="s">
        <v>657</v>
      </c>
      <c r="W154" s="530" t="s">
        <v>657</v>
      </c>
      <c r="X154" s="540" t="s">
        <v>657</v>
      </c>
    </row>
    <row r="155" spans="1:24" s="512" customFormat="1" x14ac:dyDescent="0.25">
      <c r="A155" s="535">
        <f t="shared" ref="A155:A218" si="2">A154-1</f>
        <v>-109</v>
      </c>
      <c r="B155" s="846" t="s">
        <v>657</v>
      </c>
      <c r="C155" s="537"/>
      <c r="D155" s="854" t="s">
        <v>657</v>
      </c>
      <c r="E155" s="852" t="s">
        <v>657</v>
      </c>
      <c r="F155" s="852" t="s">
        <v>657</v>
      </c>
      <c r="G155" s="849" t="s">
        <v>657</v>
      </c>
      <c r="H155" s="850" t="s">
        <v>657</v>
      </c>
      <c r="I155" s="887"/>
      <c r="J155" s="853" t="s">
        <v>657</v>
      </c>
      <c r="K155" s="538"/>
      <c r="L155" s="533" t="s">
        <v>657</v>
      </c>
      <c r="M155" s="539" t="s">
        <v>657</v>
      </c>
      <c r="N155" s="539" t="s">
        <v>657</v>
      </c>
      <c r="O155" s="529" t="s">
        <v>657</v>
      </c>
      <c r="P155" s="530" t="s">
        <v>657</v>
      </c>
      <c r="Q155" s="540" t="s">
        <v>657</v>
      </c>
      <c r="R155" s="538"/>
      <c r="S155" s="533" t="s">
        <v>657</v>
      </c>
      <c r="T155" s="539" t="s">
        <v>657</v>
      </c>
      <c r="U155" s="539" t="s">
        <v>657</v>
      </c>
      <c r="V155" s="529" t="s">
        <v>657</v>
      </c>
      <c r="W155" s="530" t="s">
        <v>657</v>
      </c>
      <c r="X155" s="540" t="s">
        <v>657</v>
      </c>
    </row>
    <row r="156" spans="1:24" s="512" customFormat="1" x14ac:dyDescent="0.25">
      <c r="A156" s="535">
        <f t="shared" si="2"/>
        <v>-110</v>
      </c>
      <c r="B156" s="846" t="s">
        <v>657</v>
      </c>
      <c r="C156" s="537"/>
      <c r="D156" s="854" t="s">
        <v>657</v>
      </c>
      <c r="E156" s="852" t="s">
        <v>657</v>
      </c>
      <c r="F156" s="852" t="s">
        <v>657</v>
      </c>
      <c r="G156" s="849" t="s">
        <v>657</v>
      </c>
      <c r="H156" s="850" t="s">
        <v>657</v>
      </c>
      <c r="I156" s="887"/>
      <c r="J156" s="853" t="s">
        <v>657</v>
      </c>
      <c r="K156" s="538"/>
      <c r="L156" s="533" t="s">
        <v>657</v>
      </c>
      <c r="M156" s="539" t="s">
        <v>657</v>
      </c>
      <c r="N156" s="539" t="s">
        <v>657</v>
      </c>
      <c r="O156" s="529" t="s">
        <v>657</v>
      </c>
      <c r="P156" s="530" t="s">
        <v>657</v>
      </c>
      <c r="Q156" s="540" t="s">
        <v>657</v>
      </c>
      <c r="R156" s="538"/>
      <c r="S156" s="533" t="s">
        <v>657</v>
      </c>
      <c r="T156" s="539" t="s">
        <v>657</v>
      </c>
      <c r="U156" s="539" t="s">
        <v>657</v>
      </c>
      <c r="V156" s="529" t="s">
        <v>657</v>
      </c>
      <c r="W156" s="530" t="s">
        <v>657</v>
      </c>
      <c r="X156" s="540" t="s">
        <v>657</v>
      </c>
    </row>
    <row r="157" spans="1:24" s="512" customFormat="1" x14ac:dyDescent="0.25">
      <c r="A157" s="535">
        <f t="shared" si="2"/>
        <v>-111</v>
      </c>
      <c r="B157" s="846" t="s">
        <v>657</v>
      </c>
      <c r="C157" s="537"/>
      <c r="D157" s="854" t="s">
        <v>657</v>
      </c>
      <c r="E157" s="852" t="s">
        <v>657</v>
      </c>
      <c r="F157" s="852" t="s">
        <v>657</v>
      </c>
      <c r="G157" s="849" t="s">
        <v>657</v>
      </c>
      <c r="H157" s="850" t="s">
        <v>657</v>
      </c>
      <c r="I157" s="887"/>
      <c r="J157" s="853" t="s">
        <v>657</v>
      </c>
      <c r="K157" s="538"/>
      <c r="L157" s="533" t="s">
        <v>657</v>
      </c>
      <c r="M157" s="539" t="s">
        <v>657</v>
      </c>
      <c r="N157" s="539" t="s">
        <v>657</v>
      </c>
      <c r="O157" s="529" t="s">
        <v>657</v>
      </c>
      <c r="P157" s="530" t="s">
        <v>657</v>
      </c>
      <c r="Q157" s="540" t="s">
        <v>657</v>
      </c>
      <c r="R157" s="538"/>
      <c r="S157" s="533" t="s">
        <v>657</v>
      </c>
      <c r="T157" s="539" t="s">
        <v>657</v>
      </c>
      <c r="U157" s="539" t="s">
        <v>657</v>
      </c>
      <c r="V157" s="529" t="s">
        <v>657</v>
      </c>
      <c r="W157" s="530" t="s">
        <v>657</v>
      </c>
      <c r="X157" s="540" t="s">
        <v>657</v>
      </c>
    </row>
    <row r="158" spans="1:24" s="512" customFormat="1" x14ac:dyDescent="0.25">
      <c r="A158" s="535">
        <f t="shared" si="2"/>
        <v>-112</v>
      </c>
      <c r="B158" s="846" t="s">
        <v>657</v>
      </c>
      <c r="C158" s="537"/>
      <c r="D158" s="854" t="s">
        <v>657</v>
      </c>
      <c r="E158" s="852" t="s">
        <v>657</v>
      </c>
      <c r="F158" s="852" t="s">
        <v>657</v>
      </c>
      <c r="G158" s="849" t="s">
        <v>657</v>
      </c>
      <c r="H158" s="850" t="s">
        <v>657</v>
      </c>
      <c r="I158" s="887"/>
      <c r="J158" s="853" t="s">
        <v>657</v>
      </c>
      <c r="K158" s="538"/>
      <c r="L158" s="533" t="s">
        <v>657</v>
      </c>
      <c r="M158" s="539" t="s">
        <v>657</v>
      </c>
      <c r="N158" s="539" t="s">
        <v>657</v>
      </c>
      <c r="O158" s="529" t="s">
        <v>657</v>
      </c>
      <c r="P158" s="530" t="s">
        <v>657</v>
      </c>
      <c r="Q158" s="540" t="s">
        <v>657</v>
      </c>
      <c r="R158" s="538"/>
      <c r="S158" s="533" t="s">
        <v>657</v>
      </c>
      <c r="T158" s="539" t="s">
        <v>657</v>
      </c>
      <c r="U158" s="539" t="s">
        <v>657</v>
      </c>
      <c r="V158" s="529" t="s">
        <v>657</v>
      </c>
      <c r="W158" s="530" t="s">
        <v>657</v>
      </c>
      <c r="X158" s="540" t="s">
        <v>657</v>
      </c>
    </row>
    <row r="159" spans="1:24" s="512" customFormat="1" x14ac:dyDescent="0.25">
      <c r="A159" s="535">
        <f t="shared" si="2"/>
        <v>-113</v>
      </c>
      <c r="B159" s="846" t="s">
        <v>657</v>
      </c>
      <c r="C159" s="537"/>
      <c r="D159" s="854" t="s">
        <v>657</v>
      </c>
      <c r="E159" s="852" t="s">
        <v>657</v>
      </c>
      <c r="F159" s="852" t="s">
        <v>657</v>
      </c>
      <c r="G159" s="849" t="s">
        <v>657</v>
      </c>
      <c r="H159" s="850" t="s">
        <v>657</v>
      </c>
      <c r="I159" s="887"/>
      <c r="J159" s="853" t="s">
        <v>657</v>
      </c>
      <c r="K159" s="538"/>
      <c r="L159" s="533" t="s">
        <v>657</v>
      </c>
      <c r="M159" s="539" t="s">
        <v>657</v>
      </c>
      <c r="N159" s="539" t="s">
        <v>657</v>
      </c>
      <c r="O159" s="529" t="s">
        <v>657</v>
      </c>
      <c r="P159" s="530" t="s">
        <v>657</v>
      </c>
      <c r="Q159" s="540" t="s">
        <v>657</v>
      </c>
      <c r="R159" s="538"/>
      <c r="S159" s="533" t="s">
        <v>657</v>
      </c>
      <c r="T159" s="539" t="s">
        <v>657</v>
      </c>
      <c r="U159" s="539" t="s">
        <v>657</v>
      </c>
      <c r="V159" s="529" t="s">
        <v>657</v>
      </c>
      <c r="W159" s="530" t="s">
        <v>657</v>
      </c>
      <c r="X159" s="540" t="s">
        <v>657</v>
      </c>
    </row>
    <row r="160" spans="1:24" s="512" customFormat="1" x14ac:dyDescent="0.25">
      <c r="A160" s="535">
        <f t="shared" si="2"/>
        <v>-114</v>
      </c>
      <c r="B160" s="846" t="s">
        <v>657</v>
      </c>
      <c r="C160" s="537"/>
      <c r="D160" s="854" t="s">
        <v>657</v>
      </c>
      <c r="E160" s="852" t="s">
        <v>657</v>
      </c>
      <c r="F160" s="852" t="s">
        <v>657</v>
      </c>
      <c r="G160" s="849" t="s">
        <v>657</v>
      </c>
      <c r="H160" s="850" t="s">
        <v>657</v>
      </c>
      <c r="I160" s="887"/>
      <c r="J160" s="853" t="s">
        <v>657</v>
      </c>
      <c r="K160" s="538"/>
      <c r="L160" s="533" t="s">
        <v>657</v>
      </c>
      <c r="M160" s="539" t="s">
        <v>657</v>
      </c>
      <c r="N160" s="539" t="s">
        <v>657</v>
      </c>
      <c r="O160" s="529" t="s">
        <v>657</v>
      </c>
      <c r="P160" s="530" t="s">
        <v>657</v>
      </c>
      <c r="Q160" s="540" t="s">
        <v>657</v>
      </c>
      <c r="R160" s="538"/>
      <c r="S160" s="533" t="s">
        <v>657</v>
      </c>
      <c r="T160" s="539" t="s">
        <v>657</v>
      </c>
      <c r="U160" s="539" t="s">
        <v>657</v>
      </c>
      <c r="V160" s="529" t="s">
        <v>657</v>
      </c>
      <c r="W160" s="530" t="s">
        <v>657</v>
      </c>
      <c r="X160" s="540" t="s">
        <v>657</v>
      </c>
    </row>
    <row r="161" spans="1:24" s="512" customFormat="1" x14ac:dyDescent="0.25">
      <c r="A161" s="535">
        <f t="shared" si="2"/>
        <v>-115</v>
      </c>
      <c r="B161" s="846" t="s">
        <v>657</v>
      </c>
      <c r="C161" s="537"/>
      <c r="D161" s="854" t="s">
        <v>657</v>
      </c>
      <c r="E161" s="852" t="s">
        <v>657</v>
      </c>
      <c r="F161" s="852" t="s">
        <v>657</v>
      </c>
      <c r="G161" s="849" t="s">
        <v>657</v>
      </c>
      <c r="H161" s="850" t="s">
        <v>657</v>
      </c>
      <c r="I161" s="887"/>
      <c r="J161" s="853" t="s">
        <v>657</v>
      </c>
      <c r="K161" s="538"/>
      <c r="L161" s="533" t="s">
        <v>657</v>
      </c>
      <c r="M161" s="539" t="s">
        <v>657</v>
      </c>
      <c r="N161" s="539" t="s">
        <v>657</v>
      </c>
      <c r="O161" s="529" t="s">
        <v>657</v>
      </c>
      <c r="P161" s="530" t="s">
        <v>657</v>
      </c>
      <c r="Q161" s="540" t="s">
        <v>657</v>
      </c>
      <c r="R161" s="538"/>
      <c r="S161" s="533" t="s">
        <v>657</v>
      </c>
      <c r="T161" s="539" t="s">
        <v>657</v>
      </c>
      <c r="U161" s="539" t="s">
        <v>657</v>
      </c>
      <c r="V161" s="529" t="s">
        <v>657</v>
      </c>
      <c r="W161" s="530" t="s">
        <v>657</v>
      </c>
      <c r="X161" s="540" t="s">
        <v>657</v>
      </c>
    </row>
    <row r="162" spans="1:24" s="512" customFormat="1" x14ac:dyDescent="0.25">
      <c r="A162" s="535">
        <f t="shared" si="2"/>
        <v>-116</v>
      </c>
      <c r="B162" s="846" t="s">
        <v>657</v>
      </c>
      <c r="C162" s="537"/>
      <c r="D162" s="854" t="s">
        <v>657</v>
      </c>
      <c r="E162" s="852" t="s">
        <v>657</v>
      </c>
      <c r="F162" s="852" t="s">
        <v>657</v>
      </c>
      <c r="G162" s="849" t="s">
        <v>657</v>
      </c>
      <c r="H162" s="850" t="s">
        <v>657</v>
      </c>
      <c r="I162" s="887"/>
      <c r="J162" s="853" t="s">
        <v>657</v>
      </c>
      <c r="K162" s="538"/>
      <c r="L162" s="533" t="s">
        <v>657</v>
      </c>
      <c r="M162" s="539" t="s">
        <v>657</v>
      </c>
      <c r="N162" s="539" t="s">
        <v>657</v>
      </c>
      <c r="O162" s="529" t="s">
        <v>657</v>
      </c>
      <c r="P162" s="530" t="s">
        <v>657</v>
      </c>
      <c r="Q162" s="540" t="s">
        <v>657</v>
      </c>
      <c r="R162" s="538"/>
      <c r="S162" s="533" t="s">
        <v>657</v>
      </c>
      <c r="T162" s="539" t="s">
        <v>657</v>
      </c>
      <c r="U162" s="539" t="s">
        <v>657</v>
      </c>
      <c r="V162" s="529" t="s">
        <v>657</v>
      </c>
      <c r="W162" s="530" t="s">
        <v>657</v>
      </c>
      <c r="X162" s="540" t="s">
        <v>657</v>
      </c>
    </row>
    <row r="163" spans="1:24" s="512" customFormat="1" x14ac:dyDescent="0.25">
      <c r="A163" s="535">
        <f t="shared" si="2"/>
        <v>-117</v>
      </c>
      <c r="B163" s="846" t="s">
        <v>657</v>
      </c>
      <c r="C163" s="537"/>
      <c r="D163" s="854" t="s">
        <v>657</v>
      </c>
      <c r="E163" s="852" t="s">
        <v>657</v>
      </c>
      <c r="F163" s="852" t="s">
        <v>657</v>
      </c>
      <c r="G163" s="849" t="s">
        <v>657</v>
      </c>
      <c r="H163" s="850" t="s">
        <v>657</v>
      </c>
      <c r="I163" s="887"/>
      <c r="J163" s="853" t="s">
        <v>657</v>
      </c>
      <c r="K163" s="538"/>
      <c r="L163" s="533" t="s">
        <v>657</v>
      </c>
      <c r="M163" s="539" t="s">
        <v>657</v>
      </c>
      <c r="N163" s="539" t="s">
        <v>657</v>
      </c>
      <c r="O163" s="529" t="s">
        <v>657</v>
      </c>
      <c r="P163" s="530" t="s">
        <v>657</v>
      </c>
      <c r="Q163" s="540" t="s">
        <v>657</v>
      </c>
      <c r="R163" s="538"/>
      <c r="S163" s="533" t="s">
        <v>657</v>
      </c>
      <c r="T163" s="539" t="s">
        <v>657</v>
      </c>
      <c r="U163" s="539" t="s">
        <v>657</v>
      </c>
      <c r="V163" s="529" t="s">
        <v>657</v>
      </c>
      <c r="W163" s="530" t="s">
        <v>657</v>
      </c>
      <c r="X163" s="540" t="s">
        <v>657</v>
      </c>
    </row>
    <row r="164" spans="1:24" s="512" customFormat="1" x14ac:dyDescent="0.25">
      <c r="A164" s="535">
        <f t="shared" si="2"/>
        <v>-118</v>
      </c>
      <c r="B164" s="846" t="s">
        <v>657</v>
      </c>
      <c r="C164" s="537"/>
      <c r="D164" s="854" t="s">
        <v>657</v>
      </c>
      <c r="E164" s="852" t="s">
        <v>657</v>
      </c>
      <c r="F164" s="852" t="s">
        <v>657</v>
      </c>
      <c r="G164" s="849" t="s">
        <v>657</v>
      </c>
      <c r="H164" s="850" t="s">
        <v>657</v>
      </c>
      <c r="I164" s="887"/>
      <c r="J164" s="853" t="s">
        <v>657</v>
      </c>
      <c r="K164" s="538"/>
      <c r="L164" s="533" t="s">
        <v>657</v>
      </c>
      <c r="M164" s="539" t="s">
        <v>657</v>
      </c>
      <c r="N164" s="539" t="s">
        <v>657</v>
      </c>
      <c r="O164" s="529" t="s">
        <v>657</v>
      </c>
      <c r="P164" s="530" t="s">
        <v>657</v>
      </c>
      <c r="Q164" s="540" t="s">
        <v>657</v>
      </c>
      <c r="R164" s="538"/>
      <c r="S164" s="533" t="s">
        <v>657</v>
      </c>
      <c r="T164" s="539" t="s">
        <v>657</v>
      </c>
      <c r="U164" s="539" t="s">
        <v>657</v>
      </c>
      <c r="V164" s="529" t="s">
        <v>657</v>
      </c>
      <c r="W164" s="530" t="s">
        <v>657</v>
      </c>
      <c r="X164" s="540" t="s">
        <v>657</v>
      </c>
    </row>
    <row r="165" spans="1:24" s="512" customFormat="1" x14ac:dyDescent="0.25">
      <c r="A165" s="535">
        <f t="shared" si="2"/>
        <v>-119</v>
      </c>
      <c r="B165" s="846" t="s">
        <v>657</v>
      </c>
      <c r="C165" s="537"/>
      <c r="D165" s="854" t="s">
        <v>657</v>
      </c>
      <c r="E165" s="852" t="s">
        <v>657</v>
      </c>
      <c r="F165" s="852" t="s">
        <v>657</v>
      </c>
      <c r="G165" s="849" t="s">
        <v>657</v>
      </c>
      <c r="H165" s="850" t="s">
        <v>657</v>
      </c>
      <c r="I165" s="887"/>
      <c r="J165" s="853" t="s">
        <v>657</v>
      </c>
      <c r="K165" s="538"/>
      <c r="L165" s="533" t="s">
        <v>657</v>
      </c>
      <c r="M165" s="539" t="s">
        <v>657</v>
      </c>
      <c r="N165" s="539" t="s">
        <v>657</v>
      </c>
      <c r="O165" s="529" t="s">
        <v>657</v>
      </c>
      <c r="P165" s="530" t="s">
        <v>657</v>
      </c>
      <c r="Q165" s="540" t="s">
        <v>657</v>
      </c>
      <c r="R165" s="538"/>
      <c r="S165" s="533" t="s">
        <v>657</v>
      </c>
      <c r="T165" s="539" t="s">
        <v>657</v>
      </c>
      <c r="U165" s="539" t="s">
        <v>657</v>
      </c>
      <c r="V165" s="529" t="s">
        <v>657</v>
      </c>
      <c r="W165" s="530" t="s">
        <v>657</v>
      </c>
      <c r="X165" s="540" t="s">
        <v>657</v>
      </c>
    </row>
    <row r="166" spans="1:24" s="512" customFormat="1" x14ac:dyDescent="0.25">
      <c r="A166" s="535">
        <f t="shared" si="2"/>
        <v>-120</v>
      </c>
      <c r="B166" s="846" t="s">
        <v>657</v>
      </c>
      <c r="C166" s="537"/>
      <c r="D166" s="854" t="s">
        <v>657</v>
      </c>
      <c r="E166" s="852" t="s">
        <v>657</v>
      </c>
      <c r="F166" s="852" t="s">
        <v>657</v>
      </c>
      <c r="G166" s="849" t="s">
        <v>657</v>
      </c>
      <c r="H166" s="850" t="s">
        <v>657</v>
      </c>
      <c r="I166" s="887"/>
      <c r="J166" s="853" t="s">
        <v>657</v>
      </c>
      <c r="K166" s="538"/>
      <c r="L166" s="533" t="s">
        <v>657</v>
      </c>
      <c r="M166" s="539" t="s">
        <v>657</v>
      </c>
      <c r="N166" s="539" t="s">
        <v>657</v>
      </c>
      <c r="O166" s="529" t="s">
        <v>657</v>
      </c>
      <c r="P166" s="530" t="s">
        <v>657</v>
      </c>
      <c r="Q166" s="540" t="s">
        <v>657</v>
      </c>
      <c r="R166" s="538"/>
      <c r="S166" s="533" t="s">
        <v>657</v>
      </c>
      <c r="T166" s="539" t="s">
        <v>657</v>
      </c>
      <c r="U166" s="539" t="s">
        <v>657</v>
      </c>
      <c r="V166" s="529" t="s">
        <v>657</v>
      </c>
      <c r="W166" s="530" t="s">
        <v>657</v>
      </c>
      <c r="X166" s="540" t="s">
        <v>657</v>
      </c>
    </row>
    <row r="167" spans="1:24" s="512" customFormat="1" x14ac:dyDescent="0.25">
      <c r="A167" s="535">
        <f t="shared" si="2"/>
        <v>-121</v>
      </c>
      <c r="B167" s="846" t="s">
        <v>657</v>
      </c>
      <c r="C167" s="537"/>
      <c r="D167" s="854" t="s">
        <v>657</v>
      </c>
      <c r="E167" s="852" t="s">
        <v>657</v>
      </c>
      <c r="F167" s="852" t="s">
        <v>657</v>
      </c>
      <c r="G167" s="849" t="s">
        <v>657</v>
      </c>
      <c r="H167" s="850" t="s">
        <v>657</v>
      </c>
      <c r="I167" s="887"/>
      <c r="J167" s="853" t="s">
        <v>657</v>
      </c>
      <c r="K167" s="538"/>
      <c r="L167" s="533" t="s">
        <v>657</v>
      </c>
      <c r="M167" s="539" t="s">
        <v>657</v>
      </c>
      <c r="N167" s="539" t="s">
        <v>657</v>
      </c>
      <c r="O167" s="529" t="s">
        <v>657</v>
      </c>
      <c r="P167" s="530" t="s">
        <v>657</v>
      </c>
      <c r="Q167" s="540" t="s">
        <v>657</v>
      </c>
      <c r="R167" s="538"/>
      <c r="S167" s="533" t="s">
        <v>657</v>
      </c>
      <c r="T167" s="539" t="s">
        <v>657</v>
      </c>
      <c r="U167" s="539" t="s">
        <v>657</v>
      </c>
      <c r="V167" s="529" t="s">
        <v>657</v>
      </c>
      <c r="W167" s="530" t="s">
        <v>657</v>
      </c>
      <c r="X167" s="540" t="s">
        <v>657</v>
      </c>
    </row>
    <row r="168" spans="1:24" x14ac:dyDescent="0.25">
      <c r="A168" s="535">
        <f t="shared" si="2"/>
        <v>-122</v>
      </c>
      <c r="B168" s="846" t="s">
        <v>657</v>
      </c>
      <c r="C168" s="537"/>
      <c r="D168" s="854" t="s">
        <v>657</v>
      </c>
      <c r="E168" s="852" t="s">
        <v>657</v>
      </c>
      <c r="F168" s="852" t="s">
        <v>657</v>
      </c>
      <c r="G168" s="849" t="s">
        <v>657</v>
      </c>
      <c r="H168" s="850" t="s">
        <v>657</v>
      </c>
      <c r="I168" s="887"/>
      <c r="J168" s="853" t="s">
        <v>657</v>
      </c>
      <c r="K168" s="538"/>
      <c r="L168" s="533" t="s">
        <v>657</v>
      </c>
      <c r="M168" s="539" t="s">
        <v>657</v>
      </c>
      <c r="N168" s="539" t="s">
        <v>657</v>
      </c>
      <c r="O168" s="529" t="s">
        <v>657</v>
      </c>
      <c r="P168" s="530" t="s">
        <v>657</v>
      </c>
      <c r="Q168" s="540" t="s">
        <v>657</v>
      </c>
      <c r="R168" s="538"/>
      <c r="S168" s="533" t="s">
        <v>657</v>
      </c>
      <c r="T168" s="539" t="s">
        <v>657</v>
      </c>
      <c r="U168" s="539" t="s">
        <v>657</v>
      </c>
      <c r="V168" s="529" t="s">
        <v>657</v>
      </c>
      <c r="W168" s="530" t="s">
        <v>657</v>
      </c>
      <c r="X168" s="540" t="s">
        <v>657</v>
      </c>
    </row>
    <row r="169" spans="1:24" x14ac:dyDescent="0.25">
      <c r="A169" s="535">
        <f t="shared" si="2"/>
        <v>-123</v>
      </c>
      <c r="B169" s="846" t="s">
        <v>657</v>
      </c>
      <c r="C169" s="537"/>
      <c r="D169" s="854" t="s">
        <v>657</v>
      </c>
      <c r="E169" s="852" t="s">
        <v>657</v>
      </c>
      <c r="F169" s="852" t="s">
        <v>657</v>
      </c>
      <c r="G169" s="849" t="s">
        <v>657</v>
      </c>
      <c r="H169" s="850" t="s">
        <v>657</v>
      </c>
      <c r="I169" s="887"/>
      <c r="J169" s="853" t="s">
        <v>657</v>
      </c>
      <c r="K169" s="538"/>
      <c r="L169" s="533" t="s">
        <v>657</v>
      </c>
      <c r="M169" s="539" t="s">
        <v>657</v>
      </c>
      <c r="N169" s="539" t="s">
        <v>657</v>
      </c>
      <c r="O169" s="529" t="s">
        <v>657</v>
      </c>
      <c r="P169" s="530" t="s">
        <v>657</v>
      </c>
      <c r="Q169" s="540" t="s">
        <v>657</v>
      </c>
      <c r="R169" s="538"/>
      <c r="S169" s="533" t="s">
        <v>657</v>
      </c>
      <c r="T169" s="539" t="s">
        <v>657</v>
      </c>
      <c r="U169" s="539" t="s">
        <v>657</v>
      </c>
      <c r="V169" s="529" t="s">
        <v>657</v>
      </c>
      <c r="W169" s="530" t="s">
        <v>657</v>
      </c>
      <c r="X169" s="540" t="s">
        <v>657</v>
      </c>
    </row>
    <row r="170" spans="1:24" x14ac:dyDescent="0.25">
      <c r="A170" s="535">
        <f t="shared" si="2"/>
        <v>-124</v>
      </c>
      <c r="B170" s="846" t="s">
        <v>657</v>
      </c>
      <c r="C170" s="537"/>
      <c r="D170" s="854" t="s">
        <v>657</v>
      </c>
      <c r="E170" s="852" t="s">
        <v>657</v>
      </c>
      <c r="F170" s="852" t="s">
        <v>657</v>
      </c>
      <c r="G170" s="849" t="s">
        <v>657</v>
      </c>
      <c r="H170" s="850" t="s">
        <v>657</v>
      </c>
      <c r="I170" s="887"/>
      <c r="J170" s="853" t="s">
        <v>657</v>
      </c>
      <c r="K170" s="538"/>
      <c r="L170" s="533" t="s">
        <v>657</v>
      </c>
      <c r="M170" s="539" t="s">
        <v>657</v>
      </c>
      <c r="N170" s="539" t="s">
        <v>657</v>
      </c>
      <c r="O170" s="529" t="s">
        <v>657</v>
      </c>
      <c r="P170" s="530" t="s">
        <v>657</v>
      </c>
      <c r="Q170" s="540" t="s">
        <v>657</v>
      </c>
      <c r="R170" s="538"/>
      <c r="S170" s="533" t="s">
        <v>657</v>
      </c>
      <c r="T170" s="539" t="s">
        <v>657</v>
      </c>
      <c r="U170" s="539" t="s">
        <v>657</v>
      </c>
      <c r="V170" s="529" t="s">
        <v>657</v>
      </c>
      <c r="W170" s="530" t="s">
        <v>657</v>
      </c>
      <c r="X170" s="540" t="s">
        <v>657</v>
      </c>
    </row>
    <row r="171" spans="1:24" x14ac:dyDescent="0.25">
      <c r="A171" s="535">
        <f t="shared" si="2"/>
        <v>-125</v>
      </c>
      <c r="B171" s="846" t="s">
        <v>657</v>
      </c>
      <c r="C171" s="537"/>
      <c r="D171" s="854" t="s">
        <v>657</v>
      </c>
      <c r="E171" s="852" t="s">
        <v>657</v>
      </c>
      <c r="F171" s="852" t="s">
        <v>657</v>
      </c>
      <c r="G171" s="849" t="s">
        <v>657</v>
      </c>
      <c r="H171" s="850" t="s">
        <v>657</v>
      </c>
      <c r="I171" s="887"/>
      <c r="J171" s="853" t="s">
        <v>657</v>
      </c>
      <c r="K171" s="538"/>
      <c r="L171" s="533" t="s">
        <v>657</v>
      </c>
      <c r="M171" s="539" t="s">
        <v>657</v>
      </c>
      <c r="N171" s="539" t="s">
        <v>657</v>
      </c>
      <c r="O171" s="529" t="s">
        <v>657</v>
      </c>
      <c r="P171" s="530" t="s">
        <v>657</v>
      </c>
      <c r="Q171" s="540" t="s">
        <v>657</v>
      </c>
      <c r="R171" s="538"/>
      <c r="S171" s="533" t="s">
        <v>657</v>
      </c>
      <c r="T171" s="539" t="s">
        <v>657</v>
      </c>
      <c r="U171" s="539" t="s">
        <v>657</v>
      </c>
      <c r="V171" s="529" t="s">
        <v>657</v>
      </c>
      <c r="W171" s="530" t="s">
        <v>657</v>
      </c>
      <c r="X171" s="540" t="s">
        <v>657</v>
      </c>
    </row>
    <row r="172" spans="1:24" x14ac:dyDescent="0.25">
      <c r="A172" s="535">
        <f t="shared" si="2"/>
        <v>-126</v>
      </c>
      <c r="B172" s="846" t="s">
        <v>657</v>
      </c>
      <c r="C172" s="537"/>
      <c r="D172" s="854" t="s">
        <v>657</v>
      </c>
      <c r="E172" s="852" t="s">
        <v>657</v>
      </c>
      <c r="F172" s="852" t="s">
        <v>657</v>
      </c>
      <c r="G172" s="849" t="s">
        <v>657</v>
      </c>
      <c r="H172" s="850" t="s">
        <v>657</v>
      </c>
      <c r="I172" s="887"/>
      <c r="J172" s="853" t="s">
        <v>657</v>
      </c>
      <c r="K172" s="538"/>
      <c r="L172" s="533" t="s">
        <v>657</v>
      </c>
      <c r="M172" s="539" t="s">
        <v>657</v>
      </c>
      <c r="N172" s="539" t="s">
        <v>657</v>
      </c>
      <c r="O172" s="529" t="s">
        <v>657</v>
      </c>
      <c r="P172" s="530" t="s">
        <v>657</v>
      </c>
      <c r="Q172" s="540" t="s">
        <v>657</v>
      </c>
      <c r="R172" s="538"/>
      <c r="S172" s="533" t="s">
        <v>657</v>
      </c>
      <c r="T172" s="539" t="s">
        <v>657</v>
      </c>
      <c r="U172" s="539" t="s">
        <v>657</v>
      </c>
      <c r="V172" s="529" t="s">
        <v>657</v>
      </c>
      <c r="W172" s="530" t="s">
        <v>657</v>
      </c>
      <c r="X172" s="540" t="s">
        <v>657</v>
      </c>
    </row>
    <row r="173" spans="1:24" x14ac:dyDescent="0.25">
      <c r="A173" s="535">
        <f t="shared" si="2"/>
        <v>-127</v>
      </c>
      <c r="B173" s="846" t="s">
        <v>657</v>
      </c>
      <c r="C173" s="537"/>
      <c r="D173" s="854" t="s">
        <v>657</v>
      </c>
      <c r="E173" s="852" t="s">
        <v>657</v>
      </c>
      <c r="F173" s="852" t="s">
        <v>657</v>
      </c>
      <c r="G173" s="849" t="s">
        <v>657</v>
      </c>
      <c r="H173" s="850" t="s">
        <v>657</v>
      </c>
      <c r="I173" s="887"/>
      <c r="J173" s="853" t="s">
        <v>657</v>
      </c>
      <c r="K173" s="538"/>
      <c r="L173" s="533" t="s">
        <v>657</v>
      </c>
      <c r="M173" s="539" t="s">
        <v>657</v>
      </c>
      <c r="N173" s="539" t="s">
        <v>657</v>
      </c>
      <c r="O173" s="529" t="s">
        <v>657</v>
      </c>
      <c r="P173" s="530" t="s">
        <v>657</v>
      </c>
      <c r="Q173" s="540" t="s">
        <v>657</v>
      </c>
      <c r="R173" s="538"/>
      <c r="S173" s="533" t="s">
        <v>657</v>
      </c>
      <c r="T173" s="539" t="s">
        <v>657</v>
      </c>
      <c r="U173" s="539" t="s">
        <v>657</v>
      </c>
      <c r="V173" s="529" t="s">
        <v>657</v>
      </c>
      <c r="W173" s="530" t="s">
        <v>657</v>
      </c>
      <c r="X173" s="540" t="s">
        <v>657</v>
      </c>
    </row>
    <row r="174" spans="1:24" x14ac:dyDescent="0.25">
      <c r="A174" s="535">
        <f t="shared" si="2"/>
        <v>-128</v>
      </c>
      <c r="B174" s="846" t="s">
        <v>657</v>
      </c>
      <c r="C174" s="537"/>
      <c r="D174" s="854" t="s">
        <v>657</v>
      </c>
      <c r="E174" s="852" t="s">
        <v>657</v>
      </c>
      <c r="F174" s="852" t="s">
        <v>657</v>
      </c>
      <c r="G174" s="849" t="s">
        <v>657</v>
      </c>
      <c r="H174" s="850" t="s">
        <v>657</v>
      </c>
      <c r="I174" s="887"/>
      <c r="J174" s="853" t="s">
        <v>657</v>
      </c>
      <c r="K174" s="538"/>
      <c r="L174" s="533" t="s">
        <v>657</v>
      </c>
      <c r="M174" s="539" t="s">
        <v>657</v>
      </c>
      <c r="N174" s="539" t="s">
        <v>657</v>
      </c>
      <c r="O174" s="529" t="s">
        <v>657</v>
      </c>
      <c r="P174" s="530" t="s">
        <v>657</v>
      </c>
      <c r="Q174" s="540" t="s">
        <v>657</v>
      </c>
      <c r="R174" s="538"/>
      <c r="S174" s="533" t="s">
        <v>657</v>
      </c>
      <c r="T174" s="539" t="s">
        <v>657</v>
      </c>
      <c r="U174" s="539" t="s">
        <v>657</v>
      </c>
      <c r="V174" s="529" t="s">
        <v>657</v>
      </c>
      <c r="W174" s="530" t="s">
        <v>657</v>
      </c>
      <c r="X174" s="540" t="s">
        <v>657</v>
      </c>
    </row>
    <row r="175" spans="1:24" x14ac:dyDescent="0.25">
      <c r="A175" s="535">
        <f t="shared" si="2"/>
        <v>-129</v>
      </c>
      <c r="B175" s="846" t="s">
        <v>657</v>
      </c>
      <c r="C175" s="537"/>
      <c r="D175" s="854" t="s">
        <v>657</v>
      </c>
      <c r="E175" s="852" t="s">
        <v>657</v>
      </c>
      <c r="F175" s="852" t="s">
        <v>657</v>
      </c>
      <c r="G175" s="849" t="s">
        <v>657</v>
      </c>
      <c r="H175" s="850" t="s">
        <v>657</v>
      </c>
      <c r="I175" s="887"/>
      <c r="J175" s="853" t="s">
        <v>657</v>
      </c>
      <c r="K175" s="538"/>
      <c r="L175" s="533" t="s">
        <v>657</v>
      </c>
      <c r="M175" s="539" t="s">
        <v>657</v>
      </c>
      <c r="N175" s="539" t="s">
        <v>657</v>
      </c>
      <c r="O175" s="529" t="s">
        <v>657</v>
      </c>
      <c r="P175" s="530" t="s">
        <v>657</v>
      </c>
      <c r="Q175" s="540" t="s">
        <v>657</v>
      </c>
      <c r="R175" s="538"/>
      <c r="S175" s="533" t="s">
        <v>657</v>
      </c>
      <c r="T175" s="539" t="s">
        <v>657</v>
      </c>
      <c r="U175" s="539" t="s">
        <v>657</v>
      </c>
      <c r="V175" s="529" t="s">
        <v>657</v>
      </c>
      <c r="W175" s="530" t="s">
        <v>657</v>
      </c>
      <c r="X175" s="540" t="s">
        <v>657</v>
      </c>
    </row>
    <row r="176" spans="1:24" x14ac:dyDescent="0.25">
      <c r="A176" s="535">
        <f t="shared" si="2"/>
        <v>-130</v>
      </c>
      <c r="B176" s="846" t="s">
        <v>657</v>
      </c>
      <c r="C176" s="537"/>
      <c r="D176" s="854" t="s">
        <v>657</v>
      </c>
      <c r="E176" s="852" t="s">
        <v>657</v>
      </c>
      <c r="F176" s="852" t="s">
        <v>657</v>
      </c>
      <c r="G176" s="849" t="s">
        <v>657</v>
      </c>
      <c r="H176" s="850" t="s">
        <v>657</v>
      </c>
      <c r="I176" s="887"/>
      <c r="J176" s="853" t="s">
        <v>657</v>
      </c>
      <c r="K176" s="538"/>
      <c r="L176" s="533" t="s">
        <v>657</v>
      </c>
      <c r="M176" s="539" t="s">
        <v>657</v>
      </c>
      <c r="N176" s="539" t="s">
        <v>657</v>
      </c>
      <c r="O176" s="529" t="s">
        <v>657</v>
      </c>
      <c r="P176" s="530" t="s">
        <v>657</v>
      </c>
      <c r="Q176" s="540" t="s">
        <v>657</v>
      </c>
      <c r="R176" s="538"/>
      <c r="S176" s="533" t="s">
        <v>657</v>
      </c>
      <c r="T176" s="539" t="s">
        <v>657</v>
      </c>
      <c r="U176" s="539" t="s">
        <v>657</v>
      </c>
      <c r="V176" s="529" t="s">
        <v>657</v>
      </c>
      <c r="W176" s="530" t="s">
        <v>657</v>
      </c>
      <c r="X176" s="540" t="s">
        <v>657</v>
      </c>
    </row>
    <row r="177" spans="1:24" x14ac:dyDescent="0.25">
      <c r="A177" s="535">
        <f t="shared" si="2"/>
        <v>-131</v>
      </c>
      <c r="B177" s="846" t="s">
        <v>657</v>
      </c>
      <c r="C177" s="537"/>
      <c r="D177" s="854" t="s">
        <v>657</v>
      </c>
      <c r="E177" s="852" t="s">
        <v>657</v>
      </c>
      <c r="F177" s="852" t="s">
        <v>657</v>
      </c>
      <c r="G177" s="849" t="s">
        <v>657</v>
      </c>
      <c r="H177" s="850" t="s">
        <v>657</v>
      </c>
      <c r="I177" s="887"/>
      <c r="J177" s="853" t="s">
        <v>657</v>
      </c>
      <c r="K177" s="538"/>
      <c r="L177" s="533" t="s">
        <v>657</v>
      </c>
      <c r="M177" s="539" t="s">
        <v>657</v>
      </c>
      <c r="N177" s="539" t="s">
        <v>657</v>
      </c>
      <c r="O177" s="529" t="s">
        <v>657</v>
      </c>
      <c r="P177" s="530" t="s">
        <v>657</v>
      </c>
      <c r="Q177" s="540" t="s">
        <v>657</v>
      </c>
      <c r="R177" s="538"/>
      <c r="S177" s="533" t="s">
        <v>657</v>
      </c>
      <c r="T177" s="539" t="s">
        <v>657</v>
      </c>
      <c r="U177" s="539" t="s">
        <v>657</v>
      </c>
      <c r="V177" s="529" t="s">
        <v>657</v>
      </c>
      <c r="W177" s="530" t="s">
        <v>657</v>
      </c>
      <c r="X177" s="540" t="s">
        <v>657</v>
      </c>
    </row>
    <row r="178" spans="1:24" x14ac:dyDescent="0.25">
      <c r="A178" s="535">
        <f t="shared" si="2"/>
        <v>-132</v>
      </c>
      <c r="B178" s="846" t="s">
        <v>657</v>
      </c>
      <c r="C178" s="537"/>
      <c r="D178" s="854" t="s">
        <v>657</v>
      </c>
      <c r="E178" s="852" t="s">
        <v>657</v>
      </c>
      <c r="F178" s="852" t="s">
        <v>657</v>
      </c>
      <c r="G178" s="849" t="s">
        <v>657</v>
      </c>
      <c r="H178" s="850" t="s">
        <v>657</v>
      </c>
      <c r="I178" s="887"/>
      <c r="J178" s="853" t="s">
        <v>657</v>
      </c>
      <c r="K178" s="538"/>
      <c r="L178" s="533" t="s">
        <v>657</v>
      </c>
      <c r="M178" s="539" t="s">
        <v>657</v>
      </c>
      <c r="N178" s="539" t="s">
        <v>657</v>
      </c>
      <c r="O178" s="529" t="s">
        <v>657</v>
      </c>
      <c r="P178" s="530" t="s">
        <v>657</v>
      </c>
      <c r="Q178" s="540" t="s">
        <v>657</v>
      </c>
      <c r="R178" s="538"/>
      <c r="S178" s="533" t="s">
        <v>657</v>
      </c>
      <c r="T178" s="539" t="s">
        <v>657</v>
      </c>
      <c r="U178" s="539" t="s">
        <v>657</v>
      </c>
      <c r="V178" s="529" t="s">
        <v>657</v>
      </c>
      <c r="W178" s="530" t="s">
        <v>657</v>
      </c>
      <c r="X178" s="540" t="s">
        <v>657</v>
      </c>
    </row>
    <row r="179" spans="1:24" x14ac:dyDescent="0.25">
      <c r="A179" s="535">
        <f t="shared" si="2"/>
        <v>-133</v>
      </c>
      <c r="B179" s="846" t="s">
        <v>657</v>
      </c>
      <c r="C179" s="537"/>
      <c r="D179" s="854" t="s">
        <v>657</v>
      </c>
      <c r="E179" s="852" t="s">
        <v>657</v>
      </c>
      <c r="F179" s="852" t="s">
        <v>657</v>
      </c>
      <c r="G179" s="849" t="s">
        <v>657</v>
      </c>
      <c r="H179" s="850" t="s">
        <v>657</v>
      </c>
      <c r="I179" s="887"/>
      <c r="J179" s="853" t="s">
        <v>657</v>
      </c>
      <c r="K179" s="538"/>
      <c r="L179" s="533" t="s">
        <v>657</v>
      </c>
      <c r="M179" s="539" t="s">
        <v>657</v>
      </c>
      <c r="N179" s="539" t="s">
        <v>657</v>
      </c>
      <c r="O179" s="529" t="s">
        <v>657</v>
      </c>
      <c r="P179" s="530" t="s">
        <v>657</v>
      </c>
      <c r="Q179" s="540" t="s">
        <v>657</v>
      </c>
      <c r="R179" s="538"/>
      <c r="S179" s="533" t="s">
        <v>657</v>
      </c>
      <c r="T179" s="539" t="s">
        <v>657</v>
      </c>
      <c r="U179" s="539" t="s">
        <v>657</v>
      </c>
      <c r="V179" s="529" t="s">
        <v>657</v>
      </c>
      <c r="W179" s="530" t="s">
        <v>657</v>
      </c>
      <c r="X179" s="540" t="s">
        <v>657</v>
      </c>
    </row>
    <row r="180" spans="1:24" x14ac:dyDescent="0.25">
      <c r="A180" s="535">
        <f t="shared" si="2"/>
        <v>-134</v>
      </c>
      <c r="B180" s="846" t="s">
        <v>657</v>
      </c>
      <c r="C180" s="537"/>
      <c r="D180" s="854" t="s">
        <v>657</v>
      </c>
      <c r="E180" s="852" t="s">
        <v>657</v>
      </c>
      <c r="F180" s="852" t="s">
        <v>657</v>
      </c>
      <c r="G180" s="849" t="s">
        <v>657</v>
      </c>
      <c r="H180" s="850" t="s">
        <v>657</v>
      </c>
      <c r="I180" s="887"/>
      <c r="J180" s="853" t="s">
        <v>657</v>
      </c>
      <c r="K180" s="538"/>
      <c r="L180" s="533" t="s">
        <v>657</v>
      </c>
      <c r="M180" s="539" t="s">
        <v>657</v>
      </c>
      <c r="N180" s="539" t="s">
        <v>657</v>
      </c>
      <c r="O180" s="529" t="s">
        <v>657</v>
      </c>
      <c r="P180" s="530" t="s">
        <v>657</v>
      </c>
      <c r="Q180" s="540" t="s">
        <v>657</v>
      </c>
      <c r="R180" s="538"/>
      <c r="S180" s="533" t="s">
        <v>657</v>
      </c>
      <c r="T180" s="539" t="s">
        <v>657</v>
      </c>
      <c r="U180" s="539" t="s">
        <v>657</v>
      </c>
      <c r="V180" s="529" t="s">
        <v>657</v>
      </c>
      <c r="W180" s="530" t="s">
        <v>657</v>
      </c>
      <c r="X180" s="540" t="s">
        <v>657</v>
      </c>
    </row>
    <row r="181" spans="1:24" x14ac:dyDescent="0.25">
      <c r="A181" s="535">
        <f t="shared" si="2"/>
        <v>-135</v>
      </c>
      <c r="B181" s="846" t="s">
        <v>657</v>
      </c>
      <c r="C181" s="537"/>
      <c r="D181" s="854" t="s">
        <v>657</v>
      </c>
      <c r="E181" s="852" t="s">
        <v>657</v>
      </c>
      <c r="F181" s="852" t="s">
        <v>657</v>
      </c>
      <c r="G181" s="849" t="s">
        <v>657</v>
      </c>
      <c r="H181" s="850" t="s">
        <v>657</v>
      </c>
      <c r="I181" s="887"/>
      <c r="J181" s="853" t="s">
        <v>657</v>
      </c>
      <c r="K181" s="538"/>
      <c r="L181" s="533" t="s">
        <v>657</v>
      </c>
      <c r="M181" s="539" t="s">
        <v>657</v>
      </c>
      <c r="N181" s="539" t="s">
        <v>657</v>
      </c>
      <c r="O181" s="529" t="s">
        <v>657</v>
      </c>
      <c r="P181" s="530" t="s">
        <v>657</v>
      </c>
      <c r="Q181" s="540" t="s">
        <v>657</v>
      </c>
      <c r="R181" s="538"/>
      <c r="S181" s="533" t="s">
        <v>657</v>
      </c>
      <c r="T181" s="539" t="s">
        <v>657</v>
      </c>
      <c r="U181" s="539" t="s">
        <v>657</v>
      </c>
      <c r="V181" s="529" t="s">
        <v>657</v>
      </c>
      <c r="W181" s="530" t="s">
        <v>657</v>
      </c>
      <c r="X181" s="540" t="s">
        <v>657</v>
      </c>
    </row>
    <row r="182" spans="1:24" x14ac:dyDescent="0.25">
      <c r="A182" s="535">
        <f t="shared" si="2"/>
        <v>-136</v>
      </c>
      <c r="B182" s="846" t="s">
        <v>657</v>
      </c>
      <c r="C182" s="537"/>
      <c r="D182" s="854" t="s">
        <v>657</v>
      </c>
      <c r="E182" s="852" t="s">
        <v>657</v>
      </c>
      <c r="F182" s="852" t="s">
        <v>657</v>
      </c>
      <c r="G182" s="849" t="s">
        <v>657</v>
      </c>
      <c r="H182" s="850" t="s">
        <v>657</v>
      </c>
      <c r="I182" s="887"/>
      <c r="J182" s="853" t="s">
        <v>657</v>
      </c>
      <c r="K182" s="538"/>
      <c r="L182" s="533" t="s">
        <v>657</v>
      </c>
      <c r="M182" s="539" t="s">
        <v>657</v>
      </c>
      <c r="N182" s="539" t="s">
        <v>657</v>
      </c>
      <c r="O182" s="529" t="s">
        <v>657</v>
      </c>
      <c r="P182" s="530" t="s">
        <v>657</v>
      </c>
      <c r="Q182" s="540" t="s">
        <v>657</v>
      </c>
      <c r="R182" s="538"/>
      <c r="S182" s="533" t="s">
        <v>657</v>
      </c>
      <c r="T182" s="539" t="s">
        <v>657</v>
      </c>
      <c r="U182" s="539" t="s">
        <v>657</v>
      </c>
      <c r="V182" s="529" t="s">
        <v>657</v>
      </c>
      <c r="W182" s="530" t="s">
        <v>657</v>
      </c>
      <c r="X182" s="540" t="s">
        <v>657</v>
      </c>
    </row>
    <row r="183" spans="1:24" x14ac:dyDescent="0.25">
      <c r="A183" s="535">
        <f t="shared" si="2"/>
        <v>-137</v>
      </c>
      <c r="B183" s="846" t="s">
        <v>657</v>
      </c>
      <c r="C183" s="537"/>
      <c r="D183" s="854" t="s">
        <v>657</v>
      </c>
      <c r="E183" s="852" t="s">
        <v>657</v>
      </c>
      <c r="F183" s="852" t="s">
        <v>657</v>
      </c>
      <c r="G183" s="849" t="s">
        <v>657</v>
      </c>
      <c r="H183" s="850" t="s">
        <v>657</v>
      </c>
      <c r="I183" s="887"/>
      <c r="J183" s="853" t="s">
        <v>657</v>
      </c>
      <c r="K183" s="538"/>
      <c r="L183" s="533" t="s">
        <v>657</v>
      </c>
      <c r="M183" s="539" t="s">
        <v>657</v>
      </c>
      <c r="N183" s="539" t="s">
        <v>657</v>
      </c>
      <c r="O183" s="529" t="s">
        <v>657</v>
      </c>
      <c r="P183" s="530" t="s">
        <v>657</v>
      </c>
      <c r="Q183" s="540" t="s">
        <v>657</v>
      </c>
      <c r="R183" s="538"/>
      <c r="S183" s="533" t="s">
        <v>657</v>
      </c>
      <c r="T183" s="539" t="s">
        <v>657</v>
      </c>
      <c r="U183" s="539" t="s">
        <v>657</v>
      </c>
      <c r="V183" s="529" t="s">
        <v>657</v>
      </c>
      <c r="W183" s="530" t="s">
        <v>657</v>
      </c>
      <c r="X183" s="540" t="s">
        <v>657</v>
      </c>
    </row>
    <row r="184" spans="1:24" x14ac:dyDescent="0.25">
      <c r="A184" s="535">
        <f t="shared" si="2"/>
        <v>-138</v>
      </c>
      <c r="B184" s="846" t="s">
        <v>657</v>
      </c>
      <c r="C184" s="537"/>
      <c r="D184" s="854" t="s">
        <v>657</v>
      </c>
      <c r="E184" s="852" t="s">
        <v>657</v>
      </c>
      <c r="F184" s="852" t="s">
        <v>657</v>
      </c>
      <c r="G184" s="849" t="s">
        <v>657</v>
      </c>
      <c r="H184" s="850" t="s">
        <v>657</v>
      </c>
      <c r="I184" s="887"/>
      <c r="J184" s="853" t="s">
        <v>657</v>
      </c>
      <c r="K184" s="538"/>
      <c r="L184" s="533" t="s">
        <v>657</v>
      </c>
      <c r="M184" s="539" t="s">
        <v>657</v>
      </c>
      <c r="N184" s="539" t="s">
        <v>657</v>
      </c>
      <c r="O184" s="529" t="s">
        <v>657</v>
      </c>
      <c r="P184" s="530" t="s">
        <v>657</v>
      </c>
      <c r="Q184" s="540" t="s">
        <v>657</v>
      </c>
      <c r="R184" s="538"/>
      <c r="S184" s="533" t="s">
        <v>657</v>
      </c>
      <c r="T184" s="539" t="s">
        <v>657</v>
      </c>
      <c r="U184" s="539" t="s">
        <v>657</v>
      </c>
      <c r="V184" s="529" t="s">
        <v>657</v>
      </c>
      <c r="W184" s="530" t="s">
        <v>657</v>
      </c>
      <c r="X184" s="540" t="s">
        <v>657</v>
      </c>
    </row>
    <row r="185" spans="1:24" x14ac:dyDescent="0.25">
      <c r="A185" s="535">
        <f t="shared" si="2"/>
        <v>-139</v>
      </c>
      <c r="B185" s="846" t="s">
        <v>657</v>
      </c>
      <c r="C185" s="537"/>
      <c r="D185" s="854" t="s">
        <v>657</v>
      </c>
      <c r="E185" s="852" t="s">
        <v>657</v>
      </c>
      <c r="F185" s="852" t="s">
        <v>657</v>
      </c>
      <c r="G185" s="849" t="s">
        <v>657</v>
      </c>
      <c r="H185" s="850" t="s">
        <v>657</v>
      </c>
      <c r="I185" s="887"/>
      <c r="J185" s="853" t="s">
        <v>657</v>
      </c>
      <c r="K185" s="538"/>
      <c r="L185" s="533" t="s">
        <v>657</v>
      </c>
      <c r="M185" s="539" t="s">
        <v>657</v>
      </c>
      <c r="N185" s="539" t="s">
        <v>657</v>
      </c>
      <c r="O185" s="529" t="s">
        <v>657</v>
      </c>
      <c r="P185" s="530" t="s">
        <v>657</v>
      </c>
      <c r="Q185" s="540" t="s">
        <v>657</v>
      </c>
      <c r="R185" s="538"/>
      <c r="S185" s="533" t="s">
        <v>657</v>
      </c>
      <c r="T185" s="539" t="s">
        <v>657</v>
      </c>
      <c r="U185" s="539" t="s">
        <v>657</v>
      </c>
      <c r="V185" s="529" t="s">
        <v>657</v>
      </c>
      <c r="W185" s="530" t="s">
        <v>657</v>
      </c>
      <c r="X185" s="540" t="s">
        <v>657</v>
      </c>
    </row>
    <row r="186" spans="1:24" x14ac:dyDescent="0.25">
      <c r="A186" s="535">
        <f t="shared" si="2"/>
        <v>-140</v>
      </c>
      <c r="B186" s="846" t="s">
        <v>657</v>
      </c>
      <c r="C186" s="537"/>
      <c r="D186" s="854" t="s">
        <v>657</v>
      </c>
      <c r="E186" s="852" t="s">
        <v>657</v>
      </c>
      <c r="F186" s="852" t="s">
        <v>657</v>
      </c>
      <c r="G186" s="849" t="s">
        <v>657</v>
      </c>
      <c r="H186" s="850" t="s">
        <v>657</v>
      </c>
      <c r="I186" s="887"/>
      <c r="J186" s="853" t="s">
        <v>657</v>
      </c>
      <c r="K186" s="538"/>
      <c r="L186" s="533" t="s">
        <v>657</v>
      </c>
      <c r="M186" s="539" t="s">
        <v>657</v>
      </c>
      <c r="N186" s="539" t="s">
        <v>657</v>
      </c>
      <c r="O186" s="529" t="s">
        <v>657</v>
      </c>
      <c r="P186" s="530" t="s">
        <v>657</v>
      </c>
      <c r="Q186" s="540" t="s">
        <v>657</v>
      </c>
      <c r="R186" s="538"/>
      <c r="S186" s="533" t="s">
        <v>657</v>
      </c>
      <c r="T186" s="539" t="s">
        <v>657</v>
      </c>
      <c r="U186" s="539" t="s">
        <v>657</v>
      </c>
      <c r="V186" s="529" t="s">
        <v>657</v>
      </c>
      <c r="W186" s="530" t="s">
        <v>657</v>
      </c>
      <c r="X186" s="540" t="s">
        <v>657</v>
      </c>
    </row>
    <row r="187" spans="1:24" x14ac:dyDescent="0.25">
      <c r="A187" s="535">
        <f t="shared" si="2"/>
        <v>-141</v>
      </c>
      <c r="B187" s="846" t="s">
        <v>657</v>
      </c>
      <c r="C187" s="537"/>
      <c r="D187" s="854" t="s">
        <v>657</v>
      </c>
      <c r="E187" s="852" t="s">
        <v>657</v>
      </c>
      <c r="F187" s="852" t="s">
        <v>657</v>
      </c>
      <c r="G187" s="849" t="s">
        <v>657</v>
      </c>
      <c r="H187" s="850" t="s">
        <v>657</v>
      </c>
      <c r="I187" s="887"/>
      <c r="J187" s="853" t="s">
        <v>657</v>
      </c>
      <c r="K187" s="538"/>
      <c r="L187" s="533" t="s">
        <v>657</v>
      </c>
      <c r="M187" s="539" t="s">
        <v>657</v>
      </c>
      <c r="N187" s="539" t="s">
        <v>657</v>
      </c>
      <c r="O187" s="529" t="s">
        <v>657</v>
      </c>
      <c r="P187" s="530" t="s">
        <v>657</v>
      </c>
      <c r="Q187" s="540" t="s">
        <v>657</v>
      </c>
      <c r="R187" s="538"/>
      <c r="S187" s="533" t="s">
        <v>657</v>
      </c>
      <c r="T187" s="539" t="s">
        <v>657</v>
      </c>
      <c r="U187" s="539" t="s">
        <v>657</v>
      </c>
      <c r="V187" s="529" t="s">
        <v>657</v>
      </c>
      <c r="W187" s="530" t="s">
        <v>657</v>
      </c>
      <c r="X187" s="540" t="s">
        <v>657</v>
      </c>
    </row>
    <row r="188" spans="1:24" x14ac:dyDescent="0.25">
      <c r="A188" s="535">
        <f t="shared" si="2"/>
        <v>-142</v>
      </c>
      <c r="B188" s="846" t="s">
        <v>657</v>
      </c>
      <c r="C188" s="537"/>
      <c r="D188" s="854" t="s">
        <v>657</v>
      </c>
      <c r="E188" s="852" t="s">
        <v>657</v>
      </c>
      <c r="F188" s="852" t="s">
        <v>657</v>
      </c>
      <c r="G188" s="849" t="s">
        <v>657</v>
      </c>
      <c r="H188" s="850" t="s">
        <v>657</v>
      </c>
      <c r="I188" s="887"/>
      <c r="J188" s="853" t="s">
        <v>657</v>
      </c>
      <c r="K188" s="538"/>
      <c r="L188" s="533" t="s">
        <v>657</v>
      </c>
      <c r="M188" s="539" t="s">
        <v>657</v>
      </c>
      <c r="N188" s="539" t="s">
        <v>657</v>
      </c>
      <c r="O188" s="529" t="s">
        <v>657</v>
      </c>
      <c r="P188" s="530" t="s">
        <v>657</v>
      </c>
      <c r="Q188" s="540" t="s">
        <v>657</v>
      </c>
      <c r="R188" s="538"/>
      <c r="S188" s="533" t="s">
        <v>657</v>
      </c>
      <c r="T188" s="539" t="s">
        <v>657</v>
      </c>
      <c r="U188" s="539" t="s">
        <v>657</v>
      </c>
      <c r="V188" s="529" t="s">
        <v>657</v>
      </c>
      <c r="W188" s="530" t="s">
        <v>657</v>
      </c>
      <c r="X188" s="540" t="s">
        <v>657</v>
      </c>
    </row>
    <row r="189" spans="1:24" x14ac:dyDescent="0.25">
      <c r="A189" s="535">
        <f t="shared" si="2"/>
        <v>-143</v>
      </c>
      <c r="B189" s="846" t="s">
        <v>657</v>
      </c>
      <c r="C189" s="537"/>
      <c r="D189" s="854" t="s">
        <v>657</v>
      </c>
      <c r="E189" s="852" t="s">
        <v>657</v>
      </c>
      <c r="F189" s="852" t="s">
        <v>657</v>
      </c>
      <c r="G189" s="849" t="s">
        <v>657</v>
      </c>
      <c r="H189" s="850" t="s">
        <v>657</v>
      </c>
      <c r="I189" s="887"/>
      <c r="J189" s="853" t="s">
        <v>657</v>
      </c>
      <c r="K189" s="538"/>
      <c r="L189" s="533" t="s">
        <v>657</v>
      </c>
      <c r="M189" s="539" t="s">
        <v>657</v>
      </c>
      <c r="N189" s="539" t="s">
        <v>657</v>
      </c>
      <c r="O189" s="529" t="s">
        <v>657</v>
      </c>
      <c r="P189" s="530" t="s">
        <v>657</v>
      </c>
      <c r="Q189" s="540" t="s">
        <v>657</v>
      </c>
      <c r="R189" s="538"/>
      <c r="S189" s="533" t="s">
        <v>657</v>
      </c>
      <c r="T189" s="539" t="s">
        <v>657</v>
      </c>
      <c r="U189" s="539" t="s">
        <v>657</v>
      </c>
      <c r="V189" s="529" t="s">
        <v>657</v>
      </c>
      <c r="W189" s="530" t="s">
        <v>657</v>
      </c>
      <c r="X189" s="540" t="s">
        <v>657</v>
      </c>
    </row>
    <row r="190" spans="1:24" x14ac:dyDescent="0.25">
      <c r="A190" s="535">
        <f t="shared" si="2"/>
        <v>-144</v>
      </c>
      <c r="B190" s="846" t="s">
        <v>657</v>
      </c>
      <c r="C190" s="537"/>
      <c r="D190" s="854" t="s">
        <v>657</v>
      </c>
      <c r="E190" s="852" t="s">
        <v>657</v>
      </c>
      <c r="F190" s="852" t="s">
        <v>657</v>
      </c>
      <c r="G190" s="849" t="s">
        <v>657</v>
      </c>
      <c r="H190" s="850" t="s">
        <v>657</v>
      </c>
      <c r="I190" s="887"/>
      <c r="J190" s="853" t="s">
        <v>657</v>
      </c>
      <c r="K190" s="538"/>
      <c r="L190" s="533" t="s">
        <v>657</v>
      </c>
      <c r="M190" s="539" t="s">
        <v>657</v>
      </c>
      <c r="N190" s="539" t="s">
        <v>657</v>
      </c>
      <c r="O190" s="529" t="s">
        <v>657</v>
      </c>
      <c r="P190" s="530" t="s">
        <v>657</v>
      </c>
      <c r="Q190" s="540" t="s">
        <v>657</v>
      </c>
      <c r="R190" s="538"/>
      <c r="S190" s="533" t="s">
        <v>657</v>
      </c>
      <c r="T190" s="539" t="s">
        <v>657</v>
      </c>
      <c r="U190" s="539" t="s">
        <v>657</v>
      </c>
      <c r="V190" s="529" t="s">
        <v>657</v>
      </c>
      <c r="W190" s="530" t="s">
        <v>657</v>
      </c>
      <c r="X190" s="540" t="s">
        <v>657</v>
      </c>
    </row>
    <row r="191" spans="1:24" x14ac:dyDescent="0.25">
      <c r="A191" s="535">
        <f t="shared" si="2"/>
        <v>-145</v>
      </c>
      <c r="B191" s="846" t="s">
        <v>657</v>
      </c>
      <c r="C191" s="537"/>
      <c r="D191" s="854" t="s">
        <v>657</v>
      </c>
      <c r="E191" s="852" t="s">
        <v>657</v>
      </c>
      <c r="F191" s="852" t="s">
        <v>657</v>
      </c>
      <c r="G191" s="849" t="s">
        <v>657</v>
      </c>
      <c r="H191" s="850" t="s">
        <v>657</v>
      </c>
      <c r="I191" s="887"/>
      <c r="J191" s="853" t="s">
        <v>657</v>
      </c>
      <c r="K191" s="538"/>
      <c r="L191" s="533" t="s">
        <v>657</v>
      </c>
      <c r="M191" s="539" t="s">
        <v>657</v>
      </c>
      <c r="N191" s="539" t="s">
        <v>657</v>
      </c>
      <c r="O191" s="529" t="s">
        <v>657</v>
      </c>
      <c r="P191" s="530" t="s">
        <v>657</v>
      </c>
      <c r="Q191" s="540" t="s">
        <v>657</v>
      </c>
      <c r="R191" s="538"/>
      <c r="S191" s="533" t="s">
        <v>657</v>
      </c>
      <c r="T191" s="539" t="s">
        <v>657</v>
      </c>
      <c r="U191" s="539" t="s">
        <v>657</v>
      </c>
      <c r="V191" s="529" t="s">
        <v>657</v>
      </c>
      <c r="W191" s="530" t="s">
        <v>657</v>
      </c>
      <c r="X191" s="540" t="s">
        <v>657</v>
      </c>
    </row>
    <row r="192" spans="1:24" x14ac:dyDescent="0.25">
      <c r="A192" s="535">
        <f t="shared" si="2"/>
        <v>-146</v>
      </c>
      <c r="B192" s="846" t="s">
        <v>657</v>
      </c>
      <c r="C192" s="537"/>
      <c r="D192" s="854" t="s">
        <v>657</v>
      </c>
      <c r="E192" s="852" t="s">
        <v>657</v>
      </c>
      <c r="F192" s="852" t="s">
        <v>657</v>
      </c>
      <c r="G192" s="849" t="s">
        <v>657</v>
      </c>
      <c r="H192" s="850" t="s">
        <v>657</v>
      </c>
      <c r="I192" s="887"/>
      <c r="J192" s="853" t="s">
        <v>657</v>
      </c>
      <c r="K192" s="538"/>
      <c r="L192" s="533" t="s">
        <v>657</v>
      </c>
      <c r="M192" s="539" t="s">
        <v>657</v>
      </c>
      <c r="N192" s="539" t="s">
        <v>657</v>
      </c>
      <c r="O192" s="529" t="s">
        <v>657</v>
      </c>
      <c r="P192" s="530" t="s">
        <v>657</v>
      </c>
      <c r="Q192" s="540" t="s">
        <v>657</v>
      </c>
      <c r="R192" s="538"/>
      <c r="S192" s="533" t="s">
        <v>657</v>
      </c>
      <c r="T192" s="539" t="s">
        <v>657</v>
      </c>
      <c r="U192" s="539" t="s">
        <v>657</v>
      </c>
      <c r="V192" s="529" t="s">
        <v>657</v>
      </c>
      <c r="W192" s="530" t="s">
        <v>657</v>
      </c>
      <c r="X192" s="540" t="s">
        <v>657</v>
      </c>
    </row>
    <row r="193" spans="1:24" x14ac:dyDescent="0.25">
      <c r="A193" s="535">
        <f t="shared" si="2"/>
        <v>-147</v>
      </c>
      <c r="B193" s="846" t="s">
        <v>657</v>
      </c>
      <c r="C193" s="537"/>
      <c r="D193" s="854" t="s">
        <v>657</v>
      </c>
      <c r="E193" s="852" t="s">
        <v>657</v>
      </c>
      <c r="F193" s="852" t="s">
        <v>657</v>
      </c>
      <c r="G193" s="849" t="s">
        <v>657</v>
      </c>
      <c r="H193" s="850" t="s">
        <v>657</v>
      </c>
      <c r="I193" s="887"/>
      <c r="J193" s="853" t="s">
        <v>657</v>
      </c>
      <c r="K193" s="538"/>
      <c r="L193" s="533" t="s">
        <v>657</v>
      </c>
      <c r="M193" s="539" t="s">
        <v>657</v>
      </c>
      <c r="N193" s="539" t="s">
        <v>657</v>
      </c>
      <c r="O193" s="529" t="s">
        <v>657</v>
      </c>
      <c r="P193" s="530" t="s">
        <v>657</v>
      </c>
      <c r="Q193" s="540" t="s">
        <v>657</v>
      </c>
      <c r="R193" s="538"/>
      <c r="S193" s="533" t="s">
        <v>657</v>
      </c>
      <c r="T193" s="539" t="s">
        <v>657</v>
      </c>
      <c r="U193" s="539" t="s">
        <v>657</v>
      </c>
      <c r="V193" s="529" t="s">
        <v>657</v>
      </c>
      <c r="W193" s="530" t="s">
        <v>657</v>
      </c>
      <c r="X193" s="540" t="s">
        <v>657</v>
      </c>
    </row>
    <row r="194" spans="1:24" x14ac:dyDescent="0.25">
      <c r="A194" s="535">
        <f t="shared" si="2"/>
        <v>-148</v>
      </c>
      <c r="B194" s="846" t="s">
        <v>657</v>
      </c>
      <c r="C194" s="537"/>
      <c r="D194" s="854" t="s">
        <v>657</v>
      </c>
      <c r="E194" s="852" t="s">
        <v>657</v>
      </c>
      <c r="F194" s="852" t="s">
        <v>657</v>
      </c>
      <c r="G194" s="849" t="s">
        <v>657</v>
      </c>
      <c r="H194" s="850" t="s">
        <v>657</v>
      </c>
      <c r="I194" s="887"/>
      <c r="J194" s="853" t="s">
        <v>657</v>
      </c>
      <c r="K194" s="538"/>
      <c r="L194" s="533" t="s">
        <v>657</v>
      </c>
      <c r="M194" s="539" t="s">
        <v>657</v>
      </c>
      <c r="N194" s="539" t="s">
        <v>657</v>
      </c>
      <c r="O194" s="529" t="s">
        <v>657</v>
      </c>
      <c r="P194" s="530" t="s">
        <v>657</v>
      </c>
      <c r="Q194" s="540" t="s">
        <v>657</v>
      </c>
      <c r="R194" s="538"/>
      <c r="S194" s="533" t="s">
        <v>657</v>
      </c>
      <c r="T194" s="539" t="s">
        <v>657</v>
      </c>
      <c r="U194" s="539" t="s">
        <v>657</v>
      </c>
      <c r="V194" s="529" t="s">
        <v>657</v>
      </c>
      <c r="W194" s="530" t="s">
        <v>657</v>
      </c>
      <c r="X194" s="540" t="s">
        <v>657</v>
      </c>
    </row>
    <row r="195" spans="1:24" x14ac:dyDescent="0.25">
      <c r="A195" s="535">
        <f t="shared" si="2"/>
        <v>-149</v>
      </c>
      <c r="B195" s="846" t="s">
        <v>657</v>
      </c>
      <c r="C195" s="537"/>
      <c r="D195" s="854" t="s">
        <v>657</v>
      </c>
      <c r="E195" s="852" t="s">
        <v>657</v>
      </c>
      <c r="F195" s="852" t="s">
        <v>657</v>
      </c>
      <c r="G195" s="849" t="s">
        <v>657</v>
      </c>
      <c r="H195" s="850" t="s">
        <v>657</v>
      </c>
      <c r="I195" s="887"/>
      <c r="J195" s="853" t="s">
        <v>657</v>
      </c>
      <c r="K195" s="538"/>
      <c r="L195" s="533" t="s">
        <v>657</v>
      </c>
      <c r="M195" s="539" t="s">
        <v>657</v>
      </c>
      <c r="N195" s="539" t="s">
        <v>657</v>
      </c>
      <c r="O195" s="529" t="s">
        <v>657</v>
      </c>
      <c r="P195" s="530" t="s">
        <v>657</v>
      </c>
      <c r="Q195" s="540" t="s">
        <v>657</v>
      </c>
      <c r="R195" s="538"/>
      <c r="S195" s="533" t="s">
        <v>657</v>
      </c>
      <c r="T195" s="539" t="s">
        <v>657</v>
      </c>
      <c r="U195" s="539" t="s">
        <v>657</v>
      </c>
      <c r="V195" s="529" t="s">
        <v>657</v>
      </c>
      <c r="W195" s="530" t="s">
        <v>657</v>
      </c>
      <c r="X195" s="540" t="s">
        <v>657</v>
      </c>
    </row>
    <row r="196" spans="1:24" x14ac:dyDescent="0.25">
      <c r="A196" s="535">
        <f t="shared" si="2"/>
        <v>-150</v>
      </c>
      <c r="B196" s="846" t="s">
        <v>657</v>
      </c>
      <c r="C196" s="537"/>
      <c r="D196" s="854" t="s">
        <v>657</v>
      </c>
      <c r="E196" s="852" t="s">
        <v>657</v>
      </c>
      <c r="F196" s="852" t="s">
        <v>657</v>
      </c>
      <c r="G196" s="849" t="s">
        <v>657</v>
      </c>
      <c r="H196" s="850" t="s">
        <v>657</v>
      </c>
      <c r="I196" s="887"/>
      <c r="J196" s="853" t="s">
        <v>657</v>
      </c>
      <c r="K196" s="538"/>
      <c r="L196" s="533" t="s">
        <v>657</v>
      </c>
      <c r="M196" s="539" t="s">
        <v>657</v>
      </c>
      <c r="N196" s="539" t="s">
        <v>657</v>
      </c>
      <c r="O196" s="529" t="s">
        <v>657</v>
      </c>
      <c r="P196" s="530" t="s">
        <v>657</v>
      </c>
      <c r="Q196" s="540" t="s">
        <v>657</v>
      </c>
      <c r="R196" s="538"/>
      <c r="S196" s="533" t="s">
        <v>657</v>
      </c>
      <c r="T196" s="539" t="s">
        <v>657</v>
      </c>
      <c r="U196" s="539" t="s">
        <v>657</v>
      </c>
      <c r="V196" s="529" t="s">
        <v>657</v>
      </c>
      <c r="W196" s="530" t="s">
        <v>657</v>
      </c>
      <c r="X196" s="540" t="s">
        <v>657</v>
      </c>
    </row>
    <row r="197" spans="1:24" x14ac:dyDescent="0.25">
      <c r="A197" s="535">
        <f t="shared" si="2"/>
        <v>-151</v>
      </c>
      <c r="B197" s="846" t="s">
        <v>657</v>
      </c>
      <c r="C197" s="537"/>
      <c r="D197" s="854" t="s">
        <v>657</v>
      </c>
      <c r="E197" s="852" t="s">
        <v>657</v>
      </c>
      <c r="F197" s="852" t="s">
        <v>657</v>
      </c>
      <c r="G197" s="849" t="s">
        <v>657</v>
      </c>
      <c r="H197" s="850" t="s">
        <v>657</v>
      </c>
      <c r="I197" s="887"/>
      <c r="J197" s="853" t="s">
        <v>657</v>
      </c>
      <c r="K197" s="538"/>
      <c r="L197" s="533" t="s">
        <v>657</v>
      </c>
      <c r="M197" s="539" t="s">
        <v>657</v>
      </c>
      <c r="N197" s="539" t="s">
        <v>657</v>
      </c>
      <c r="O197" s="529" t="s">
        <v>657</v>
      </c>
      <c r="P197" s="530" t="s">
        <v>657</v>
      </c>
      <c r="Q197" s="540" t="s">
        <v>657</v>
      </c>
      <c r="R197" s="538"/>
      <c r="S197" s="533" t="s">
        <v>657</v>
      </c>
      <c r="T197" s="539" t="s">
        <v>657</v>
      </c>
      <c r="U197" s="539" t="s">
        <v>657</v>
      </c>
      <c r="V197" s="529" t="s">
        <v>657</v>
      </c>
      <c r="W197" s="530" t="s">
        <v>657</v>
      </c>
      <c r="X197" s="540" t="s">
        <v>657</v>
      </c>
    </row>
    <row r="198" spans="1:24" x14ac:dyDescent="0.25">
      <c r="A198" s="535">
        <f t="shared" si="2"/>
        <v>-152</v>
      </c>
      <c r="B198" s="846" t="s">
        <v>657</v>
      </c>
      <c r="C198" s="537"/>
      <c r="D198" s="854" t="s">
        <v>657</v>
      </c>
      <c r="E198" s="852" t="s">
        <v>657</v>
      </c>
      <c r="F198" s="852" t="s">
        <v>657</v>
      </c>
      <c r="G198" s="849" t="s">
        <v>657</v>
      </c>
      <c r="H198" s="850" t="s">
        <v>657</v>
      </c>
      <c r="I198" s="887"/>
      <c r="J198" s="853" t="s">
        <v>657</v>
      </c>
      <c r="K198" s="538"/>
      <c r="L198" s="533" t="s">
        <v>657</v>
      </c>
      <c r="M198" s="539" t="s">
        <v>657</v>
      </c>
      <c r="N198" s="539" t="s">
        <v>657</v>
      </c>
      <c r="O198" s="529" t="s">
        <v>657</v>
      </c>
      <c r="P198" s="530" t="s">
        <v>657</v>
      </c>
      <c r="Q198" s="540" t="s">
        <v>657</v>
      </c>
      <c r="R198" s="538"/>
      <c r="S198" s="533" t="s">
        <v>657</v>
      </c>
      <c r="T198" s="539" t="s">
        <v>657</v>
      </c>
      <c r="U198" s="539" t="s">
        <v>657</v>
      </c>
      <c r="V198" s="529" t="s">
        <v>657</v>
      </c>
      <c r="W198" s="530" t="s">
        <v>657</v>
      </c>
      <c r="X198" s="540" t="s">
        <v>657</v>
      </c>
    </row>
    <row r="199" spans="1:24" x14ac:dyDescent="0.25">
      <c r="A199" s="535">
        <f t="shared" si="2"/>
        <v>-153</v>
      </c>
      <c r="B199" s="846" t="s">
        <v>657</v>
      </c>
      <c r="C199" s="537"/>
      <c r="D199" s="854" t="s">
        <v>657</v>
      </c>
      <c r="E199" s="852" t="s">
        <v>657</v>
      </c>
      <c r="F199" s="852" t="s">
        <v>657</v>
      </c>
      <c r="G199" s="849" t="s">
        <v>657</v>
      </c>
      <c r="H199" s="850" t="s">
        <v>657</v>
      </c>
      <c r="I199" s="887"/>
      <c r="J199" s="853" t="s">
        <v>657</v>
      </c>
      <c r="K199" s="538"/>
      <c r="L199" s="533" t="s">
        <v>657</v>
      </c>
      <c r="M199" s="539" t="s">
        <v>657</v>
      </c>
      <c r="N199" s="539" t="s">
        <v>657</v>
      </c>
      <c r="O199" s="529" t="s">
        <v>657</v>
      </c>
      <c r="P199" s="530" t="s">
        <v>657</v>
      </c>
      <c r="Q199" s="540" t="s">
        <v>657</v>
      </c>
      <c r="R199" s="538"/>
      <c r="S199" s="533" t="s">
        <v>657</v>
      </c>
      <c r="T199" s="539" t="s">
        <v>657</v>
      </c>
      <c r="U199" s="539" t="s">
        <v>657</v>
      </c>
      <c r="V199" s="529" t="s">
        <v>657</v>
      </c>
      <c r="W199" s="530" t="s">
        <v>657</v>
      </c>
      <c r="X199" s="540" t="s">
        <v>657</v>
      </c>
    </row>
    <row r="200" spans="1:24" x14ac:dyDescent="0.25">
      <c r="A200" s="535">
        <f t="shared" si="2"/>
        <v>-154</v>
      </c>
      <c r="B200" s="846" t="s">
        <v>657</v>
      </c>
      <c r="C200" s="537"/>
      <c r="D200" s="854" t="s">
        <v>657</v>
      </c>
      <c r="E200" s="852" t="s">
        <v>657</v>
      </c>
      <c r="F200" s="852" t="s">
        <v>657</v>
      </c>
      <c r="G200" s="849" t="s">
        <v>657</v>
      </c>
      <c r="H200" s="850" t="s">
        <v>657</v>
      </c>
      <c r="I200" s="887"/>
      <c r="J200" s="853" t="s">
        <v>657</v>
      </c>
      <c r="K200" s="538"/>
      <c r="L200" s="533" t="s">
        <v>657</v>
      </c>
      <c r="M200" s="539" t="s">
        <v>657</v>
      </c>
      <c r="N200" s="539" t="s">
        <v>657</v>
      </c>
      <c r="O200" s="529" t="s">
        <v>657</v>
      </c>
      <c r="P200" s="530" t="s">
        <v>657</v>
      </c>
      <c r="Q200" s="540" t="s">
        <v>657</v>
      </c>
      <c r="R200" s="538"/>
      <c r="S200" s="533" t="s">
        <v>657</v>
      </c>
      <c r="T200" s="539" t="s">
        <v>657</v>
      </c>
      <c r="U200" s="539" t="s">
        <v>657</v>
      </c>
      <c r="V200" s="529" t="s">
        <v>657</v>
      </c>
      <c r="W200" s="530" t="s">
        <v>657</v>
      </c>
      <c r="X200" s="540" t="s">
        <v>657</v>
      </c>
    </row>
    <row r="201" spans="1:24" x14ac:dyDescent="0.25">
      <c r="A201" s="535">
        <f t="shared" si="2"/>
        <v>-155</v>
      </c>
      <c r="B201" s="846" t="s">
        <v>657</v>
      </c>
      <c r="C201" s="537"/>
      <c r="D201" s="854" t="s">
        <v>657</v>
      </c>
      <c r="E201" s="852" t="s">
        <v>657</v>
      </c>
      <c r="F201" s="852" t="s">
        <v>657</v>
      </c>
      <c r="G201" s="849" t="s">
        <v>657</v>
      </c>
      <c r="H201" s="850" t="s">
        <v>657</v>
      </c>
      <c r="I201" s="887"/>
      <c r="J201" s="853" t="s">
        <v>657</v>
      </c>
      <c r="K201" s="538"/>
      <c r="L201" s="533" t="s">
        <v>657</v>
      </c>
      <c r="M201" s="539" t="s">
        <v>657</v>
      </c>
      <c r="N201" s="539" t="s">
        <v>657</v>
      </c>
      <c r="O201" s="529" t="s">
        <v>657</v>
      </c>
      <c r="P201" s="530" t="s">
        <v>657</v>
      </c>
      <c r="Q201" s="540" t="s">
        <v>657</v>
      </c>
      <c r="R201" s="538"/>
      <c r="S201" s="533" t="s">
        <v>657</v>
      </c>
      <c r="T201" s="539" t="s">
        <v>657</v>
      </c>
      <c r="U201" s="539" t="s">
        <v>657</v>
      </c>
      <c r="V201" s="529" t="s">
        <v>657</v>
      </c>
      <c r="W201" s="530" t="s">
        <v>657</v>
      </c>
      <c r="X201" s="540" t="s">
        <v>657</v>
      </c>
    </row>
    <row r="202" spans="1:24" x14ac:dyDescent="0.25">
      <c r="A202" s="535">
        <f t="shared" si="2"/>
        <v>-156</v>
      </c>
      <c r="B202" s="846" t="s">
        <v>657</v>
      </c>
      <c r="C202" s="537"/>
      <c r="D202" s="854" t="s">
        <v>657</v>
      </c>
      <c r="E202" s="852" t="s">
        <v>657</v>
      </c>
      <c r="F202" s="852" t="s">
        <v>657</v>
      </c>
      <c r="G202" s="849" t="s">
        <v>657</v>
      </c>
      <c r="H202" s="850" t="s">
        <v>657</v>
      </c>
      <c r="I202" s="887"/>
      <c r="J202" s="853" t="s">
        <v>657</v>
      </c>
      <c r="K202" s="538"/>
      <c r="L202" s="533" t="s">
        <v>657</v>
      </c>
      <c r="M202" s="539" t="s">
        <v>657</v>
      </c>
      <c r="N202" s="539" t="s">
        <v>657</v>
      </c>
      <c r="O202" s="529" t="s">
        <v>657</v>
      </c>
      <c r="P202" s="530" t="s">
        <v>657</v>
      </c>
      <c r="Q202" s="540" t="s">
        <v>657</v>
      </c>
      <c r="R202" s="538"/>
      <c r="S202" s="533" t="s">
        <v>657</v>
      </c>
      <c r="T202" s="539" t="s">
        <v>657</v>
      </c>
      <c r="U202" s="539" t="s">
        <v>657</v>
      </c>
      <c r="V202" s="529" t="s">
        <v>657</v>
      </c>
      <c r="W202" s="530" t="s">
        <v>657</v>
      </c>
      <c r="X202" s="540" t="s">
        <v>657</v>
      </c>
    </row>
    <row r="203" spans="1:24" x14ac:dyDescent="0.25">
      <c r="A203" s="535">
        <f t="shared" si="2"/>
        <v>-157</v>
      </c>
      <c r="B203" s="846" t="s">
        <v>657</v>
      </c>
      <c r="C203" s="537"/>
      <c r="D203" s="854" t="s">
        <v>657</v>
      </c>
      <c r="E203" s="852" t="s">
        <v>657</v>
      </c>
      <c r="F203" s="852" t="s">
        <v>657</v>
      </c>
      <c r="G203" s="849" t="s">
        <v>657</v>
      </c>
      <c r="H203" s="850" t="s">
        <v>657</v>
      </c>
      <c r="I203" s="887"/>
      <c r="J203" s="853" t="s">
        <v>657</v>
      </c>
      <c r="K203" s="538"/>
      <c r="L203" s="533" t="s">
        <v>657</v>
      </c>
      <c r="M203" s="539" t="s">
        <v>657</v>
      </c>
      <c r="N203" s="539" t="s">
        <v>657</v>
      </c>
      <c r="O203" s="529" t="s">
        <v>657</v>
      </c>
      <c r="P203" s="530" t="s">
        <v>657</v>
      </c>
      <c r="Q203" s="540" t="s">
        <v>657</v>
      </c>
      <c r="R203" s="538"/>
      <c r="S203" s="533" t="s">
        <v>657</v>
      </c>
      <c r="T203" s="539" t="s">
        <v>657</v>
      </c>
      <c r="U203" s="539" t="s">
        <v>657</v>
      </c>
      <c r="V203" s="529" t="s">
        <v>657</v>
      </c>
      <c r="W203" s="530" t="s">
        <v>657</v>
      </c>
      <c r="X203" s="540" t="s">
        <v>657</v>
      </c>
    </row>
    <row r="204" spans="1:24" x14ac:dyDescent="0.25">
      <c r="A204" s="535">
        <f t="shared" si="2"/>
        <v>-158</v>
      </c>
      <c r="B204" s="846" t="s">
        <v>657</v>
      </c>
      <c r="C204" s="537"/>
      <c r="D204" s="854" t="s">
        <v>657</v>
      </c>
      <c r="E204" s="852" t="s">
        <v>657</v>
      </c>
      <c r="F204" s="852" t="s">
        <v>657</v>
      </c>
      <c r="G204" s="849" t="s">
        <v>657</v>
      </c>
      <c r="H204" s="850" t="s">
        <v>657</v>
      </c>
      <c r="I204" s="887"/>
      <c r="J204" s="853" t="s">
        <v>657</v>
      </c>
      <c r="K204" s="538"/>
      <c r="L204" s="533" t="s">
        <v>657</v>
      </c>
      <c r="M204" s="539" t="s">
        <v>657</v>
      </c>
      <c r="N204" s="539" t="s">
        <v>657</v>
      </c>
      <c r="O204" s="529" t="s">
        <v>657</v>
      </c>
      <c r="P204" s="530" t="s">
        <v>657</v>
      </c>
      <c r="Q204" s="540" t="s">
        <v>657</v>
      </c>
      <c r="R204" s="538"/>
      <c r="S204" s="533" t="s">
        <v>657</v>
      </c>
      <c r="T204" s="539" t="s">
        <v>657</v>
      </c>
      <c r="U204" s="539" t="s">
        <v>657</v>
      </c>
      <c r="V204" s="529" t="s">
        <v>657</v>
      </c>
      <c r="W204" s="530" t="s">
        <v>657</v>
      </c>
      <c r="X204" s="540" t="s">
        <v>657</v>
      </c>
    </row>
    <row r="205" spans="1:24" x14ac:dyDescent="0.25">
      <c r="A205" s="535">
        <f t="shared" si="2"/>
        <v>-159</v>
      </c>
      <c r="B205" s="846" t="s">
        <v>657</v>
      </c>
      <c r="C205" s="537"/>
      <c r="D205" s="854" t="s">
        <v>657</v>
      </c>
      <c r="E205" s="852" t="s">
        <v>657</v>
      </c>
      <c r="F205" s="852" t="s">
        <v>657</v>
      </c>
      <c r="G205" s="849" t="s">
        <v>657</v>
      </c>
      <c r="H205" s="850" t="s">
        <v>657</v>
      </c>
      <c r="I205" s="887"/>
      <c r="J205" s="853" t="s">
        <v>657</v>
      </c>
      <c r="K205" s="538"/>
      <c r="L205" s="533" t="s">
        <v>657</v>
      </c>
      <c r="M205" s="539" t="s">
        <v>657</v>
      </c>
      <c r="N205" s="539" t="s">
        <v>657</v>
      </c>
      <c r="O205" s="529" t="s">
        <v>657</v>
      </c>
      <c r="P205" s="530" t="s">
        <v>657</v>
      </c>
      <c r="Q205" s="540" t="s">
        <v>657</v>
      </c>
      <c r="R205" s="538"/>
      <c r="S205" s="533" t="s">
        <v>657</v>
      </c>
      <c r="T205" s="539" t="s">
        <v>657</v>
      </c>
      <c r="U205" s="539" t="s">
        <v>657</v>
      </c>
      <c r="V205" s="529" t="s">
        <v>657</v>
      </c>
      <c r="W205" s="530" t="s">
        <v>657</v>
      </c>
      <c r="X205" s="540" t="s">
        <v>657</v>
      </c>
    </row>
    <row r="206" spans="1:24" x14ac:dyDescent="0.25">
      <c r="A206" s="535">
        <f t="shared" si="2"/>
        <v>-160</v>
      </c>
      <c r="B206" s="846" t="s">
        <v>657</v>
      </c>
      <c r="C206" s="537"/>
      <c r="D206" s="854" t="s">
        <v>657</v>
      </c>
      <c r="E206" s="852" t="s">
        <v>657</v>
      </c>
      <c r="F206" s="852" t="s">
        <v>657</v>
      </c>
      <c r="G206" s="849" t="s">
        <v>657</v>
      </c>
      <c r="H206" s="850" t="s">
        <v>657</v>
      </c>
      <c r="I206" s="887"/>
      <c r="J206" s="853" t="s">
        <v>657</v>
      </c>
      <c r="K206" s="538"/>
      <c r="L206" s="533" t="s">
        <v>657</v>
      </c>
      <c r="M206" s="539" t="s">
        <v>657</v>
      </c>
      <c r="N206" s="539" t="s">
        <v>657</v>
      </c>
      <c r="O206" s="529" t="s">
        <v>657</v>
      </c>
      <c r="P206" s="530" t="s">
        <v>657</v>
      </c>
      <c r="Q206" s="540" t="s">
        <v>657</v>
      </c>
      <c r="R206" s="538"/>
      <c r="S206" s="533" t="s">
        <v>657</v>
      </c>
      <c r="T206" s="539" t="s">
        <v>657</v>
      </c>
      <c r="U206" s="539" t="s">
        <v>657</v>
      </c>
      <c r="V206" s="529" t="s">
        <v>657</v>
      </c>
      <c r="W206" s="530" t="s">
        <v>657</v>
      </c>
      <c r="X206" s="540" t="s">
        <v>657</v>
      </c>
    </row>
    <row r="207" spans="1:24" x14ac:dyDescent="0.25">
      <c r="A207" s="535">
        <f t="shared" si="2"/>
        <v>-161</v>
      </c>
      <c r="B207" s="846" t="s">
        <v>657</v>
      </c>
      <c r="C207" s="537"/>
      <c r="D207" s="854" t="s">
        <v>657</v>
      </c>
      <c r="E207" s="852" t="s">
        <v>657</v>
      </c>
      <c r="F207" s="852" t="s">
        <v>657</v>
      </c>
      <c r="G207" s="849" t="s">
        <v>657</v>
      </c>
      <c r="H207" s="850" t="s">
        <v>657</v>
      </c>
      <c r="I207" s="887"/>
      <c r="J207" s="853" t="s">
        <v>657</v>
      </c>
      <c r="K207" s="538"/>
      <c r="L207" s="533" t="s">
        <v>657</v>
      </c>
      <c r="M207" s="539" t="s">
        <v>657</v>
      </c>
      <c r="N207" s="539" t="s">
        <v>657</v>
      </c>
      <c r="O207" s="529" t="s">
        <v>657</v>
      </c>
      <c r="P207" s="530" t="s">
        <v>657</v>
      </c>
      <c r="Q207" s="540" t="s">
        <v>657</v>
      </c>
      <c r="R207" s="538"/>
      <c r="S207" s="533" t="s">
        <v>657</v>
      </c>
      <c r="T207" s="539" t="s">
        <v>657</v>
      </c>
      <c r="U207" s="539" t="s">
        <v>657</v>
      </c>
      <c r="V207" s="529" t="s">
        <v>657</v>
      </c>
      <c r="W207" s="530" t="s">
        <v>657</v>
      </c>
      <c r="X207" s="540" t="s">
        <v>657</v>
      </c>
    </row>
    <row r="208" spans="1:24" x14ac:dyDescent="0.25">
      <c r="A208" s="535">
        <f t="shared" si="2"/>
        <v>-162</v>
      </c>
      <c r="B208" s="846" t="s">
        <v>657</v>
      </c>
      <c r="C208" s="537"/>
      <c r="D208" s="854" t="s">
        <v>657</v>
      </c>
      <c r="E208" s="852" t="s">
        <v>657</v>
      </c>
      <c r="F208" s="852" t="s">
        <v>657</v>
      </c>
      <c r="G208" s="849" t="s">
        <v>657</v>
      </c>
      <c r="H208" s="850" t="s">
        <v>657</v>
      </c>
      <c r="I208" s="887"/>
      <c r="J208" s="853" t="s">
        <v>657</v>
      </c>
      <c r="K208" s="538"/>
      <c r="L208" s="533" t="s">
        <v>657</v>
      </c>
      <c r="M208" s="539" t="s">
        <v>657</v>
      </c>
      <c r="N208" s="539" t="s">
        <v>657</v>
      </c>
      <c r="O208" s="529" t="s">
        <v>657</v>
      </c>
      <c r="P208" s="530" t="s">
        <v>657</v>
      </c>
      <c r="Q208" s="540" t="s">
        <v>657</v>
      </c>
      <c r="R208" s="538"/>
      <c r="S208" s="533" t="s">
        <v>657</v>
      </c>
      <c r="T208" s="539" t="s">
        <v>657</v>
      </c>
      <c r="U208" s="539" t="s">
        <v>657</v>
      </c>
      <c r="V208" s="529" t="s">
        <v>657</v>
      </c>
      <c r="W208" s="530" t="s">
        <v>657</v>
      </c>
      <c r="X208" s="540" t="s">
        <v>657</v>
      </c>
    </row>
    <row r="209" spans="1:24" x14ac:dyDescent="0.25">
      <c r="A209" s="535">
        <f t="shared" si="2"/>
        <v>-163</v>
      </c>
      <c r="B209" s="846" t="s">
        <v>657</v>
      </c>
      <c r="C209" s="537"/>
      <c r="D209" s="854" t="s">
        <v>657</v>
      </c>
      <c r="E209" s="852" t="s">
        <v>657</v>
      </c>
      <c r="F209" s="852" t="s">
        <v>657</v>
      </c>
      <c r="G209" s="849" t="s">
        <v>657</v>
      </c>
      <c r="H209" s="850" t="s">
        <v>657</v>
      </c>
      <c r="I209" s="887"/>
      <c r="J209" s="853" t="s">
        <v>657</v>
      </c>
      <c r="K209" s="538"/>
      <c r="L209" s="533" t="s">
        <v>657</v>
      </c>
      <c r="M209" s="539" t="s">
        <v>657</v>
      </c>
      <c r="N209" s="539" t="s">
        <v>657</v>
      </c>
      <c r="O209" s="529" t="s">
        <v>657</v>
      </c>
      <c r="P209" s="530" t="s">
        <v>657</v>
      </c>
      <c r="Q209" s="540" t="s">
        <v>657</v>
      </c>
      <c r="R209" s="538"/>
      <c r="S209" s="533" t="s">
        <v>657</v>
      </c>
      <c r="T209" s="539" t="s">
        <v>657</v>
      </c>
      <c r="U209" s="539" t="s">
        <v>657</v>
      </c>
      <c r="V209" s="529" t="s">
        <v>657</v>
      </c>
      <c r="W209" s="530" t="s">
        <v>657</v>
      </c>
      <c r="X209" s="540" t="s">
        <v>657</v>
      </c>
    </row>
    <row r="210" spans="1:24" x14ac:dyDescent="0.25">
      <c r="A210" s="535">
        <f t="shared" si="2"/>
        <v>-164</v>
      </c>
      <c r="B210" s="846" t="s">
        <v>657</v>
      </c>
      <c r="C210" s="537"/>
      <c r="D210" s="854" t="s">
        <v>657</v>
      </c>
      <c r="E210" s="852" t="s">
        <v>657</v>
      </c>
      <c r="F210" s="852" t="s">
        <v>657</v>
      </c>
      <c r="G210" s="849" t="s">
        <v>657</v>
      </c>
      <c r="H210" s="850" t="s">
        <v>657</v>
      </c>
      <c r="I210" s="887"/>
      <c r="J210" s="853" t="s">
        <v>657</v>
      </c>
      <c r="K210" s="538"/>
      <c r="L210" s="533" t="s">
        <v>657</v>
      </c>
      <c r="M210" s="539" t="s">
        <v>657</v>
      </c>
      <c r="N210" s="539" t="s">
        <v>657</v>
      </c>
      <c r="O210" s="529" t="s">
        <v>657</v>
      </c>
      <c r="P210" s="530" t="s">
        <v>657</v>
      </c>
      <c r="Q210" s="540" t="s">
        <v>657</v>
      </c>
      <c r="R210" s="538"/>
      <c r="S210" s="533" t="s">
        <v>657</v>
      </c>
      <c r="T210" s="539" t="s">
        <v>657</v>
      </c>
      <c r="U210" s="539" t="s">
        <v>657</v>
      </c>
      <c r="V210" s="529" t="s">
        <v>657</v>
      </c>
      <c r="W210" s="530" t="s">
        <v>657</v>
      </c>
      <c r="X210" s="540" t="s">
        <v>657</v>
      </c>
    </row>
    <row r="211" spans="1:24" x14ac:dyDescent="0.25">
      <c r="A211" s="535">
        <f t="shared" si="2"/>
        <v>-165</v>
      </c>
      <c r="B211" s="846" t="s">
        <v>657</v>
      </c>
      <c r="C211" s="537"/>
      <c r="D211" s="854" t="s">
        <v>657</v>
      </c>
      <c r="E211" s="852" t="s">
        <v>657</v>
      </c>
      <c r="F211" s="852" t="s">
        <v>657</v>
      </c>
      <c r="G211" s="849" t="s">
        <v>657</v>
      </c>
      <c r="H211" s="850" t="s">
        <v>657</v>
      </c>
      <c r="I211" s="887"/>
      <c r="J211" s="853" t="s">
        <v>657</v>
      </c>
      <c r="K211" s="538"/>
      <c r="L211" s="533" t="s">
        <v>657</v>
      </c>
      <c r="M211" s="539" t="s">
        <v>657</v>
      </c>
      <c r="N211" s="539" t="s">
        <v>657</v>
      </c>
      <c r="O211" s="529" t="s">
        <v>657</v>
      </c>
      <c r="P211" s="530" t="s">
        <v>657</v>
      </c>
      <c r="Q211" s="540" t="s">
        <v>657</v>
      </c>
      <c r="R211" s="538"/>
      <c r="S211" s="533" t="s">
        <v>657</v>
      </c>
      <c r="T211" s="539" t="s">
        <v>657</v>
      </c>
      <c r="U211" s="539" t="s">
        <v>657</v>
      </c>
      <c r="V211" s="529" t="s">
        <v>657</v>
      </c>
      <c r="W211" s="530" t="s">
        <v>657</v>
      </c>
      <c r="X211" s="540" t="s">
        <v>657</v>
      </c>
    </row>
    <row r="212" spans="1:24" x14ac:dyDescent="0.25">
      <c r="A212" s="535">
        <f t="shared" si="2"/>
        <v>-166</v>
      </c>
      <c r="B212" s="846" t="s">
        <v>657</v>
      </c>
      <c r="C212" s="537"/>
      <c r="D212" s="854" t="s">
        <v>657</v>
      </c>
      <c r="E212" s="852" t="s">
        <v>657</v>
      </c>
      <c r="F212" s="852" t="s">
        <v>657</v>
      </c>
      <c r="G212" s="849" t="s">
        <v>657</v>
      </c>
      <c r="H212" s="850" t="s">
        <v>657</v>
      </c>
      <c r="I212" s="887"/>
      <c r="J212" s="853" t="s">
        <v>657</v>
      </c>
      <c r="K212" s="538"/>
      <c r="L212" s="533" t="s">
        <v>657</v>
      </c>
      <c r="M212" s="539" t="s">
        <v>657</v>
      </c>
      <c r="N212" s="539" t="s">
        <v>657</v>
      </c>
      <c r="O212" s="529" t="s">
        <v>657</v>
      </c>
      <c r="P212" s="530" t="s">
        <v>657</v>
      </c>
      <c r="Q212" s="540" t="s">
        <v>657</v>
      </c>
      <c r="R212" s="538"/>
      <c r="S212" s="533" t="s">
        <v>657</v>
      </c>
      <c r="T212" s="539" t="s">
        <v>657</v>
      </c>
      <c r="U212" s="539" t="s">
        <v>657</v>
      </c>
      <c r="V212" s="529" t="s">
        <v>657</v>
      </c>
      <c r="W212" s="530" t="s">
        <v>657</v>
      </c>
      <c r="X212" s="540" t="s">
        <v>657</v>
      </c>
    </row>
    <row r="213" spans="1:24" x14ac:dyDescent="0.25">
      <c r="A213" s="535">
        <f t="shared" si="2"/>
        <v>-167</v>
      </c>
      <c r="B213" s="846" t="s">
        <v>657</v>
      </c>
      <c r="C213" s="537"/>
      <c r="D213" s="854" t="s">
        <v>657</v>
      </c>
      <c r="E213" s="852" t="s">
        <v>657</v>
      </c>
      <c r="F213" s="852" t="s">
        <v>657</v>
      </c>
      <c r="G213" s="849" t="s">
        <v>657</v>
      </c>
      <c r="H213" s="850" t="s">
        <v>657</v>
      </c>
      <c r="I213" s="887"/>
      <c r="J213" s="853" t="s">
        <v>657</v>
      </c>
      <c r="K213" s="538"/>
      <c r="L213" s="533" t="s">
        <v>657</v>
      </c>
      <c r="M213" s="539" t="s">
        <v>657</v>
      </c>
      <c r="N213" s="539" t="s">
        <v>657</v>
      </c>
      <c r="O213" s="529" t="s">
        <v>657</v>
      </c>
      <c r="P213" s="530" t="s">
        <v>657</v>
      </c>
      <c r="Q213" s="540" t="s">
        <v>657</v>
      </c>
      <c r="R213" s="538"/>
      <c r="S213" s="533" t="s">
        <v>657</v>
      </c>
      <c r="T213" s="539" t="s">
        <v>657</v>
      </c>
      <c r="U213" s="539" t="s">
        <v>657</v>
      </c>
      <c r="V213" s="529" t="s">
        <v>657</v>
      </c>
      <c r="W213" s="530" t="s">
        <v>657</v>
      </c>
      <c r="X213" s="540" t="s">
        <v>657</v>
      </c>
    </row>
    <row r="214" spans="1:24" x14ac:dyDescent="0.25">
      <c r="A214" s="535">
        <f t="shared" si="2"/>
        <v>-168</v>
      </c>
      <c r="B214" s="846" t="s">
        <v>657</v>
      </c>
      <c r="C214" s="537"/>
      <c r="D214" s="854" t="s">
        <v>657</v>
      </c>
      <c r="E214" s="852" t="s">
        <v>657</v>
      </c>
      <c r="F214" s="852" t="s">
        <v>657</v>
      </c>
      <c r="G214" s="849" t="s">
        <v>657</v>
      </c>
      <c r="H214" s="850" t="s">
        <v>657</v>
      </c>
      <c r="I214" s="887"/>
      <c r="J214" s="853" t="s">
        <v>657</v>
      </c>
      <c r="K214" s="538"/>
      <c r="L214" s="533" t="s">
        <v>657</v>
      </c>
      <c r="M214" s="539" t="s">
        <v>657</v>
      </c>
      <c r="N214" s="539" t="s">
        <v>657</v>
      </c>
      <c r="O214" s="529" t="s">
        <v>657</v>
      </c>
      <c r="P214" s="530" t="s">
        <v>657</v>
      </c>
      <c r="Q214" s="540" t="s">
        <v>657</v>
      </c>
      <c r="R214" s="538"/>
      <c r="S214" s="533" t="s">
        <v>657</v>
      </c>
      <c r="T214" s="539" t="s">
        <v>657</v>
      </c>
      <c r="U214" s="539" t="s">
        <v>657</v>
      </c>
      <c r="V214" s="529" t="s">
        <v>657</v>
      </c>
      <c r="W214" s="530" t="s">
        <v>657</v>
      </c>
      <c r="X214" s="540" t="s">
        <v>657</v>
      </c>
    </row>
    <row r="215" spans="1:24" x14ac:dyDescent="0.25">
      <c r="A215" s="535">
        <f t="shared" si="2"/>
        <v>-169</v>
      </c>
      <c r="B215" s="846" t="s">
        <v>657</v>
      </c>
      <c r="C215" s="537"/>
      <c r="D215" s="854" t="s">
        <v>657</v>
      </c>
      <c r="E215" s="852" t="s">
        <v>657</v>
      </c>
      <c r="F215" s="852" t="s">
        <v>657</v>
      </c>
      <c r="G215" s="849" t="s">
        <v>657</v>
      </c>
      <c r="H215" s="850" t="s">
        <v>657</v>
      </c>
      <c r="I215" s="887"/>
      <c r="J215" s="853" t="s">
        <v>657</v>
      </c>
      <c r="K215" s="538"/>
      <c r="L215" s="533" t="s">
        <v>657</v>
      </c>
      <c r="M215" s="539" t="s">
        <v>657</v>
      </c>
      <c r="N215" s="539" t="s">
        <v>657</v>
      </c>
      <c r="O215" s="529" t="s">
        <v>657</v>
      </c>
      <c r="P215" s="530" t="s">
        <v>657</v>
      </c>
      <c r="Q215" s="540" t="s">
        <v>657</v>
      </c>
      <c r="R215" s="538"/>
      <c r="S215" s="533" t="s">
        <v>657</v>
      </c>
      <c r="T215" s="539" t="s">
        <v>657</v>
      </c>
      <c r="U215" s="539" t="s">
        <v>657</v>
      </c>
      <c r="V215" s="529" t="s">
        <v>657</v>
      </c>
      <c r="W215" s="530" t="s">
        <v>657</v>
      </c>
      <c r="X215" s="540" t="s">
        <v>657</v>
      </c>
    </row>
    <row r="216" spans="1:24" x14ac:dyDescent="0.25">
      <c r="A216" s="535">
        <f t="shared" si="2"/>
        <v>-170</v>
      </c>
      <c r="B216" s="846" t="s">
        <v>657</v>
      </c>
      <c r="C216" s="537"/>
      <c r="D216" s="854" t="s">
        <v>657</v>
      </c>
      <c r="E216" s="852" t="s">
        <v>657</v>
      </c>
      <c r="F216" s="852" t="s">
        <v>657</v>
      </c>
      <c r="G216" s="849" t="s">
        <v>657</v>
      </c>
      <c r="H216" s="850" t="s">
        <v>657</v>
      </c>
      <c r="I216" s="887"/>
      <c r="J216" s="853" t="s">
        <v>657</v>
      </c>
      <c r="K216" s="538"/>
      <c r="L216" s="533" t="s">
        <v>657</v>
      </c>
      <c r="M216" s="539" t="s">
        <v>657</v>
      </c>
      <c r="N216" s="539" t="s">
        <v>657</v>
      </c>
      <c r="O216" s="529" t="s">
        <v>657</v>
      </c>
      <c r="P216" s="530" t="s">
        <v>657</v>
      </c>
      <c r="Q216" s="540" t="s">
        <v>657</v>
      </c>
      <c r="R216" s="538"/>
      <c r="S216" s="533" t="s">
        <v>657</v>
      </c>
      <c r="T216" s="539" t="s">
        <v>657</v>
      </c>
      <c r="U216" s="539" t="s">
        <v>657</v>
      </c>
      <c r="V216" s="529" t="s">
        <v>657</v>
      </c>
      <c r="W216" s="530" t="s">
        <v>657</v>
      </c>
      <c r="X216" s="540" t="s">
        <v>657</v>
      </c>
    </row>
    <row r="217" spans="1:24" x14ac:dyDescent="0.25">
      <c r="A217" s="535">
        <f t="shared" si="2"/>
        <v>-171</v>
      </c>
      <c r="B217" s="525" t="s">
        <v>657</v>
      </c>
      <c r="C217" s="537"/>
      <c r="D217" s="854" t="s">
        <v>657</v>
      </c>
      <c r="E217" s="852" t="s">
        <v>657</v>
      </c>
      <c r="F217" s="852" t="s">
        <v>657</v>
      </c>
      <c r="G217" s="849" t="s">
        <v>657</v>
      </c>
      <c r="H217" s="850" t="s">
        <v>657</v>
      </c>
      <c r="I217" s="887"/>
      <c r="J217" s="853" t="s">
        <v>657</v>
      </c>
      <c r="K217" s="538"/>
      <c r="L217" s="533" t="s">
        <v>657</v>
      </c>
      <c r="M217" s="539" t="s">
        <v>657</v>
      </c>
      <c r="N217" s="539" t="s">
        <v>657</v>
      </c>
      <c r="O217" s="529" t="s">
        <v>657</v>
      </c>
      <c r="P217" s="530" t="s">
        <v>657</v>
      </c>
      <c r="Q217" s="540" t="s">
        <v>657</v>
      </c>
      <c r="R217" s="538"/>
      <c r="S217" s="533" t="s">
        <v>657</v>
      </c>
      <c r="T217" s="539" t="s">
        <v>657</v>
      </c>
      <c r="U217" s="539" t="s">
        <v>657</v>
      </c>
      <c r="V217" s="529" t="s">
        <v>657</v>
      </c>
      <c r="W217" s="530" t="s">
        <v>657</v>
      </c>
      <c r="X217" s="540" t="s">
        <v>657</v>
      </c>
    </row>
    <row r="218" spans="1:24" x14ac:dyDescent="0.25">
      <c r="A218" s="535">
        <f t="shared" si="2"/>
        <v>-172</v>
      </c>
      <c r="B218" s="525" t="s">
        <v>657</v>
      </c>
      <c r="C218" s="537"/>
      <c r="D218" s="854" t="s">
        <v>657</v>
      </c>
      <c r="E218" s="852" t="s">
        <v>657</v>
      </c>
      <c r="F218" s="852" t="s">
        <v>657</v>
      </c>
      <c r="G218" s="849" t="s">
        <v>657</v>
      </c>
      <c r="H218" s="850" t="s">
        <v>657</v>
      </c>
      <c r="I218" s="887"/>
      <c r="J218" s="853" t="s">
        <v>657</v>
      </c>
      <c r="K218" s="538"/>
      <c r="L218" s="533" t="s">
        <v>657</v>
      </c>
      <c r="M218" s="539" t="s">
        <v>657</v>
      </c>
      <c r="N218" s="539" t="s">
        <v>657</v>
      </c>
      <c r="O218" s="529" t="s">
        <v>657</v>
      </c>
      <c r="P218" s="530" t="s">
        <v>657</v>
      </c>
      <c r="Q218" s="540" t="s">
        <v>657</v>
      </c>
      <c r="R218" s="538"/>
      <c r="S218" s="533" t="s">
        <v>657</v>
      </c>
      <c r="T218" s="539" t="s">
        <v>657</v>
      </c>
      <c r="U218" s="539" t="s">
        <v>657</v>
      </c>
      <c r="V218" s="529" t="s">
        <v>657</v>
      </c>
      <c r="W218" s="530" t="s">
        <v>657</v>
      </c>
      <c r="X218" s="540" t="s">
        <v>657</v>
      </c>
    </row>
    <row r="219" spans="1:24" x14ac:dyDescent="0.25">
      <c r="A219" s="535">
        <f t="shared" ref="A219:A220" si="3">A218-1</f>
        <v>-173</v>
      </c>
      <c r="B219" s="525" t="s">
        <v>657</v>
      </c>
      <c r="C219" s="537"/>
      <c r="D219" s="854" t="s">
        <v>657</v>
      </c>
      <c r="E219" s="852" t="s">
        <v>657</v>
      </c>
      <c r="F219" s="852" t="s">
        <v>657</v>
      </c>
      <c r="G219" s="849" t="s">
        <v>657</v>
      </c>
      <c r="H219" s="850" t="s">
        <v>657</v>
      </c>
      <c r="I219" s="887"/>
      <c r="J219" s="853" t="s">
        <v>657</v>
      </c>
      <c r="K219" s="538"/>
      <c r="L219" s="533" t="s">
        <v>657</v>
      </c>
      <c r="M219" s="539" t="s">
        <v>657</v>
      </c>
      <c r="N219" s="539" t="s">
        <v>657</v>
      </c>
      <c r="O219" s="529" t="s">
        <v>657</v>
      </c>
      <c r="P219" s="530" t="s">
        <v>657</v>
      </c>
      <c r="Q219" s="540" t="s">
        <v>657</v>
      </c>
      <c r="R219" s="538"/>
      <c r="S219" s="533" t="s">
        <v>657</v>
      </c>
      <c r="T219" s="539" t="s">
        <v>657</v>
      </c>
      <c r="U219" s="539" t="s">
        <v>657</v>
      </c>
      <c r="V219" s="529" t="s">
        <v>657</v>
      </c>
      <c r="W219" s="530" t="s">
        <v>657</v>
      </c>
      <c r="X219" s="540" t="s">
        <v>657</v>
      </c>
    </row>
    <row r="220" spans="1:24" x14ac:dyDescent="0.25">
      <c r="A220" s="535">
        <f t="shared" si="3"/>
        <v>-174</v>
      </c>
      <c r="B220" s="542" t="s">
        <v>657</v>
      </c>
      <c r="C220" s="537"/>
      <c r="D220" s="855" t="s">
        <v>657</v>
      </c>
      <c r="E220" s="856" t="s">
        <v>657</v>
      </c>
      <c r="F220" s="856" t="s">
        <v>657</v>
      </c>
      <c r="G220" s="857" t="s">
        <v>657</v>
      </c>
      <c r="H220" s="858" t="s">
        <v>657</v>
      </c>
      <c r="I220" s="888"/>
      <c r="J220" s="859" t="s">
        <v>657</v>
      </c>
      <c r="K220" s="538"/>
      <c r="L220" s="543" t="s">
        <v>657</v>
      </c>
      <c r="M220" s="544" t="s">
        <v>657</v>
      </c>
      <c r="N220" s="544" t="s">
        <v>657</v>
      </c>
      <c r="O220" s="545" t="s">
        <v>657</v>
      </c>
      <c r="P220" s="546" t="s">
        <v>657</v>
      </c>
      <c r="Q220" s="547" t="s">
        <v>657</v>
      </c>
      <c r="R220" s="538"/>
      <c r="S220" s="543" t="s">
        <v>657</v>
      </c>
      <c r="T220" s="544" t="s">
        <v>657</v>
      </c>
      <c r="U220" s="544" t="s">
        <v>657</v>
      </c>
      <c r="V220" s="545" t="s">
        <v>657</v>
      </c>
      <c r="W220" s="546" t="s">
        <v>657</v>
      </c>
      <c r="X220" s="547" t="s">
        <v>657</v>
      </c>
    </row>
  </sheetData>
  <mergeCells count="25">
    <mergeCell ref="P22:P23"/>
    <mergeCell ref="Q22:Q23"/>
    <mergeCell ref="H22:H23"/>
    <mergeCell ref="J22:J23"/>
    <mergeCell ref="L22:L23"/>
    <mergeCell ref="M22:M23"/>
    <mergeCell ref="N22:N23"/>
    <mergeCell ref="O22:O23"/>
    <mergeCell ref="I22:I23"/>
    <mergeCell ref="D18:D19"/>
    <mergeCell ref="B10:X10"/>
    <mergeCell ref="S21:X21"/>
    <mergeCell ref="S22:S23"/>
    <mergeCell ref="T22:T23"/>
    <mergeCell ref="U22:U23"/>
    <mergeCell ref="V22:V23"/>
    <mergeCell ref="W22:W23"/>
    <mergeCell ref="X22:X23"/>
    <mergeCell ref="B21:B23"/>
    <mergeCell ref="D21:J21"/>
    <mergeCell ref="L21:Q21"/>
    <mergeCell ref="D22:D23"/>
    <mergeCell ref="E22:E23"/>
    <mergeCell ref="F22:F23"/>
    <mergeCell ref="G22:G23"/>
  </mergeCells>
  <conditionalFormatting sqref="B25:B220">
    <cfRule type="cellIs" dxfId="45"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CBB24-21DE-4197-A987-64BF0857163F}">
  <sheetPr>
    <tabColor theme="0" tint="-0.249977111117893"/>
  </sheetPr>
  <dimension ref="B3:BH34"/>
  <sheetViews>
    <sheetView showGridLines="0" view="pageBreakPreview" zoomScale="85" zoomScaleNormal="80" zoomScaleSheetLayoutView="85" workbookViewId="0">
      <selection activeCell="I35" sqref="I35"/>
    </sheetView>
  </sheetViews>
  <sheetFormatPr defaultColWidth="21.453125" defaultRowHeight="12.5" x14ac:dyDescent="0.25"/>
  <cols>
    <col min="1" max="1" width="6.1796875" style="429" customWidth="1"/>
    <col min="2" max="2" width="25.81640625" style="429" customWidth="1"/>
    <col min="3" max="3" width="28.1796875" style="429" customWidth="1"/>
    <col min="4" max="4" width="25" style="429" customWidth="1"/>
    <col min="5" max="5" width="18.81640625" style="429" customWidth="1"/>
    <col min="6" max="6" width="21.54296875" style="429" bestFit="1" customWidth="1"/>
    <col min="7" max="7" width="15.453125" style="429" customWidth="1"/>
    <col min="8" max="8" width="25" style="429" bestFit="1" customWidth="1"/>
    <col min="9" max="9" width="19" style="429" customWidth="1"/>
    <col min="10" max="10" width="7.453125" style="429" customWidth="1"/>
    <col min="11" max="16384" width="21.453125" style="429"/>
  </cols>
  <sheetData>
    <row r="3" spans="2:9" ht="15" customHeight="1" x14ac:dyDescent="0.25">
      <c r="B3" s="106"/>
      <c r="C3" s="106"/>
      <c r="D3" s="106"/>
      <c r="E3" s="106"/>
      <c r="F3" s="106"/>
      <c r="G3" s="106"/>
    </row>
    <row r="4" spans="2:9" ht="15" customHeight="1" x14ac:dyDescent="0.25">
      <c r="B4" s="106"/>
      <c r="C4" s="106"/>
      <c r="D4" s="659"/>
      <c r="H4" s="101" t="s">
        <v>655</v>
      </c>
      <c r="I4" s="101">
        <f>'00 - Cover'!F15</f>
        <v>45488</v>
      </c>
    </row>
    <row r="5" spans="2:9" ht="15" customHeight="1" x14ac:dyDescent="0.25">
      <c r="B5" s="106"/>
      <c r="C5" s="106"/>
      <c r="D5" s="659"/>
      <c r="H5" s="101" t="s">
        <v>94</v>
      </c>
      <c r="I5" s="101">
        <f>'00 - Cover'!F16</f>
        <v>45491</v>
      </c>
    </row>
    <row r="6" spans="2:9" ht="12.75" customHeight="1" x14ac:dyDescent="0.25">
      <c r="B6" s="106"/>
      <c r="C6" s="106"/>
      <c r="D6" s="659"/>
      <c r="H6" s="101" t="s">
        <v>87</v>
      </c>
      <c r="I6" s="101">
        <f>'00 - Cover'!F17</f>
        <v>45498</v>
      </c>
    </row>
    <row r="7" spans="2:9" ht="13" x14ac:dyDescent="0.25">
      <c r="B7" s="106"/>
      <c r="C7" s="106"/>
      <c r="D7" s="106"/>
      <c r="E7" s="106"/>
      <c r="F7" s="106"/>
      <c r="G7" s="106"/>
      <c r="H7" s="144"/>
      <c r="I7" s="144"/>
    </row>
    <row r="10" spans="2:9" ht="15.5" x14ac:dyDescent="0.35">
      <c r="B10" s="1120" t="s">
        <v>739</v>
      </c>
      <c r="C10" s="1121"/>
      <c r="D10" s="1121"/>
      <c r="E10" s="1121"/>
      <c r="F10" s="1121"/>
      <c r="G10" s="1121"/>
      <c r="H10" s="1121"/>
      <c r="I10" s="1121"/>
    </row>
    <row r="11" spans="2:9" x14ac:dyDescent="0.25">
      <c r="B11" s="668"/>
      <c r="C11" s="669"/>
      <c r="D11" s="670"/>
      <c r="E11" s="670"/>
      <c r="F11" s="670"/>
      <c r="G11" s="671"/>
      <c r="H11" s="671"/>
      <c r="I11" s="671"/>
    </row>
    <row r="12" spans="2:9" x14ac:dyDescent="0.25">
      <c r="B12" s="668"/>
      <c r="C12" s="669"/>
      <c r="D12" s="670"/>
      <c r="E12" s="670"/>
      <c r="F12" s="670"/>
      <c r="G12" s="671"/>
      <c r="H12" s="1122"/>
      <c r="I12" s="671"/>
    </row>
    <row r="13" spans="2:9" x14ac:dyDescent="0.25">
      <c r="B13" s="668"/>
      <c r="C13" s="669"/>
      <c r="D13" s="670"/>
      <c r="E13" s="670"/>
      <c r="F13" s="670"/>
      <c r="G13" s="671"/>
      <c r="H13" s="1123"/>
      <c r="I13" s="671"/>
    </row>
    <row r="14" spans="2:9" ht="15.5" x14ac:dyDescent="0.3">
      <c r="B14" s="684" t="s">
        <v>683</v>
      </c>
      <c r="C14" s="685"/>
      <c r="D14" s="685"/>
      <c r="E14" s="686"/>
      <c r="F14" s="687"/>
      <c r="G14" s="688"/>
      <c r="H14" s="689"/>
      <c r="I14" s="826" t="s">
        <v>1395</v>
      </c>
    </row>
    <row r="15" spans="2:9" x14ac:dyDescent="0.25">
      <c r="B15" s="1124" t="s">
        <v>733</v>
      </c>
      <c r="C15" s="1124" t="s">
        <v>734</v>
      </c>
      <c r="D15" s="1125" t="s">
        <v>735</v>
      </c>
      <c r="E15" s="1125"/>
      <c r="F15" s="1125"/>
      <c r="G15" s="1125" t="s">
        <v>740</v>
      </c>
      <c r="H15" s="1124" t="s">
        <v>736</v>
      </c>
      <c r="I15" s="1124" t="s">
        <v>820</v>
      </c>
    </row>
    <row r="16" spans="2:9" ht="20.25" customHeight="1" x14ac:dyDescent="0.25">
      <c r="B16" s="1124"/>
      <c r="C16" s="1124"/>
      <c r="D16" s="864" t="s">
        <v>737</v>
      </c>
      <c r="E16" s="864" t="s">
        <v>738</v>
      </c>
      <c r="F16" s="864" t="s">
        <v>172</v>
      </c>
      <c r="G16" s="1126"/>
      <c r="H16" s="1124"/>
      <c r="I16" s="1124"/>
    </row>
    <row r="17" spans="2:60" x14ac:dyDescent="0.25">
      <c r="B17" s="672">
        <v>6835</v>
      </c>
      <c r="C17" s="673">
        <f>'11 - Notes Follow-up'!J25</f>
        <v>95140.224746159467</v>
      </c>
      <c r="D17" s="827">
        <v>45407</v>
      </c>
      <c r="E17" s="827">
        <f>'00 - Cover'!F17</f>
        <v>45498</v>
      </c>
      <c r="F17" s="674">
        <f>IFERROR(E17-D17,"N/A")</f>
        <v>91</v>
      </c>
      <c r="G17" s="675">
        <v>2.5000000000000001E-3</v>
      </c>
      <c r="H17" s="673">
        <f>ROUNDDOWN(C17*G17*F17/360,2)</f>
        <v>60.12</v>
      </c>
      <c r="I17" s="676">
        <f>H17*B17</f>
        <v>410920.19999999995</v>
      </c>
      <c r="K17" s="677"/>
      <c r="L17" s="677"/>
      <c r="M17" s="677"/>
      <c r="N17" s="677"/>
      <c r="O17" s="677"/>
      <c r="P17" s="677"/>
      <c r="Q17" s="677"/>
      <c r="R17" s="677"/>
      <c r="S17" s="677"/>
      <c r="T17" s="677"/>
      <c r="U17" s="677"/>
      <c r="V17" s="677"/>
      <c r="W17" s="677"/>
      <c r="X17" s="677"/>
      <c r="Y17" s="677"/>
      <c r="Z17" s="677"/>
      <c r="AA17" s="677"/>
      <c r="AB17" s="677"/>
      <c r="AC17" s="677"/>
      <c r="AD17" s="677"/>
      <c r="AE17" s="677"/>
      <c r="AF17" s="677"/>
      <c r="AG17" s="677"/>
      <c r="AH17" s="677"/>
      <c r="AI17" s="677"/>
      <c r="AJ17" s="677"/>
      <c r="AK17" s="677"/>
      <c r="AL17" s="677"/>
      <c r="AM17" s="677"/>
      <c r="AN17" s="677"/>
      <c r="AO17" s="677"/>
      <c r="AP17" s="677"/>
      <c r="AQ17" s="677"/>
      <c r="AR17" s="677"/>
      <c r="AS17" s="677"/>
      <c r="AT17" s="677"/>
      <c r="AU17" s="677"/>
      <c r="AV17" s="677"/>
      <c r="AW17" s="677"/>
      <c r="AX17" s="677"/>
      <c r="AY17" s="677"/>
      <c r="AZ17" s="677"/>
      <c r="BA17" s="677"/>
      <c r="BB17" s="677"/>
      <c r="BC17" s="677"/>
      <c r="BD17" s="677"/>
      <c r="BE17" s="677"/>
      <c r="BF17" s="677"/>
      <c r="BG17" s="677"/>
      <c r="BH17" s="677"/>
    </row>
    <row r="18" spans="2:60" x14ac:dyDescent="0.25">
      <c r="B18" s="671"/>
      <c r="C18" s="678"/>
      <c r="D18" s="671"/>
      <c r="E18" s="671"/>
      <c r="F18" s="671"/>
      <c r="G18" s="671"/>
      <c r="H18" s="671"/>
      <c r="I18" s="891"/>
    </row>
    <row r="19" spans="2:60" x14ac:dyDescent="0.25">
      <c r="B19" s="671"/>
      <c r="C19" s="678"/>
      <c r="D19" s="671"/>
      <c r="E19" s="671"/>
      <c r="F19" s="671"/>
      <c r="G19" s="671"/>
      <c r="H19" s="671"/>
      <c r="I19" s="671"/>
    </row>
    <row r="20" spans="2:60" ht="15.5" x14ac:dyDescent="0.3">
      <c r="B20" s="684" t="s">
        <v>703</v>
      </c>
      <c r="C20" s="685"/>
      <c r="D20" s="685"/>
      <c r="E20" s="686"/>
      <c r="F20" s="687"/>
      <c r="G20" s="688"/>
      <c r="H20" s="689"/>
      <c r="I20" s="826" t="s">
        <v>1395</v>
      </c>
    </row>
    <row r="21" spans="2:60" ht="14.25" customHeight="1" x14ac:dyDescent="0.25">
      <c r="B21" s="1127" t="s">
        <v>733</v>
      </c>
      <c r="C21" s="1127" t="s">
        <v>734</v>
      </c>
      <c r="D21" s="1128" t="s">
        <v>735</v>
      </c>
      <c r="E21" s="1128"/>
      <c r="F21" s="1128"/>
      <c r="G21" s="1128" t="s">
        <v>740</v>
      </c>
      <c r="H21" s="1127" t="s">
        <v>736</v>
      </c>
      <c r="I21" s="1127" t="s">
        <v>821</v>
      </c>
    </row>
    <row r="22" spans="2:60" ht="14.25" customHeight="1" x14ac:dyDescent="0.25">
      <c r="B22" s="1127"/>
      <c r="C22" s="1127"/>
      <c r="D22" s="861" t="s">
        <v>737</v>
      </c>
      <c r="E22" s="861" t="s">
        <v>738</v>
      </c>
      <c r="F22" s="861" t="s">
        <v>172</v>
      </c>
      <c r="G22" s="1129"/>
      <c r="H22" s="1127"/>
      <c r="I22" s="1127"/>
    </row>
    <row r="23" spans="2:60" x14ac:dyDescent="0.25">
      <c r="B23" s="672">
        <v>67585</v>
      </c>
      <c r="C23" s="673">
        <f>'11 - Notes Follow-up'!Q25</f>
        <v>1000</v>
      </c>
      <c r="D23" s="827">
        <f>D17</f>
        <v>45407</v>
      </c>
      <c r="E23" s="827">
        <f>'00 - Cover'!F17</f>
        <v>45498</v>
      </c>
      <c r="F23" s="674">
        <f>IFERROR(E23-D23,"N/A")</f>
        <v>91</v>
      </c>
      <c r="G23" s="675">
        <v>0</v>
      </c>
      <c r="H23" s="673">
        <f>ROUNDDOWN(C23*G23*F23/360,2)</f>
        <v>0</v>
      </c>
      <c r="I23" s="676">
        <f>H23*B23</f>
        <v>0</v>
      </c>
    </row>
    <row r="24" spans="2:60" x14ac:dyDescent="0.25">
      <c r="B24" s="679"/>
      <c r="C24" s="680"/>
      <c r="D24" s="681"/>
      <c r="E24" s="681"/>
      <c r="F24" s="682"/>
      <c r="G24" s="683"/>
    </row>
    <row r="32" spans="2:60" x14ac:dyDescent="0.25">
      <c r="C32" s="567"/>
      <c r="E32" s="892"/>
    </row>
    <row r="34" spans="4:5" x14ac:dyDescent="0.25">
      <c r="D34" s="890"/>
      <c r="E34" s="890"/>
    </row>
  </sheetData>
  <mergeCells count="14">
    <mergeCell ref="I21:I22"/>
    <mergeCell ref="B21:B22"/>
    <mergeCell ref="C21:C22"/>
    <mergeCell ref="D21:F21"/>
    <mergeCell ref="G21:G22"/>
    <mergeCell ref="H21:H22"/>
    <mergeCell ref="B10:I10"/>
    <mergeCell ref="H12:H13"/>
    <mergeCell ref="B15:B16"/>
    <mergeCell ref="C15:C16"/>
    <mergeCell ref="D15:F15"/>
    <mergeCell ref="G15:G16"/>
    <mergeCell ref="H15:H16"/>
    <mergeCell ref="I15:I16"/>
  </mergeCells>
  <pageMargins left="0.7" right="0.7" top="0.75" bottom="0.75" header="0.3" footer="0.3"/>
  <pageSetup scale="10"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08E9-F36F-4CDE-B816-B45FA4EF60C8}">
  <sheetPr>
    <tabColor theme="0" tint="-0.249977111117893"/>
  </sheetPr>
  <dimension ref="B2:Y65"/>
  <sheetViews>
    <sheetView showGridLines="0" topLeftCell="A45" zoomScaleNormal="100" workbookViewId="0">
      <selection activeCell="Q66" sqref="Q66"/>
    </sheetView>
  </sheetViews>
  <sheetFormatPr defaultColWidth="9.1796875" defaultRowHeight="12.5" x14ac:dyDescent="0.25"/>
  <cols>
    <col min="1" max="1" width="9.1796875" style="429"/>
    <col min="2" max="2" width="1.81640625" style="429" customWidth="1"/>
    <col min="3" max="3" width="5.81640625" style="429" customWidth="1"/>
    <col min="4" max="4" width="9.1796875" style="429"/>
    <col min="5" max="5" width="32.54296875" style="429" customWidth="1"/>
    <col min="6" max="6" width="54.453125" style="429" customWidth="1"/>
    <col min="7" max="7" width="42.1796875" style="429" customWidth="1"/>
    <col min="8" max="8" width="16.54296875" style="429" bestFit="1" customWidth="1"/>
    <col min="9" max="9" width="18.453125" style="429" customWidth="1"/>
    <col min="10" max="10" width="12.54296875" style="429" bestFit="1" customWidth="1"/>
    <col min="11" max="11" width="34.54296875" style="429" customWidth="1"/>
    <col min="12" max="13" width="16.54296875" style="429" bestFit="1" customWidth="1"/>
    <col min="14" max="14" width="25.81640625" style="429" customWidth="1"/>
    <col min="15" max="15" width="19.54296875" style="429" bestFit="1" customWidth="1"/>
    <col min="16" max="16" width="8.54296875" style="429" bestFit="1" customWidth="1"/>
    <col min="17" max="17" width="22.7265625" style="429" bestFit="1" customWidth="1"/>
    <col min="18" max="18" width="27.7265625" style="429" bestFit="1" customWidth="1"/>
    <col min="19" max="19" width="10.7265625" style="429" bestFit="1" customWidth="1"/>
    <col min="20" max="20" width="10.1796875" style="429" bestFit="1" customWidth="1"/>
    <col min="21" max="21" width="5.54296875" style="429" bestFit="1" customWidth="1"/>
    <col min="22" max="22" width="15.7265625" style="429" bestFit="1" customWidth="1"/>
    <col min="23" max="23" width="9" style="429" bestFit="1" customWidth="1"/>
    <col min="24" max="24" width="7" style="429" bestFit="1" customWidth="1"/>
    <col min="25" max="25" width="22.81640625" style="429" bestFit="1" customWidth="1"/>
    <col min="26" max="16384" width="9.1796875" style="429"/>
  </cols>
  <sheetData>
    <row r="2" spans="2:25" ht="13" x14ac:dyDescent="0.25">
      <c r="H2" s="144"/>
      <c r="I2" s="825" t="s">
        <v>655</v>
      </c>
      <c r="J2" s="825">
        <v>45397</v>
      </c>
    </row>
    <row r="3" spans="2:25" ht="13" x14ac:dyDescent="0.25">
      <c r="H3" s="144"/>
      <c r="I3" s="825" t="s">
        <v>94</v>
      </c>
      <c r="J3" s="825">
        <v>45401</v>
      </c>
    </row>
    <row r="4" spans="2:25" ht="13" x14ac:dyDescent="0.25">
      <c r="H4" s="144"/>
      <c r="I4" s="825" t="s">
        <v>87</v>
      </c>
      <c r="J4" s="825">
        <v>45407</v>
      </c>
    </row>
    <row r="5" spans="2:25" ht="13" x14ac:dyDescent="0.3">
      <c r="H5" s="144"/>
      <c r="I5" s="692"/>
    </row>
    <row r="7" spans="2:25" ht="15.5" x14ac:dyDescent="0.35">
      <c r="B7" s="637"/>
      <c r="C7" s="638" t="s">
        <v>721</v>
      </c>
      <c r="D7" s="638"/>
      <c r="E7" s="638"/>
      <c r="F7" s="638"/>
      <c r="G7" s="638"/>
      <c r="H7" s="638"/>
      <c r="I7" s="638"/>
      <c r="J7" s="638"/>
      <c r="K7" s="638"/>
    </row>
    <row r="10" spans="2:25" ht="15.5" x14ac:dyDescent="0.35">
      <c r="B10" s="550"/>
      <c r="C10" s="1144" t="s">
        <v>1605</v>
      </c>
      <c r="D10" s="1144"/>
      <c r="E10" s="1144"/>
      <c r="F10" s="1144"/>
      <c r="G10" s="1144"/>
      <c r="H10" s="551"/>
      <c r="I10" s="551"/>
      <c r="J10" s="552"/>
      <c r="K10" s="553"/>
    </row>
    <row r="11" spans="2:25" ht="14.5" x14ac:dyDescent="0.35">
      <c r="B11" s="554"/>
      <c r="C11" s="1145"/>
      <c r="D11" s="1145"/>
      <c r="E11" s="1145"/>
      <c r="F11" s="1145"/>
      <c r="G11" s="1145"/>
      <c r="H11" s="657" t="s">
        <v>8</v>
      </c>
      <c r="I11" s="555" t="s">
        <v>236</v>
      </c>
      <c r="J11" s="556"/>
      <c r="K11" s="553"/>
    </row>
    <row r="12" spans="2:25" ht="14.5" x14ac:dyDescent="0.35">
      <c r="B12" s="557"/>
      <c r="C12" s="558"/>
      <c r="D12" s="1136" t="s">
        <v>706</v>
      </c>
      <c r="E12" s="1137"/>
      <c r="F12" s="1137"/>
      <c r="G12" s="1138"/>
      <c r="H12" s="559"/>
      <c r="I12" s="389">
        <v>300</v>
      </c>
      <c r="J12" s="560"/>
      <c r="K12" s="553"/>
      <c r="L12" s="561"/>
    </row>
    <row r="13" spans="2:25" ht="30" customHeight="1" thickBot="1" x14ac:dyDescent="0.4">
      <c r="B13" s="557"/>
      <c r="C13" s="558"/>
      <c r="D13" s="562" t="s">
        <v>9</v>
      </c>
      <c r="E13" s="1139" t="s">
        <v>1396</v>
      </c>
      <c r="F13" s="1140"/>
      <c r="G13" s="1141"/>
      <c r="H13" s="563">
        <v>0</v>
      </c>
      <c r="I13" s="564">
        <f>I12+H13</f>
        <v>300</v>
      </c>
      <c r="J13" s="560"/>
      <c r="K13" s="553"/>
      <c r="L13" s="561"/>
      <c r="M13" s="561"/>
    </row>
    <row r="14" spans="2:25" ht="35.15" customHeight="1" thickBot="1" x14ac:dyDescent="0.4">
      <c r="B14" s="557"/>
      <c r="C14" s="558"/>
      <c r="D14" s="1146" t="s">
        <v>9</v>
      </c>
      <c r="E14" s="1152" t="s">
        <v>1397</v>
      </c>
      <c r="F14" s="1153"/>
      <c r="G14" s="934">
        <f>'04 - Monthly Collection'!AS13+'04 - Monthly Collection'!AS14+'04 - Monthly Collection'!AS15</f>
        <v>19050456.219999999</v>
      </c>
      <c r="H14" s="1154">
        <f>+G14+G15</f>
        <v>19268409.449999999</v>
      </c>
      <c r="I14" s="1150">
        <f>I13+H14+H15</f>
        <v>19268709.449999999</v>
      </c>
      <c r="J14" s="560"/>
      <c r="K14" s="922"/>
      <c r="L14" s="1148" t="s">
        <v>1511</v>
      </c>
      <c r="M14" s="1148" t="s">
        <v>1499</v>
      </c>
    </row>
    <row r="15" spans="2:25" ht="35.15" customHeight="1" thickBot="1" x14ac:dyDescent="0.4">
      <c r="B15" s="557"/>
      <c r="C15" s="558"/>
      <c r="D15" s="1147"/>
      <c r="E15" s="919" t="s">
        <v>1501</v>
      </c>
      <c r="F15" s="920"/>
      <c r="G15" s="930">
        <f>+L17</f>
        <v>217953.22999999998</v>
      </c>
      <c r="H15" s="1155"/>
      <c r="I15" s="1151"/>
      <c r="J15" s="560"/>
      <c r="K15" s="922"/>
      <c r="L15" s="1149"/>
      <c r="M15" s="1149"/>
      <c r="P15" s="1014" t="s">
        <v>1582</v>
      </c>
      <c r="Q15" s="1014" t="s">
        <v>27</v>
      </c>
      <c r="R15" s="1014" t="s">
        <v>2525</v>
      </c>
      <c r="S15" s="1014" t="s">
        <v>2526</v>
      </c>
      <c r="T15" s="1014" t="s">
        <v>2527</v>
      </c>
      <c r="U15" s="1014" t="s">
        <v>2528</v>
      </c>
      <c r="V15" s="1014" t="s">
        <v>2529</v>
      </c>
      <c r="W15" s="1014" t="s">
        <v>1580</v>
      </c>
      <c r="X15" s="1014" t="s">
        <v>1561</v>
      </c>
      <c r="Y15" s="1014" t="s">
        <v>2530</v>
      </c>
    </row>
    <row r="16" spans="2:25" ht="26.15" customHeight="1" thickBot="1" x14ac:dyDescent="0.3">
      <c r="B16" s="557"/>
      <c r="C16" s="558"/>
      <c r="D16" s="562" t="s">
        <v>9</v>
      </c>
      <c r="E16" s="1139" t="s">
        <v>1398</v>
      </c>
      <c r="F16" s="1140"/>
      <c r="G16" s="1141"/>
      <c r="H16" s="563">
        <v>0</v>
      </c>
      <c r="I16" s="564">
        <f>I14+H16</f>
        <v>19268709.449999999</v>
      </c>
      <c r="J16" s="560"/>
      <c r="K16" s="567"/>
      <c r="L16" s="1149"/>
      <c r="M16" s="1149"/>
      <c r="P16" s="1015" t="s">
        <v>1554</v>
      </c>
      <c r="Q16" s="1015" t="s">
        <v>1589</v>
      </c>
      <c r="R16" s="1015" t="s">
        <v>1585</v>
      </c>
      <c r="S16" s="1015" t="s">
        <v>2531</v>
      </c>
      <c r="T16" s="1015" t="s">
        <v>2532</v>
      </c>
      <c r="U16" s="1015" t="s">
        <v>2533</v>
      </c>
      <c r="V16" s="1015" t="s">
        <v>2534</v>
      </c>
      <c r="W16" s="1015">
        <v>22595.05</v>
      </c>
      <c r="X16" s="1015" t="s">
        <v>687</v>
      </c>
      <c r="Y16" s="1015" t="s">
        <v>2535</v>
      </c>
    </row>
    <row r="17" spans="2:25" ht="26.25" customHeight="1" thickBot="1" x14ac:dyDescent="0.4">
      <c r="B17" s="557"/>
      <c r="C17" s="558"/>
      <c r="D17" s="562" t="s">
        <v>9</v>
      </c>
      <c r="E17" s="1139" t="s">
        <v>1399</v>
      </c>
      <c r="F17" s="1140"/>
      <c r="G17" s="1141"/>
      <c r="H17" s="563">
        <v>0</v>
      </c>
      <c r="I17" s="564">
        <f t="shared" ref="I17:I20" si="0">I16+H17</f>
        <v>19268709.449999999</v>
      </c>
      <c r="J17" s="560"/>
      <c r="K17" s="924"/>
      <c r="L17" s="925">
        <f>SUM(W16:W19)</f>
        <v>217953.22999999998</v>
      </c>
      <c r="M17" s="925">
        <f>SUM(W20:W23)</f>
        <v>100357.3</v>
      </c>
      <c r="P17" s="1015" t="s">
        <v>1554</v>
      </c>
      <c r="Q17" s="1015" t="s">
        <v>1589</v>
      </c>
      <c r="R17" s="1015" t="s">
        <v>1585</v>
      </c>
      <c r="S17" s="1015" t="s">
        <v>2536</v>
      </c>
      <c r="T17" s="1015" t="s">
        <v>2537</v>
      </c>
      <c r="U17" s="1015" t="s">
        <v>2533</v>
      </c>
      <c r="V17" s="1015" t="s">
        <v>2534</v>
      </c>
      <c r="W17" s="1015">
        <v>34727.56</v>
      </c>
      <c r="X17" s="1015" t="s">
        <v>687</v>
      </c>
      <c r="Y17" s="1015" t="s">
        <v>2538</v>
      </c>
    </row>
    <row r="18" spans="2:25" ht="26.25" customHeight="1" x14ac:dyDescent="0.35">
      <c r="B18" s="557"/>
      <c r="C18" s="558"/>
      <c r="D18" s="562" t="s">
        <v>9</v>
      </c>
      <c r="E18" s="1139" t="s">
        <v>1400</v>
      </c>
      <c r="F18" s="1140"/>
      <c r="G18" s="1141"/>
      <c r="H18" s="563">
        <f>'03 - Monthly Asset Follow up'!M17+'03 - Monthly Asset Follow up'!AM17+'03 - Monthly Asset Follow up'!AP17+'03 - Monthly Asset Follow up'!BL17+'03 - Monthly Asset Follow up'!CL17+'03 - Monthly Asset Follow up'!CO17</f>
        <v>0</v>
      </c>
      <c r="I18" s="564">
        <f t="shared" si="0"/>
        <v>19268709.449999999</v>
      </c>
      <c r="J18" s="560"/>
      <c r="K18" s="553"/>
      <c r="M18" s="1148" t="s">
        <v>1502</v>
      </c>
      <c r="P18" s="1015" t="s">
        <v>1554</v>
      </c>
      <c r="Q18" s="1015" t="s">
        <v>1589</v>
      </c>
      <c r="R18" s="1015" t="s">
        <v>1585</v>
      </c>
      <c r="S18" s="1015" t="s">
        <v>2539</v>
      </c>
      <c r="T18" s="1015" t="s">
        <v>2540</v>
      </c>
      <c r="U18" s="1015" t="s">
        <v>2533</v>
      </c>
      <c r="V18" s="1015" t="s">
        <v>2534</v>
      </c>
      <c r="W18" s="1015">
        <v>78168.7</v>
      </c>
      <c r="X18" s="1015" t="s">
        <v>687</v>
      </c>
      <c r="Y18" s="1015" t="s">
        <v>2541</v>
      </c>
    </row>
    <row r="19" spans="2:25" ht="26.25" customHeight="1" thickBot="1" x14ac:dyDescent="0.4">
      <c r="B19" s="557"/>
      <c r="C19" s="558"/>
      <c r="D19" s="562" t="s">
        <v>9</v>
      </c>
      <c r="E19" s="1139" t="s">
        <v>1401</v>
      </c>
      <c r="F19" s="1140"/>
      <c r="G19" s="1141"/>
      <c r="H19" s="563">
        <f>H59</f>
        <v>10352857.300000003</v>
      </c>
      <c r="I19" s="564">
        <f t="shared" si="0"/>
        <v>29621566.75</v>
      </c>
      <c r="J19" s="560"/>
      <c r="K19" s="926"/>
      <c r="M19" s="1149"/>
      <c r="P19" s="1015" t="s">
        <v>1554</v>
      </c>
      <c r="Q19" s="1015" t="s">
        <v>1589</v>
      </c>
      <c r="R19" s="1015" t="s">
        <v>1585</v>
      </c>
      <c r="S19" s="1015" t="s">
        <v>2542</v>
      </c>
      <c r="T19" s="1015" t="s">
        <v>2543</v>
      </c>
      <c r="U19" s="1015" t="s">
        <v>2533</v>
      </c>
      <c r="V19" s="1015" t="s">
        <v>2534</v>
      </c>
      <c r="W19" s="1015">
        <v>82461.919999999998</v>
      </c>
      <c r="X19" s="1015" t="s">
        <v>687</v>
      </c>
      <c r="Y19" s="1015" t="s">
        <v>2544</v>
      </c>
    </row>
    <row r="20" spans="2:25" ht="26.5" customHeight="1" thickBot="1" x14ac:dyDescent="0.4">
      <c r="B20" s="557"/>
      <c r="C20" s="558"/>
      <c r="D20" s="562" t="s">
        <v>9</v>
      </c>
      <c r="E20" s="1139" t="s">
        <v>1402</v>
      </c>
      <c r="F20" s="1140"/>
      <c r="G20" s="1141"/>
      <c r="H20" s="563">
        <v>0</v>
      </c>
      <c r="I20" s="564">
        <f t="shared" si="0"/>
        <v>29621566.75</v>
      </c>
      <c r="J20" s="560"/>
      <c r="K20" s="929"/>
      <c r="M20" s="925">
        <v>300</v>
      </c>
      <c r="P20" s="1016" t="s">
        <v>1554</v>
      </c>
      <c r="Q20" s="1016" t="s">
        <v>1592</v>
      </c>
      <c r="R20" s="1016" t="s">
        <v>1588</v>
      </c>
      <c r="S20" s="1016" t="s">
        <v>2536</v>
      </c>
      <c r="T20" s="1016" t="s">
        <v>2537</v>
      </c>
      <c r="U20" s="1016" t="s">
        <v>2533</v>
      </c>
      <c r="V20" s="1016" t="s">
        <v>2534</v>
      </c>
      <c r="W20" s="1016">
        <v>23688.46</v>
      </c>
      <c r="X20" s="1016" t="s">
        <v>687</v>
      </c>
      <c r="Y20" s="1016" t="s">
        <v>2538</v>
      </c>
    </row>
    <row r="21" spans="2:25" ht="14.5" x14ac:dyDescent="0.35">
      <c r="B21" s="557"/>
      <c r="C21" s="558"/>
      <c r="D21" s="565" t="s">
        <v>18</v>
      </c>
      <c r="E21" s="1130" t="s">
        <v>1403</v>
      </c>
      <c r="F21" s="1131"/>
      <c r="G21" s="1132"/>
      <c r="H21" s="186">
        <v>0</v>
      </c>
      <c r="I21" s="564">
        <f>I20-H21</f>
        <v>29621566.75</v>
      </c>
      <c r="J21" s="566"/>
      <c r="K21" s="936"/>
      <c r="P21" s="1016" t="s">
        <v>1554</v>
      </c>
      <c r="Q21" s="1016" t="s">
        <v>1592</v>
      </c>
      <c r="R21" s="1016" t="s">
        <v>1588</v>
      </c>
      <c r="S21" s="1016" t="s">
        <v>2539</v>
      </c>
      <c r="T21" s="1016" t="s">
        <v>2540</v>
      </c>
      <c r="U21" s="1016" t="s">
        <v>2533</v>
      </c>
      <c r="V21" s="1016" t="s">
        <v>2534</v>
      </c>
      <c r="W21" s="1016">
        <v>25046.48</v>
      </c>
      <c r="X21" s="1016" t="s">
        <v>687</v>
      </c>
      <c r="Y21" s="1016" t="s">
        <v>2541</v>
      </c>
    </row>
    <row r="22" spans="2:25" ht="15" customHeight="1" x14ac:dyDescent="0.35">
      <c r="B22" s="557"/>
      <c r="C22" s="558"/>
      <c r="D22" s="565" t="s">
        <v>18</v>
      </c>
      <c r="E22" s="1130" t="s">
        <v>1404</v>
      </c>
      <c r="F22" s="1131"/>
      <c r="G22" s="1132"/>
      <c r="H22" s="186">
        <v>0</v>
      </c>
      <c r="I22" s="564">
        <f t="shared" ref="I22:I24" si="1">I21-H22</f>
        <v>29621566.75</v>
      </c>
      <c r="J22" s="933"/>
      <c r="K22" s="923"/>
      <c r="M22" s="561"/>
      <c r="P22" s="1016" t="s">
        <v>1554</v>
      </c>
      <c r="Q22" s="1016" t="s">
        <v>1592</v>
      </c>
      <c r="R22" s="1016" t="s">
        <v>1588</v>
      </c>
      <c r="S22" s="1016" t="s">
        <v>2531</v>
      </c>
      <c r="T22" s="1016" t="s">
        <v>2532</v>
      </c>
      <c r="U22" s="1016" t="s">
        <v>2533</v>
      </c>
      <c r="V22" s="1016" t="s">
        <v>2534</v>
      </c>
      <c r="W22" s="1016">
        <v>25784.22</v>
      </c>
      <c r="X22" s="1016" t="s">
        <v>687</v>
      </c>
      <c r="Y22" s="1016" t="s">
        <v>2535</v>
      </c>
    </row>
    <row r="23" spans="2:25" ht="33.65" customHeight="1" x14ac:dyDescent="0.35">
      <c r="B23" s="557"/>
      <c r="C23" s="558"/>
      <c r="D23" s="565" t="s">
        <v>18</v>
      </c>
      <c r="E23" s="1130" t="s">
        <v>1405</v>
      </c>
      <c r="F23" s="1131"/>
      <c r="G23" s="1132"/>
      <c r="H23" s="186">
        <v>0</v>
      </c>
      <c r="I23" s="564">
        <f t="shared" si="1"/>
        <v>29621566.75</v>
      </c>
      <c r="J23" s="566"/>
      <c r="K23" s="915"/>
      <c r="M23" s="561"/>
      <c r="P23" s="1016" t="s">
        <v>1554</v>
      </c>
      <c r="Q23" s="1016" t="s">
        <v>1592</v>
      </c>
      <c r="R23" s="1016" t="s">
        <v>1588</v>
      </c>
      <c r="S23" s="1016" t="s">
        <v>2542</v>
      </c>
      <c r="T23" s="1016" t="s">
        <v>2543</v>
      </c>
      <c r="U23" s="1016" t="s">
        <v>2533</v>
      </c>
      <c r="V23" s="1016" t="s">
        <v>2534</v>
      </c>
      <c r="W23" s="1016">
        <v>25838.14</v>
      </c>
      <c r="X23" s="1016" t="s">
        <v>687</v>
      </c>
      <c r="Y23" s="1016" t="s">
        <v>2544</v>
      </c>
    </row>
    <row r="24" spans="2:25" ht="33.65" customHeight="1" x14ac:dyDescent="0.35">
      <c r="B24" s="557"/>
      <c r="C24" s="558"/>
      <c r="D24" s="565" t="s">
        <v>18</v>
      </c>
      <c r="E24" s="1133" t="s">
        <v>1406</v>
      </c>
      <c r="F24" s="1134"/>
      <c r="G24" s="1135"/>
      <c r="H24" s="186">
        <f>'15 - Priority of Payments'!I17</f>
        <v>16479655.059999999</v>
      </c>
      <c r="I24" s="564">
        <f t="shared" si="1"/>
        <v>13141911.690000001</v>
      </c>
      <c r="J24" s="566"/>
      <c r="K24" s="923"/>
      <c r="M24" s="561"/>
    </row>
    <row r="25" spans="2:25" ht="47.15" customHeight="1" x14ac:dyDescent="0.35">
      <c r="B25" s="557"/>
      <c r="C25" s="558"/>
      <c r="D25" s="565" t="s">
        <v>18</v>
      </c>
      <c r="E25" s="1133" t="s">
        <v>1407</v>
      </c>
      <c r="F25" s="1134"/>
      <c r="G25" s="1135"/>
      <c r="H25" s="186">
        <f>+I24</f>
        <v>13141911.690000001</v>
      </c>
      <c r="I25" s="564">
        <f>I24-H25</f>
        <v>0</v>
      </c>
      <c r="J25" s="566"/>
      <c r="K25" s="567"/>
      <c r="L25" s="921"/>
      <c r="M25" s="561"/>
    </row>
    <row r="26" spans="2:25" ht="14.5" x14ac:dyDescent="0.35">
      <c r="B26" s="557"/>
      <c r="C26" s="558"/>
      <c r="D26" s="1136"/>
      <c r="E26" s="1137"/>
      <c r="F26" s="1137"/>
      <c r="G26" s="1138"/>
      <c r="H26" s="559"/>
      <c r="I26" s="389">
        <f>I25</f>
        <v>0</v>
      </c>
      <c r="J26" s="566"/>
      <c r="K26" s="568"/>
      <c r="L26" s="561"/>
    </row>
    <row r="27" spans="2:25" ht="14.5" x14ac:dyDescent="0.35">
      <c r="B27" s="569"/>
      <c r="C27" s="570"/>
      <c r="D27" s="570"/>
      <c r="E27" s="570"/>
      <c r="F27" s="570"/>
      <c r="G27" s="570"/>
      <c r="H27" s="570"/>
      <c r="I27" s="571"/>
      <c r="J27" s="572"/>
      <c r="K27" s="553"/>
      <c r="L27" s="561"/>
      <c r="M27" s="561"/>
    </row>
    <row r="28" spans="2:25" ht="14.5" x14ac:dyDescent="0.35">
      <c r="K28" s="921"/>
      <c r="L28" s="561"/>
      <c r="M28" s="561"/>
    </row>
    <row r="29" spans="2:25" ht="14.5" x14ac:dyDescent="0.35">
      <c r="K29" s="921"/>
      <c r="L29" s="561"/>
      <c r="M29" s="561"/>
    </row>
    <row r="30" spans="2:25" ht="15.5" x14ac:dyDescent="0.35">
      <c r="B30" s="573"/>
      <c r="C30" s="1142" t="s">
        <v>1604</v>
      </c>
      <c r="D30" s="1142"/>
      <c r="E30" s="1142"/>
      <c r="F30" s="1142"/>
      <c r="G30" s="1142"/>
      <c r="H30" s="574"/>
      <c r="I30" s="574"/>
      <c r="J30" s="575"/>
      <c r="K30" s="553"/>
      <c r="L30" s="561"/>
      <c r="M30" s="561"/>
    </row>
    <row r="31" spans="2:25" ht="14.5" x14ac:dyDescent="0.35">
      <c r="B31" s="576"/>
      <c r="C31" s="1143"/>
      <c r="D31" s="1143"/>
      <c r="E31" s="1143"/>
      <c r="F31" s="1143"/>
      <c r="G31" s="1143"/>
      <c r="H31" s="657" t="s">
        <v>8</v>
      </c>
      <c r="I31" s="555" t="s">
        <v>236</v>
      </c>
      <c r="J31" s="577"/>
      <c r="K31" s="553"/>
      <c r="L31" s="561"/>
      <c r="M31" s="561"/>
    </row>
    <row r="32" spans="2:25" ht="14.5" x14ac:dyDescent="0.35">
      <c r="B32" s="578"/>
      <c r="C32" s="579"/>
      <c r="D32" s="1136" t="s">
        <v>706</v>
      </c>
      <c r="E32" s="1137"/>
      <c r="F32" s="1137"/>
      <c r="G32" s="1138"/>
      <c r="H32" s="559"/>
      <c r="I32" s="389">
        <v>0</v>
      </c>
      <c r="J32" s="580"/>
      <c r="K32" s="553"/>
      <c r="L32" s="561"/>
    </row>
    <row r="33" spans="2:13" ht="33.65" customHeight="1" x14ac:dyDescent="0.35">
      <c r="B33" s="578"/>
      <c r="C33" s="579"/>
      <c r="D33" s="562" t="s">
        <v>9</v>
      </c>
      <c r="E33" s="1139" t="s">
        <v>1408</v>
      </c>
      <c r="F33" s="1140"/>
      <c r="G33" s="1141"/>
      <c r="H33" s="563">
        <f>H24</f>
        <v>16479655.059999999</v>
      </c>
      <c r="I33" s="564">
        <f>I32+H33</f>
        <v>16479655.059999999</v>
      </c>
      <c r="J33" s="580"/>
      <c r="K33" s="553"/>
      <c r="L33" s="561"/>
      <c r="M33" s="561"/>
    </row>
    <row r="34" spans="2:13" ht="27" customHeight="1" x14ac:dyDescent="0.35">
      <c r="B34" s="578"/>
      <c r="C34" s="579"/>
      <c r="D34" s="562" t="s">
        <v>9</v>
      </c>
      <c r="E34" s="1139" t="s">
        <v>1409</v>
      </c>
      <c r="F34" s="1140"/>
      <c r="G34" s="1141"/>
      <c r="H34" s="563">
        <f>'10 -Principal Deficiency Ledger'!C12</f>
        <v>0</v>
      </c>
      <c r="I34" s="564">
        <f>I33+H34</f>
        <v>16479655.059999999</v>
      </c>
      <c r="J34" s="913"/>
      <c r="K34" s="914"/>
      <c r="L34" s="561"/>
      <c r="M34" s="561"/>
    </row>
    <row r="35" spans="2:13" ht="34.5" customHeight="1" x14ac:dyDescent="0.35">
      <c r="B35" s="578"/>
      <c r="C35" s="579"/>
      <c r="D35" s="565" t="s">
        <v>18</v>
      </c>
      <c r="E35" s="1130" t="s">
        <v>724</v>
      </c>
      <c r="F35" s="1131"/>
      <c r="G35" s="1132"/>
      <c r="H35" s="186">
        <f>SUM('15 - Priority of Payments'!J24:J27)</f>
        <v>16479655.059999999</v>
      </c>
      <c r="I35" s="564">
        <f>I34-H35</f>
        <v>0</v>
      </c>
      <c r="J35" s="581"/>
      <c r="K35" s="553"/>
      <c r="L35" s="561"/>
      <c r="M35" s="561"/>
    </row>
    <row r="36" spans="2:13" ht="14.5" x14ac:dyDescent="0.35">
      <c r="B36" s="578"/>
      <c r="C36" s="579"/>
      <c r="D36" s="1136"/>
      <c r="E36" s="1137"/>
      <c r="F36" s="1137"/>
      <c r="G36" s="1138"/>
      <c r="H36" s="559"/>
      <c r="I36" s="828">
        <f>I35</f>
        <v>0</v>
      </c>
      <c r="J36" s="581"/>
      <c r="K36" s="878"/>
      <c r="L36" s="561"/>
    </row>
    <row r="37" spans="2:13" ht="14.5" x14ac:dyDescent="0.35">
      <c r="B37" s="582"/>
      <c r="C37" s="583"/>
      <c r="D37" s="583"/>
      <c r="E37" s="583"/>
      <c r="F37" s="583"/>
      <c r="G37" s="583"/>
      <c r="H37" s="583"/>
      <c r="I37" s="584"/>
      <c r="J37" s="585"/>
      <c r="K37" s="553"/>
      <c r="L37" s="561"/>
      <c r="M37" s="561"/>
    </row>
    <row r="38" spans="2:13" ht="14.5" x14ac:dyDescent="0.35">
      <c r="K38" s="553"/>
      <c r="L38" s="561"/>
      <c r="M38" s="561"/>
    </row>
    <row r="39" spans="2:13" ht="14.5" x14ac:dyDescent="0.35">
      <c r="K39" s="553"/>
      <c r="L39" s="561"/>
      <c r="M39" s="561"/>
    </row>
    <row r="40" spans="2:13" ht="14.5" x14ac:dyDescent="0.35">
      <c r="K40" s="553"/>
      <c r="L40" s="561"/>
      <c r="M40" s="561"/>
    </row>
    <row r="41" spans="2:13" ht="15.5" x14ac:dyDescent="0.35">
      <c r="B41" s="550"/>
      <c r="C41" s="1144" t="s">
        <v>1603</v>
      </c>
      <c r="D41" s="1144"/>
      <c r="E41" s="1144"/>
      <c r="F41" s="1144"/>
      <c r="G41" s="1144"/>
      <c r="H41" s="551"/>
      <c r="I41" s="551"/>
      <c r="J41" s="552"/>
      <c r="K41" s="553"/>
      <c r="L41" s="561"/>
      <c r="M41" s="561"/>
    </row>
    <row r="42" spans="2:13" ht="14.5" x14ac:dyDescent="0.35">
      <c r="B42" s="554"/>
      <c r="C42" s="1145"/>
      <c r="D42" s="1145"/>
      <c r="E42" s="1145"/>
      <c r="F42" s="1145"/>
      <c r="G42" s="1145"/>
      <c r="H42" s="657" t="s">
        <v>8</v>
      </c>
      <c r="I42" s="555" t="s">
        <v>236</v>
      </c>
      <c r="J42" s="556"/>
      <c r="K42" s="553"/>
      <c r="L42" s="561"/>
      <c r="M42" s="561"/>
    </row>
    <row r="43" spans="2:13" ht="14.5" x14ac:dyDescent="0.35">
      <c r="B43" s="557"/>
      <c r="C43" s="558"/>
      <c r="D43" s="1136" t="s">
        <v>706</v>
      </c>
      <c r="E43" s="1137"/>
      <c r="F43" s="1137"/>
      <c r="G43" s="1138"/>
      <c r="H43" s="559"/>
      <c r="I43" s="389">
        <v>0</v>
      </c>
      <c r="J43" s="560"/>
      <c r="K43" s="553"/>
      <c r="L43" s="561"/>
    </row>
    <row r="44" spans="2:13" ht="57.65" customHeight="1" x14ac:dyDescent="0.35">
      <c r="B44" s="557"/>
      <c r="C44" s="558"/>
      <c r="D44" s="562" t="s">
        <v>9</v>
      </c>
      <c r="E44" s="1139" t="s">
        <v>1410</v>
      </c>
      <c r="F44" s="1140"/>
      <c r="G44" s="1141"/>
      <c r="H44" s="563">
        <f>+I19-H24-L17-M17</f>
        <v>12823601.16</v>
      </c>
      <c r="I44" s="564">
        <f>I43+H44</f>
        <v>12823601.16</v>
      </c>
      <c r="J44" s="560"/>
      <c r="K44" s="921"/>
      <c r="M44" s="561"/>
    </row>
    <row r="45" spans="2:13" ht="23.15" customHeight="1" x14ac:dyDescent="0.35">
      <c r="B45" s="557"/>
      <c r="C45" s="558"/>
      <c r="D45" s="562" t="s">
        <v>9</v>
      </c>
      <c r="E45" s="1139" t="s">
        <v>1411</v>
      </c>
      <c r="F45" s="1140"/>
      <c r="G45" s="1141"/>
      <c r="H45" s="563">
        <f>'10 -Principal Deficiency Ledger'!E12</f>
        <v>0</v>
      </c>
      <c r="I45" s="564">
        <f t="shared" ref="I45:I46" si="2">I44+H45</f>
        <v>12823601.16</v>
      </c>
      <c r="J45" s="560"/>
      <c r="K45" s="553"/>
      <c r="M45" s="561"/>
    </row>
    <row r="46" spans="2:13" ht="27.65" customHeight="1" x14ac:dyDescent="0.35">
      <c r="B46" s="557"/>
      <c r="C46" s="558"/>
      <c r="D46" s="562" t="s">
        <v>9</v>
      </c>
      <c r="E46" s="1139" t="s">
        <v>1500</v>
      </c>
      <c r="F46" s="1140"/>
      <c r="G46" s="1141"/>
      <c r="H46" s="563">
        <f>+L17+M17</f>
        <v>318310.52999999997</v>
      </c>
      <c r="I46" s="564">
        <f t="shared" si="2"/>
        <v>13141911.689999999</v>
      </c>
      <c r="J46" s="566"/>
      <c r="K46" s="927"/>
      <c r="M46" s="561"/>
    </row>
    <row r="47" spans="2:13" ht="32.5" customHeight="1" x14ac:dyDescent="0.35">
      <c r="B47" s="557"/>
      <c r="C47" s="558"/>
      <c r="D47" s="565" t="s">
        <v>18</v>
      </c>
      <c r="E47" s="1133" t="s">
        <v>725</v>
      </c>
      <c r="F47" s="1134"/>
      <c r="G47" s="1135"/>
      <c r="H47" s="186">
        <f>+I46</f>
        <v>13141911.689999999</v>
      </c>
      <c r="I47" s="564">
        <f>I46-H47</f>
        <v>0</v>
      </c>
      <c r="J47" s="566"/>
      <c r="K47" s="553"/>
      <c r="M47" s="561"/>
    </row>
    <row r="48" spans="2:13" ht="14.5" x14ac:dyDescent="0.35">
      <c r="B48" s="557"/>
      <c r="C48" s="558"/>
      <c r="D48" s="1136"/>
      <c r="E48" s="1137"/>
      <c r="F48" s="1137"/>
      <c r="G48" s="1138"/>
      <c r="H48" s="559"/>
      <c r="I48" s="828">
        <f>+I47</f>
        <v>0</v>
      </c>
      <c r="J48" s="566"/>
      <c r="K48" s="568"/>
    </row>
    <row r="49" spans="2:16" ht="14.5" x14ac:dyDescent="0.35">
      <c r="B49" s="569"/>
      <c r="C49" s="570"/>
      <c r="D49" s="570"/>
      <c r="E49" s="570"/>
      <c r="F49" s="570"/>
      <c r="G49" s="570"/>
      <c r="H49" s="570"/>
      <c r="I49" s="571"/>
      <c r="J49" s="572"/>
      <c r="K49" s="553"/>
      <c r="M49" s="561"/>
    </row>
    <row r="50" spans="2:16" ht="14.5" x14ac:dyDescent="0.35">
      <c r="K50" s="553"/>
      <c r="M50" s="561"/>
    </row>
    <row r="51" spans="2:16" ht="14.5" x14ac:dyDescent="0.35">
      <c r="K51" s="553"/>
      <c r="M51" s="561"/>
    </row>
    <row r="52" spans="2:16" ht="15.5" x14ac:dyDescent="0.35">
      <c r="B52" s="573"/>
      <c r="C52" s="1142" t="s">
        <v>1602</v>
      </c>
      <c r="D52" s="1142"/>
      <c r="E52" s="1142"/>
      <c r="F52" s="1142"/>
      <c r="G52" s="1142"/>
      <c r="H52" s="574"/>
      <c r="I52" s="574"/>
      <c r="J52" s="575"/>
      <c r="K52" s="553"/>
      <c r="M52" s="561"/>
    </row>
    <row r="53" spans="2:16" ht="14.5" x14ac:dyDescent="0.35">
      <c r="B53" s="576"/>
      <c r="C53" s="1143"/>
      <c r="D53" s="1143"/>
      <c r="E53" s="1143"/>
      <c r="F53" s="1143"/>
      <c r="G53" s="1143"/>
      <c r="H53" s="657" t="s">
        <v>8</v>
      </c>
      <c r="I53" s="555" t="s">
        <v>236</v>
      </c>
      <c r="J53" s="577"/>
      <c r="K53" s="904"/>
      <c r="L53" s="567"/>
      <c r="M53" s="561"/>
    </row>
    <row r="54" spans="2:16" ht="14.5" x14ac:dyDescent="0.35">
      <c r="B54" s="578"/>
      <c r="C54" s="579"/>
      <c r="D54" s="1136" t="s">
        <v>706</v>
      </c>
      <c r="E54" s="1137"/>
      <c r="F54" s="1137"/>
      <c r="G54" s="1138"/>
      <c r="H54" s="559"/>
      <c r="I54" s="828">
        <v>10252500</v>
      </c>
      <c r="J54" s="580"/>
      <c r="K54" s="553"/>
    </row>
    <row r="55" spans="2:16" ht="14.5" x14ac:dyDescent="0.35">
      <c r="B55" s="578"/>
      <c r="C55" s="579"/>
      <c r="D55" s="562" t="s">
        <v>9</v>
      </c>
      <c r="E55" s="1139" t="s">
        <v>1455</v>
      </c>
      <c r="F55" s="1140"/>
      <c r="G55" s="1141"/>
      <c r="H55" s="563">
        <f>+M17</f>
        <v>100357.3</v>
      </c>
      <c r="I55" s="564">
        <f>I54+H55</f>
        <v>10352857.300000001</v>
      </c>
      <c r="J55" s="580"/>
      <c r="K55" s="553"/>
    </row>
    <row r="56" spans="2:16" ht="42" customHeight="1" x14ac:dyDescent="0.35">
      <c r="B56" s="578"/>
      <c r="C56" s="579"/>
      <c r="D56" s="562" t="s">
        <v>9</v>
      </c>
      <c r="E56" s="1139" t="s">
        <v>1412</v>
      </c>
      <c r="F56" s="1140"/>
      <c r="G56" s="1141"/>
      <c r="H56" s="563">
        <f>O65</f>
        <v>9754251.5420999993</v>
      </c>
      <c r="I56" s="564">
        <f>I55+H56</f>
        <v>20107108.842100002</v>
      </c>
      <c r="J56" s="580"/>
      <c r="K56" s="553"/>
      <c r="M56" s="561"/>
    </row>
    <row r="57" spans="2:16" ht="44.15" customHeight="1" x14ac:dyDescent="0.25">
      <c r="B57" s="578"/>
      <c r="C57" s="579"/>
      <c r="D57" s="562" t="s">
        <v>9</v>
      </c>
      <c r="E57" s="1139" t="s">
        <v>1413</v>
      </c>
      <c r="F57" s="1140"/>
      <c r="G57" s="1141"/>
      <c r="H57" s="563">
        <v>0</v>
      </c>
      <c r="I57" s="564">
        <f t="shared" ref="I57" si="3">I56+H57</f>
        <v>20107108.842100002</v>
      </c>
      <c r="J57" s="581"/>
      <c r="M57" s="561"/>
      <c r="N57"/>
      <c r="O57"/>
    </row>
    <row r="58" spans="2:16" ht="44.15" customHeight="1" x14ac:dyDescent="0.25">
      <c r="B58" s="578"/>
      <c r="C58" s="579"/>
      <c r="D58" s="565" t="s">
        <v>18</v>
      </c>
      <c r="E58" s="917" t="s">
        <v>1458</v>
      </c>
      <c r="F58" s="918"/>
      <c r="G58" s="916"/>
      <c r="H58" s="186">
        <v>0</v>
      </c>
      <c r="I58" s="564">
        <f>+I57-H58</f>
        <v>20107108.842100002</v>
      </c>
      <c r="J58" s="581"/>
      <c r="M58" s="561"/>
      <c r="N58"/>
      <c r="O58"/>
    </row>
    <row r="59" spans="2:16" ht="34" customHeight="1" x14ac:dyDescent="0.35">
      <c r="B59" s="578"/>
      <c r="C59" s="579"/>
      <c r="D59" s="565" t="s">
        <v>18</v>
      </c>
      <c r="E59" s="1133" t="s">
        <v>1414</v>
      </c>
      <c r="F59" s="1134"/>
      <c r="G59" s="1135"/>
      <c r="H59" s="186">
        <f>I58-H56</f>
        <v>10352857.300000003</v>
      </c>
      <c r="I59" s="564">
        <f>I58-H59</f>
        <v>9754251.5420999993</v>
      </c>
      <c r="J59" s="581"/>
      <c r="K59" s="553"/>
      <c r="M59" s="561"/>
      <c r="N59"/>
      <c r="O59" s="884" t="s">
        <v>1458</v>
      </c>
      <c r="P59" s="567"/>
    </row>
    <row r="60" spans="2:16" ht="38.5" x14ac:dyDescent="0.35">
      <c r="B60" s="578"/>
      <c r="C60" s="579"/>
      <c r="D60" s="565" t="s">
        <v>18</v>
      </c>
      <c r="E60" s="1133" t="s">
        <v>1415</v>
      </c>
      <c r="F60" s="1134"/>
      <c r="G60" s="1135"/>
      <c r="H60" s="186">
        <v>0</v>
      </c>
      <c r="I60" s="564">
        <f>I59-H60</f>
        <v>9754251.5420999993</v>
      </c>
      <c r="J60" s="581"/>
      <c r="K60" s="568"/>
      <c r="M60" s="561"/>
      <c r="N60" s="879" t="s">
        <v>1466</v>
      </c>
      <c r="O60" s="880">
        <f>'11 - Notes Follow-up'!D24</f>
        <v>650283436.13999999</v>
      </c>
      <c r="P60" s="567"/>
    </row>
    <row r="61" spans="2:16" ht="14.5" x14ac:dyDescent="0.35">
      <c r="B61" s="578"/>
      <c r="C61" s="579"/>
      <c r="D61" s="1136"/>
      <c r="E61" s="1137"/>
      <c r="F61" s="1137"/>
      <c r="G61" s="1138"/>
      <c r="H61" s="559"/>
      <c r="I61" s="828">
        <f>I60</f>
        <v>9754251.5420999993</v>
      </c>
      <c r="J61" s="581"/>
      <c r="K61" s="568"/>
      <c r="N61" s="879" t="s">
        <v>1456</v>
      </c>
      <c r="O61" s="880">
        <v>3500000</v>
      </c>
    </row>
    <row r="62" spans="2:16" ht="13" x14ac:dyDescent="0.25">
      <c r="B62" s="582"/>
      <c r="C62" s="583"/>
      <c r="D62" s="583"/>
      <c r="E62" s="583"/>
      <c r="F62" s="583"/>
      <c r="G62" s="583"/>
      <c r="H62" s="583"/>
      <c r="I62" s="584"/>
      <c r="J62" s="585"/>
      <c r="N62" s="879" t="s">
        <v>1467</v>
      </c>
      <c r="O62" s="880">
        <f>'11 - Notes Follow-up'!D24</f>
        <v>650283436.13999999</v>
      </c>
    </row>
    <row r="63" spans="2:16" x14ac:dyDescent="0.25">
      <c r="N63" s="879" t="s">
        <v>1457</v>
      </c>
      <c r="O63" s="881">
        <v>1.4999999999999999E-2</v>
      </c>
    </row>
    <row r="64" spans="2:16" x14ac:dyDescent="0.25">
      <c r="N64" s="879" t="s">
        <v>1469</v>
      </c>
      <c r="O64" s="880">
        <f>MAX(O61,O62*O63)</f>
        <v>9754251.5420999993</v>
      </c>
    </row>
    <row r="65" spans="14:17" ht="38" x14ac:dyDescent="0.3">
      <c r="N65" s="882" t="s">
        <v>1468</v>
      </c>
      <c r="O65" s="883">
        <f>MIN(O64,O60)</f>
        <v>9754251.5420999993</v>
      </c>
      <c r="Q65" s="892">
        <f>I54-O65</f>
        <v>498248.45790000074</v>
      </c>
    </row>
  </sheetData>
  <mergeCells count="42">
    <mergeCell ref="M18:M19"/>
    <mergeCell ref="I14:I15"/>
    <mergeCell ref="E14:F14"/>
    <mergeCell ref="H14:H15"/>
    <mergeCell ref="L14:L16"/>
    <mergeCell ref="M14:M16"/>
    <mergeCell ref="D14:D15"/>
    <mergeCell ref="E16:G16"/>
    <mergeCell ref="E20:G20"/>
    <mergeCell ref="E17:G17"/>
    <mergeCell ref="E18:G18"/>
    <mergeCell ref="E19:G19"/>
    <mergeCell ref="C10:G11"/>
    <mergeCell ref="D12:G12"/>
    <mergeCell ref="E13:G13"/>
    <mergeCell ref="E45:G45"/>
    <mergeCell ref="E33:G33"/>
    <mergeCell ref="E34:G34"/>
    <mergeCell ref="E35:G35"/>
    <mergeCell ref="E21:G21"/>
    <mergeCell ref="E25:G25"/>
    <mergeCell ref="D26:G26"/>
    <mergeCell ref="C30:G31"/>
    <mergeCell ref="D32:G32"/>
    <mergeCell ref="D36:G36"/>
    <mergeCell ref="C41:G42"/>
    <mergeCell ref="D43:G43"/>
    <mergeCell ref="E44:G44"/>
    <mergeCell ref="E22:G22"/>
    <mergeCell ref="E23:G23"/>
    <mergeCell ref="E24:G24"/>
    <mergeCell ref="D61:G61"/>
    <mergeCell ref="E46:G46"/>
    <mergeCell ref="E47:G47"/>
    <mergeCell ref="D48:G48"/>
    <mergeCell ref="C52:G53"/>
    <mergeCell ref="D54:G54"/>
    <mergeCell ref="E56:G56"/>
    <mergeCell ref="E57:G57"/>
    <mergeCell ref="E59:G59"/>
    <mergeCell ref="E60:G60"/>
    <mergeCell ref="E55:G55"/>
  </mergeCells>
  <pageMargins left="0.7" right="0.7" top="0.75" bottom="0.75" header="0.3" footer="0.3"/>
  <pageSetup scale="27" orientation="portrait" r:id="rId1"/>
  <colBreaks count="1" manualBreakCount="1">
    <brk id="20" max="66"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3">
    <tabColor theme="0" tint="-0.249977111117893"/>
    <pageSetUpPr fitToPage="1"/>
  </sheetPr>
  <dimension ref="C2:P81"/>
  <sheetViews>
    <sheetView showGridLines="0" zoomScale="85" zoomScaleNormal="85" workbookViewId="0">
      <selection activeCell="N31" sqref="N31"/>
    </sheetView>
  </sheetViews>
  <sheetFormatPr defaultColWidth="11.54296875" defaultRowHeight="12.5" x14ac:dyDescent="0.25"/>
  <cols>
    <col min="1" max="1" width="3" customWidth="1"/>
    <col min="2" max="2" width="2.54296875" customWidth="1"/>
    <col min="3" max="3" width="123.81640625" bestFit="1" customWidth="1"/>
    <col min="4" max="4" width="15.54296875" style="1" bestFit="1" customWidth="1"/>
    <col min="5" max="6" width="28.1796875" style="1" customWidth="1"/>
    <col min="7" max="7" width="19.81640625" style="1" bestFit="1" customWidth="1"/>
    <col min="8" max="8" width="19.81640625" customWidth="1"/>
    <col min="9" max="9" width="66.453125" style="1" bestFit="1" customWidth="1"/>
    <col min="10" max="10" width="24.54296875" style="157" bestFit="1" customWidth="1"/>
    <col min="11" max="11" width="12.453125" customWidth="1"/>
    <col min="12" max="12" width="2.54296875" customWidth="1"/>
    <col min="13" max="13" width="31.453125" customWidth="1"/>
    <col min="14" max="14" width="12.81640625" bestFit="1" customWidth="1"/>
  </cols>
  <sheetData>
    <row r="2" spans="3:16" x14ac:dyDescent="0.25">
      <c r="J2" s="944"/>
      <c r="K2" s="1"/>
      <c r="L2" s="1"/>
      <c r="M2" s="1"/>
    </row>
    <row r="3" spans="3:16" ht="14.5" x14ac:dyDescent="0.25">
      <c r="I3"/>
      <c r="J3" s="945"/>
      <c r="K3" s="144"/>
    </row>
    <row r="4" spans="3:16" ht="13" x14ac:dyDescent="0.25">
      <c r="I4" s="825" t="s">
        <v>655</v>
      </c>
      <c r="J4" s="825">
        <f>'00 - Cover'!F15</f>
        <v>45488</v>
      </c>
      <c r="K4" s="144"/>
      <c r="P4" s="216"/>
    </row>
    <row r="5" spans="3:16" ht="13" x14ac:dyDescent="0.25">
      <c r="I5" s="825" t="s">
        <v>94</v>
      </c>
      <c r="J5" s="825">
        <f>'00 - Cover'!F16</f>
        <v>45491</v>
      </c>
      <c r="K5" s="144"/>
      <c r="P5" s="216"/>
    </row>
    <row r="6" spans="3:16" ht="13" x14ac:dyDescent="0.25">
      <c r="I6" s="825" t="s">
        <v>87</v>
      </c>
      <c r="J6" s="825">
        <f>'00 - Cover'!F17</f>
        <v>45498</v>
      </c>
      <c r="K6" s="1"/>
      <c r="L6" s="1"/>
      <c r="M6" s="1"/>
      <c r="P6" s="216"/>
    </row>
    <row r="7" spans="3:16" x14ac:dyDescent="0.25">
      <c r="D7" s="395"/>
      <c r="K7" s="1"/>
      <c r="L7" s="1"/>
      <c r="M7" s="1"/>
      <c r="P7" s="216"/>
    </row>
    <row r="8" spans="3:16" ht="13" x14ac:dyDescent="0.25">
      <c r="I8" s="1156" t="s">
        <v>1445</v>
      </c>
      <c r="J8" s="1157"/>
      <c r="P8" s="216"/>
    </row>
    <row r="9" spans="3:16" ht="13" x14ac:dyDescent="0.25">
      <c r="I9" s="825" t="s">
        <v>92</v>
      </c>
      <c r="J9" s="825">
        <f>'12 - Notes Interest'!D17</f>
        <v>45407</v>
      </c>
      <c r="P9" s="216"/>
    </row>
    <row r="10" spans="3:16" ht="13" x14ac:dyDescent="0.25">
      <c r="I10" s="825" t="s">
        <v>87</v>
      </c>
      <c r="J10" s="825">
        <f>J6</f>
        <v>45498</v>
      </c>
      <c r="P10" s="216"/>
    </row>
    <row r="11" spans="3:16" ht="13" x14ac:dyDescent="0.25">
      <c r="I11" s="825" t="s">
        <v>172</v>
      </c>
      <c r="J11" s="946">
        <f>J10-J9</f>
        <v>91</v>
      </c>
      <c r="P11" s="216"/>
    </row>
    <row r="12" spans="3:16" ht="18" customHeight="1" x14ac:dyDescent="0.3">
      <c r="I12" s="289"/>
      <c r="J12" s="947"/>
      <c r="P12" s="216"/>
    </row>
    <row r="13" spans="3:16" ht="14" x14ac:dyDescent="0.3">
      <c r="C13" s="1160" t="s">
        <v>214</v>
      </c>
      <c r="D13" s="1161"/>
      <c r="E13" s="1161"/>
      <c r="F13" s="1161"/>
      <c r="G13" s="1161"/>
      <c r="H13" s="1161"/>
      <c r="I13" s="1161"/>
      <c r="J13" s="1161"/>
      <c r="K13" s="1161"/>
      <c r="P13" s="216"/>
    </row>
    <row r="14" spans="3:16" ht="13" x14ac:dyDescent="0.25">
      <c r="C14" s="117"/>
      <c r="D14" s="117"/>
      <c r="E14" s="257"/>
      <c r="F14" s="117"/>
      <c r="G14" s="117"/>
      <c r="H14" s="117"/>
      <c r="I14" s="117"/>
      <c r="J14" s="948"/>
      <c r="K14" s="117"/>
      <c r="P14" s="216"/>
    </row>
    <row r="15" spans="3:16" ht="13.5" thickBot="1" x14ac:dyDescent="0.3">
      <c r="C15" s="117"/>
      <c r="D15" s="117"/>
      <c r="E15" s="257"/>
      <c r="F15" s="117"/>
      <c r="G15" s="117"/>
      <c r="H15" s="117"/>
      <c r="I15" s="117"/>
      <c r="J15" s="948"/>
      <c r="K15" s="117"/>
      <c r="P15" s="216"/>
    </row>
    <row r="16" spans="3:16" ht="13.5" thickBot="1" x14ac:dyDescent="0.3">
      <c r="C16" s="602" t="s">
        <v>110</v>
      </c>
      <c r="D16" s="603" t="s">
        <v>111</v>
      </c>
      <c r="E16" s="603" t="s">
        <v>112</v>
      </c>
      <c r="F16" s="604" t="s">
        <v>113</v>
      </c>
      <c r="G16" s="605" t="s">
        <v>114</v>
      </c>
      <c r="H16" s="604" t="s">
        <v>115</v>
      </c>
      <c r="I16" s="606" t="s">
        <v>116</v>
      </c>
      <c r="J16" s="949" t="s">
        <v>117</v>
      </c>
      <c r="K16" s="607" t="s">
        <v>118</v>
      </c>
      <c r="M16" s="216"/>
      <c r="P16" s="216"/>
    </row>
    <row r="17" spans="3:16" ht="13" x14ac:dyDescent="0.25">
      <c r="C17" s="258" t="s">
        <v>119</v>
      </c>
      <c r="D17" s="1162" t="s">
        <v>2479</v>
      </c>
      <c r="E17" s="267"/>
      <c r="F17" s="268"/>
      <c r="G17" s="269"/>
      <c r="H17" s="287"/>
      <c r="I17" s="609"/>
      <c r="J17" s="271"/>
      <c r="K17" s="271"/>
      <c r="P17" s="216"/>
    </row>
    <row r="18" spans="3:16" ht="13" x14ac:dyDescent="0.25">
      <c r="C18" s="263" t="s">
        <v>152</v>
      </c>
      <c r="D18" s="1163"/>
      <c r="E18" s="264">
        <v>55000</v>
      </c>
      <c r="F18" s="260">
        <v>1</v>
      </c>
      <c r="G18" s="261">
        <f>(E18*(1+H18))-E18</f>
        <v>0</v>
      </c>
      <c r="H18" s="284">
        <v>0</v>
      </c>
      <c r="I18" s="608" t="s">
        <v>164</v>
      </c>
      <c r="J18" s="262">
        <f>ROUND((E18+G18),2)*0</f>
        <v>0</v>
      </c>
      <c r="K18" s="262"/>
      <c r="M18" s="3"/>
      <c r="P18" s="216"/>
    </row>
    <row r="19" spans="3:16" ht="13" x14ac:dyDescent="0.25">
      <c r="C19" s="266" t="s">
        <v>120</v>
      </c>
      <c r="D19" s="1163"/>
      <c r="E19" s="267"/>
      <c r="F19" s="268"/>
      <c r="G19" s="269"/>
      <c r="H19" s="287"/>
      <c r="I19" s="609"/>
      <c r="J19" s="271"/>
      <c r="K19" s="271"/>
      <c r="M19" s="3"/>
      <c r="P19" s="216"/>
    </row>
    <row r="20" spans="3:16" ht="13" x14ac:dyDescent="0.25">
      <c r="C20" s="265" t="s">
        <v>153</v>
      </c>
      <c r="D20" s="1163"/>
      <c r="E20" s="259">
        <v>60000</v>
      </c>
      <c r="F20" s="260">
        <v>1</v>
      </c>
      <c r="G20" s="261">
        <f t="shared" ref="G20:G25" si="0">(E20*(1+H20))-E20</f>
        <v>0</v>
      </c>
      <c r="H20" s="284">
        <v>0</v>
      </c>
      <c r="I20" s="608" t="s">
        <v>221</v>
      </c>
      <c r="J20" s="262">
        <f>ROUND((E20+G20)*$J$11/365,2)</f>
        <v>14958.9</v>
      </c>
      <c r="K20" s="262"/>
      <c r="M20" s="3"/>
      <c r="P20" s="216"/>
    </row>
    <row r="21" spans="3:16" ht="13" x14ac:dyDescent="0.25">
      <c r="C21" s="265" t="s">
        <v>1463</v>
      </c>
      <c r="D21" s="1163"/>
      <c r="E21" s="259">
        <v>100</v>
      </c>
      <c r="F21" s="260">
        <v>1</v>
      </c>
      <c r="G21" s="261">
        <f t="shared" si="0"/>
        <v>20</v>
      </c>
      <c r="H21" s="284">
        <v>0.2</v>
      </c>
      <c r="I21" s="608" t="s">
        <v>1437</v>
      </c>
      <c r="J21" s="262">
        <f>ROUND((E21+G21),2)*0</f>
        <v>0</v>
      </c>
      <c r="K21" s="262"/>
      <c r="M21" s="3"/>
      <c r="P21" s="216"/>
    </row>
    <row r="22" spans="3:16" ht="13" x14ac:dyDescent="0.25">
      <c r="C22" s="265" t="s">
        <v>154</v>
      </c>
      <c r="D22" s="1163"/>
      <c r="E22" s="259">
        <v>0</v>
      </c>
      <c r="F22" s="260">
        <v>1</v>
      </c>
      <c r="G22" s="261">
        <f t="shared" si="0"/>
        <v>0</v>
      </c>
      <c r="H22" s="284">
        <v>0</v>
      </c>
      <c r="I22" s="608" t="s">
        <v>222</v>
      </c>
      <c r="J22" s="262">
        <f t="shared" ref="J22:J31" si="1">ROUND((E22+G22),2)</f>
        <v>0</v>
      </c>
      <c r="K22" s="262"/>
      <c r="M22" s="3"/>
      <c r="P22" s="216"/>
    </row>
    <row r="23" spans="3:16" ht="13" x14ac:dyDescent="0.25">
      <c r="C23" s="265" t="s">
        <v>155</v>
      </c>
      <c r="D23" s="1163"/>
      <c r="E23" s="259">
        <v>0</v>
      </c>
      <c r="F23" s="260">
        <v>1</v>
      </c>
      <c r="G23" s="261">
        <f t="shared" si="0"/>
        <v>0</v>
      </c>
      <c r="H23" s="284">
        <v>0</v>
      </c>
      <c r="I23" s="608" t="s">
        <v>223</v>
      </c>
      <c r="J23" s="262">
        <f t="shared" si="1"/>
        <v>0</v>
      </c>
      <c r="K23" s="262"/>
      <c r="M23" s="3"/>
      <c r="P23" s="216"/>
    </row>
    <row r="24" spans="3:16" ht="13" x14ac:dyDescent="0.25">
      <c r="C24" s="265" t="s">
        <v>156</v>
      </c>
      <c r="D24" s="1163"/>
      <c r="E24" s="259">
        <v>0</v>
      </c>
      <c r="F24" s="260">
        <v>1</v>
      </c>
      <c r="G24" s="261">
        <f t="shared" si="0"/>
        <v>0</v>
      </c>
      <c r="H24" s="284">
        <v>0</v>
      </c>
      <c r="I24" s="608" t="s">
        <v>224</v>
      </c>
      <c r="J24" s="262">
        <f t="shared" si="1"/>
        <v>0</v>
      </c>
      <c r="K24" s="262"/>
      <c r="M24" s="3"/>
      <c r="P24" s="216"/>
    </row>
    <row r="25" spans="3:16" ht="13" x14ac:dyDescent="0.25">
      <c r="C25" s="265" t="s">
        <v>157</v>
      </c>
      <c r="D25" s="1163"/>
      <c r="E25" s="259">
        <v>0</v>
      </c>
      <c r="F25" s="260">
        <v>1</v>
      </c>
      <c r="G25" s="261">
        <f t="shared" si="0"/>
        <v>0</v>
      </c>
      <c r="H25" s="284">
        <v>0</v>
      </c>
      <c r="I25" s="608" t="s">
        <v>161</v>
      </c>
      <c r="J25" s="262">
        <f t="shared" si="1"/>
        <v>0</v>
      </c>
      <c r="K25" s="262"/>
      <c r="M25" s="3"/>
      <c r="P25" s="216"/>
    </row>
    <row r="26" spans="3:16" ht="13" x14ac:dyDescent="0.25">
      <c r="C26" s="265" t="s">
        <v>158</v>
      </c>
      <c r="D26" s="1163"/>
      <c r="E26" s="259"/>
      <c r="F26" s="260">
        <v>1</v>
      </c>
      <c r="G26" s="261">
        <f t="shared" ref="G26:G34" si="2">(E26*(1+H26))-E26</f>
        <v>0</v>
      </c>
      <c r="H26" s="284">
        <v>0</v>
      </c>
      <c r="I26" s="608" t="s">
        <v>225</v>
      </c>
      <c r="J26" s="262">
        <f t="shared" si="1"/>
        <v>0</v>
      </c>
      <c r="K26" s="262"/>
      <c r="P26" s="216"/>
    </row>
    <row r="27" spans="3:16" ht="13" x14ac:dyDescent="0.25">
      <c r="C27" s="265" t="s">
        <v>169</v>
      </c>
      <c r="D27" s="1163"/>
      <c r="E27" s="259">
        <v>15000</v>
      </c>
      <c r="F27" s="260">
        <v>1</v>
      </c>
      <c r="G27" s="261">
        <f t="shared" si="2"/>
        <v>0</v>
      </c>
      <c r="H27" s="284">
        <v>0</v>
      </c>
      <c r="I27" s="608" t="s">
        <v>226</v>
      </c>
      <c r="J27" s="262">
        <f>ROUND((E27+G27),2)*0</f>
        <v>0</v>
      </c>
      <c r="K27" s="262"/>
      <c r="P27" s="216"/>
    </row>
    <row r="28" spans="3:16" ht="13" x14ac:dyDescent="0.25">
      <c r="C28" s="265" t="s">
        <v>170</v>
      </c>
      <c r="D28" s="1163"/>
      <c r="E28" s="259">
        <v>10000</v>
      </c>
      <c r="F28" s="260">
        <v>1</v>
      </c>
      <c r="G28" s="261">
        <f t="shared" si="2"/>
        <v>0</v>
      </c>
      <c r="H28" s="284">
        <v>0</v>
      </c>
      <c r="I28" s="608" t="s">
        <v>226</v>
      </c>
      <c r="J28" s="262">
        <f>ROUND((E28+G28),2)*0</f>
        <v>0</v>
      </c>
      <c r="K28" s="262"/>
      <c r="P28" s="216"/>
    </row>
    <row r="29" spans="3:16" ht="13" x14ac:dyDescent="0.25">
      <c r="C29" s="265" t="s">
        <v>171</v>
      </c>
      <c r="D29" s="1163"/>
      <c r="E29" s="259">
        <v>8000</v>
      </c>
      <c r="F29" s="260">
        <v>1</v>
      </c>
      <c r="G29" s="261">
        <f t="shared" si="2"/>
        <v>0</v>
      </c>
      <c r="H29" s="284">
        <v>0</v>
      </c>
      <c r="I29" s="608" t="s">
        <v>226</v>
      </c>
      <c r="J29" s="262">
        <f>ROUND((E29+G29),2)*0</f>
        <v>0</v>
      </c>
      <c r="K29" s="262"/>
      <c r="P29" s="216"/>
    </row>
    <row r="30" spans="3:16" ht="13" x14ac:dyDescent="0.25">
      <c r="C30" s="265" t="s">
        <v>159</v>
      </c>
      <c r="D30" s="1163"/>
      <c r="E30" s="259">
        <v>0</v>
      </c>
      <c r="F30" s="260">
        <v>1</v>
      </c>
      <c r="G30" s="261">
        <f t="shared" si="2"/>
        <v>0</v>
      </c>
      <c r="H30" s="284">
        <v>0</v>
      </c>
      <c r="I30" s="608" t="s">
        <v>227</v>
      </c>
      <c r="J30" s="262">
        <f t="shared" si="1"/>
        <v>0</v>
      </c>
      <c r="K30" s="262"/>
      <c r="P30" s="216"/>
    </row>
    <row r="31" spans="3:16" ht="13" x14ac:dyDescent="0.25">
      <c r="C31" s="265" t="s">
        <v>160</v>
      </c>
      <c r="D31" s="1163"/>
      <c r="E31" s="259">
        <v>0</v>
      </c>
      <c r="F31" s="260">
        <v>1</v>
      </c>
      <c r="G31" s="261">
        <f t="shared" si="2"/>
        <v>0</v>
      </c>
      <c r="H31" s="284">
        <v>0</v>
      </c>
      <c r="I31" s="608" t="s">
        <v>227</v>
      </c>
      <c r="J31" s="262">
        <f t="shared" si="1"/>
        <v>0</v>
      </c>
      <c r="K31" s="262"/>
      <c r="P31" s="216"/>
    </row>
    <row r="32" spans="3:16" ht="13" x14ac:dyDescent="0.25">
      <c r="C32" s="265" t="s">
        <v>1439</v>
      </c>
      <c r="D32" s="1163"/>
      <c r="E32" s="259">
        <v>1000</v>
      </c>
      <c r="F32" s="260">
        <v>1</v>
      </c>
      <c r="G32" s="261">
        <f t="shared" si="2"/>
        <v>0</v>
      </c>
      <c r="H32" s="284">
        <v>0</v>
      </c>
      <c r="I32" s="608" t="s">
        <v>228</v>
      </c>
      <c r="J32" s="262">
        <f>ROUND((E32+G32),2)</f>
        <v>1000</v>
      </c>
      <c r="K32" s="262"/>
      <c r="P32" s="216"/>
    </row>
    <row r="33" spans="3:16" ht="13" x14ac:dyDescent="0.25">
      <c r="C33" s="266" t="s">
        <v>121</v>
      </c>
      <c r="D33" s="1163"/>
      <c r="E33" s="267"/>
      <c r="F33" s="268"/>
      <c r="G33" s="269"/>
      <c r="H33" s="287"/>
      <c r="I33" s="270"/>
      <c r="J33" s="271"/>
      <c r="K33" s="271"/>
      <c r="P33" s="216"/>
    </row>
    <row r="34" spans="3:16" ht="13" x14ac:dyDescent="0.25">
      <c r="C34" s="272" t="s">
        <v>162</v>
      </c>
      <c r="D34" s="1163"/>
      <c r="E34" s="288">
        <v>0</v>
      </c>
      <c r="F34" s="273">
        <v>7.9999999999999996E-6</v>
      </c>
      <c r="G34" s="261">
        <f t="shared" si="2"/>
        <v>0</v>
      </c>
      <c r="H34" s="284">
        <v>0.2</v>
      </c>
      <c r="I34" s="608" t="s">
        <v>1464</v>
      </c>
      <c r="J34" s="262">
        <f>ROUND((E34+G34),2)</f>
        <v>0</v>
      </c>
      <c r="K34" s="262"/>
      <c r="P34" s="216"/>
    </row>
    <row r="35" spans="3:16" ht="13" x14ac:dyDescent="0.25">
      <c r="C35" s="274" t="s">
        <v>122</v>
      </c>
      <c r="D35" s="1158" t="s">
        <v>727</v>
      </c>
      <c r="E35" s="267"/>
      <c r="F35" s="268"/>
      <c r="G35" s="269"/>
      <c r="H35" s="287"/>
      <c r="I35" s="270"/>
      <c r="J35" s="271"/>
      <c r="K35" s="271"/>
      <c r="P35" s="216"/>
    </row>
    <row r="36" spans="3:16" ht="12.75" customHeight="1" x14ac:dyDescent="0.25">
      <c r="C36" s="275" t="s">
        <v>715</v>
      </c>
      <c r="D36" s="1159"/>
      <c r="E36" s="276">
        <v>25000</v>
      </c>
      <c r="F36" s="260">
        <v>1</v>
      </c>
      <c r="G36" s="261">
        <f t="shared" ref="G36:G42" si="3">(E36*(1+H36))-E36</f>
        <v>5000</v>
      </c>
      <c r="H36" s="284">
        <v>0.2</v>
      </c>
      <c r="I36" s="608" t="s">
        <v>164</v>
      </c>
      <c r="J36" s="262">
        <f>ROUND((E36+G36),2)*0</f>
        <v>0</v>
      </c>
      <c r="K36" s="262"/>
      <c r="P36" s="216"/>
    </row>
    <row r="37" spans="3:16" ht="13" x14ac:dyDescent="0.25">
      <c r="C37" s="275" t="s">
        <v>163</v>
      </c>
      <c r="D37" s="1159"/>
      <c r="E37" s="276">
        <v>23000</v>
      </c>
      <c r="F37" s="260">
        <v>1</v>
      </c>
      <c r="G37" s="261">
        <f t="shared" si="3"/>
        <v>4600</v>
      </c>
      <c r="H37" s="260">
        <v>0.2</v>
      </c>
      <c r="I37" s="608" t="s">
        <v>716</v>
      </c>
      <c r="J37" s="262">
        <f>ROUND((E37+G37)*J11/365,2)</f>
        <v>6881.1</v>
      </c>
      <c r="K37" s="262"/>
      <c r="P37" s="216"/>
    </row>
    <row r="38" spans="3:16" ht="13" x14ac:dyDescent="0.25">
      <c r="C38" s="275" t="s">
        <v>1471</v>
      </c>
      <c r="D38" s="1159"/>
      <c r="E38" s="276">
        <f>'03 - Monthly Asset Follow up'!C19</f>
        <v>717784404.42000175</v>
      </c>
      <c r="F38" s="260">
        <v>1</v>
      </c>
      <c r="G38" s="261">
        <f>J38/6</f>
        <v>498.63000000000005</v>
      </c>
      <c r="H38" s="260">
        <v>0.2</v>
      </c>
      <c r="I38" s="608" t="s">
        <v>716</v>
      </c>
      <c r="J38" s="262">
        <f>ROUND((MIN(E38,250000000)*0.004%*1.2)*J11/365,2)</f>
        <v>2991.78</v>
      </c>
      <c r="K38" s="262"/>
      <c r="P38" s="216"/>
    </row>
    <row r="39" spans="3:16" ht="13" x14ac:dyDescent="0.25">
      <c r="C39" s="275" t="s">
        <v>1470</v>
      </c>
      <c r="D39" s="1159"/>
      <c r="E39" s="276">
        <f>E38</f>
        <v>717784404.42000175</v>
      </c>
      <c r="F39" s="260">
        <v>1</v>
      </c>
      <c r="G39" s="261">
        <f>J39/6</f>
        <v>466.50333333333333</v>
      </c>
      <c r="H39" s="260">
        <v>0.2</v>
      </c>
      <c r="I39" s="608" t="s">
        <v>716</v>
      </c>
      <c r="J39" s="262">
        <f>ROUND((IF(E39&lt;250000000,0,(E39-250000000)*0.002%)*J11/365)*1.2,2)</f>
        <v>2799.02</v>
      </c>
      <c r="K39" s="262"/>
      <c r="P39" s="216"/>
    </row>
    <row r="40" spans="3:16" ht="13" x14ac:dyDescent="0.25">
      <c r="C40" s="275" t="s">
        <v>1478</v>
      </c>
      <c r="D40" s="1159"/>
      <c r="E40" s="259">
        <v>5000</v>
      </c>
      <c r="F40" s="260">
        <v>1</v>
      </c>
      <c r="G40" s="261">
        <f t="shared" si="3"/>
        <v>1000</v>
      </c>
      <c r="H40" s="260">
        <v>0.2</v>
      </c>
      <c r="I40" s="608" t="s">
        <v>717</v>
      </c>
      <c r="J40" s="262">
        <v>0</v>
      </c>
      <c r="K40" s="262"/>
    </row>
    <row r="41" spans="3:16" ht="13" x14ac:dyDescent="0.25">
      <c r="C41" s="275" t="s">
        <v>1479</v>
      </c>
      <c r="D41" s="1159"/>
      <c r="E41" s="259">
        <v>900</v>
      </c>
      <c r="F41" s="260">
        <v>1</v>
      </c>
      <c r="G41" s="261">
        <f t="shared" si="3"/>
        <v>180</v>
      </c>
      <c r="H41" s="260">
        <v>0.2</v>
      </c>
      <c r="I41" s="608" t="s">
        <v>1472</v>
      </c>
      <c r="J41" s="262">
        <v>0</v>
      </c>
      <c r="K41" s="262"/>
    </row>
    <row r="42" spans="3:16" ht="13" x14ac:dyDescent="0.25">
      <c r="C42" s="275" t="s">
        <v>1480</v>
      </c>
      <c r="D42" s="358"/>
      <c r="E42" s="259">
        <v>10000</v>
      </c>
      <c r="F42" s="260">
        <v>1</v>
      </c>
      <c r="G42" s="261">
        <f t="shared" si="3"/>
        <v>2000</v>
      </c>
      <c r="H42" s="260">
        <v>0.2</v>
      </c>
      <c r="I42" s="608" t="s">
        <v>1473</v>
      </c>
      <c r="J42" s="262">
        <v>0</v>
      </c>
      <c r="K42" s="262"/>
    </row>
    <row r="43" spans="3:16" ht="13" x14ac:dyDescent="0.25">
      <c r="C43" s="275" t="s">
        <v>1481</v>
      </c>
      <c r="D43" s="358"/>
      <c r="E43" s="259">
        <v>1000</v>
      </c>
      <c r="F43" s="260">
        <v>1</v>
      </c>
      <c r="G43" s="261">
        <f t="shared" ref="G43:G59" si="4">(E43*(1+H43))-E43</f>
        <v>200</v>
      </c>
      <c r="H43" s="260">
        <v>0.2</v>
      </c>
      <c r="I43" s="608" t="s">
        <v>1473</v>
      </c>
      <c r="J43" s="262">
        <v>0</v>
      </c>
      <c r="K43" s="262"/>
    </row>
    <row r="44" spans="3:16" ht="25" x14ac:dyDescent="0.25">
      <c r="C44" s="908" t="s">
        <v>1482</v>
      </c>
      <c r="D44" s="358"/>
      <c r="E44" s="259">
        <v>15000</v>
      </c>
      <c r="F44" s="260">
        <v>1</v>
      </c>
      <c r="G44" s="261">
        <f t="shared" si="4"/>
        <v>3000</v>
      </c>
      <c r="H44" s="260">
        <v>0.2</v>
      </c>
      <c r="I44" s="608" t="s">
        <v>1473</v>
      </c>
      <c r="J44" s="262">
        <v>0</v>
      </c>
      <c r="K44" s="262"/>
    </row>
    <row r="45" spans="3:16" ht="37.5" x14ac:dyDescent="0.25">
      <c r="C45" s="908" t="s">
        <v>1483</v>
      </c>
      <c r="D45" s="358"/>
      <c r="E45" s="259">
        <v>0</v>
      </c>
      <c r="F45" s="260">
        <v>1</v>
      </c>
      <c r="G45" s="261">
        <f t="shared" si="4"/>
        <v>0</v>
      </c>
      <c r="H45" s="260">
        <v>0.2</v>
      </c>
      <c r="I45" s="608" t="s">
        <v>1473</v>
      </c>
      <c r="J45" s="262">
        <v>0</v>
      </c>
      <c r="K45" s="262"/>
    </row>
    <row r="46" spans="3:16" ht="37.5" x14ac:dyDescent="0.25">
      <c r="C46" s="908" t="s">
        <v>1474</v>
      </c>
      <c r="D46" s="358"/>
      <c r="E46" s="259">
        <v>0</v>
      </c>
      <c r="F46" s="260">
        <v>1</v>
      </c>
      <c r="G46" s="261">
        <f t="shared" si="4"/>
        <v>0</v>
      </c>
      <c r="H46" s="260">
        <v>0.2</v>
      </c>
      <c r="I46" s="608" t="s">
        <v>716</v>
      </c>
      <c r="J46" s="262">
        <f>ROUND((E46+G46),2)*$J$11/366</f>
        <v>0</v>
      </c>
      <c r="K46" s="262"/>
    </row>
    <row r="47" spans="3:16" ht="13" x14ac:dyDescent="0.25">
      <c r="C47" s="266" t="s">
        <v>1487</v>
      </c>
      <c r="D47" s="358"/>
      <c r="E47" s="267"/>
      <c r="F47" s="268"/>
      <c r="G47" s="269"/>
      <c r="H47" s="287"/>
      <c r="I47" s="609"/>
      <c r="J47" s="271"/>
      <c r="K47" s="271"/>
    </row>
    <row r="48" spans="3:16" ht="13" x14ac:dyDescent="0.25">
      <c r="C48" s="908" t="s">
        <v>1488</v>
      </c>
      <c r="D48" s="358"/>
      <c r="E48" s="259">
        <v>2000</v>
      </c>
      <c r="F48" s="260">
        <v>1</v>
      </c>
      <c r="G48" s="261">
        <f t="shared" ref="G48" si="5">(E48*(1+H48))-E48</f>
        <v>400</v>
      </c>
      <c r="H48" s="260">
        <v>0.2</v>
      </c>
      <c r="I48" s="608" t="s">
        <v>716</v>
      </c>
      <c r="J48" s="262">
        <f>ROUND((E48+G48),2)*$J$11/366</f>
        <v>596.72131147540983</v>
      </c>
      <c r="K48" s="262"/>
    </row>
    <row r="49" spans="3:16" ht="13" x14ac:dyDescent="0.25">
      <c r="C49" s="266" t="s">
        <v>1489</v>
      </c>
      <c r="D49" s="358"/>
      <c r="E49" s="267"/>
      <c r="F49" s="268"/>
      <c r="G49" s="269"/>
      <c r="H49" s="287"/>
      <c r="I49" s="609"/>
      <c r="J49" s="271"/>
      <c r="K49" s="271"/>
    </row>
    <row r="50" spans="3:16" ht="13" x14ac:dyDescent="0.25">
      <c r="C50" s="908" t="s">
        <v>1491</v>
      </c>
      <c r="D50" s="358"/>
      <c r="E50" s="259">
        <v>350</v>
      </c>
      <c r="F50" s="260">
        <v>1</v>
      </c>
      <c r="G50" s="261">
        <f t="shared" ref="G50:G53" si="6">(E50*(1+H50))-E50</f>
        <v>70</v>
      </c>
      <c r="H50" s="260">
        <v>0.2</v>
      </c>
      <c r="I50" s="608" t="s">
        <v>716</v>
      </c>
      <c r="J50" s="262">
        <f>ROUND((E50+G50),2)</f>
        <v>420</v>
      </c>
      <c r="K50" s="262"/>
    </row>
    <row r="51" spans="3:16" ht="13" x14ac:dyDescent="0.25">
      <c r="C51" s="908" t="s">
        <v>1492</v>
      </c>
      <c r="D51" s="358"/>
      <c r="E51" s="259">
        <v>250</v>
      </c>
      <c r="F51" s="260">
        <v>1</v>
      </c>
      <c r="G51" s="261">
        <f t="shared" si="6"/>
        <v>50</v>
      </c>
      <c r="H51" s="260">
        <v>0.2</v>
      </c>
      <c r="I51" s="608" t="s">
        <v>716</v>
      </c>
      <c r="J51" s="262">
        <f t="shared" ref="J51:J53" si="7">ROUND((E51+G51),2)</f>
        <v>300</v>
      </c>
      <c r="K51" s="262"/>
    </row>
    <row r="52" spans="3:16" ht="13" x14ac:dyDescent="0.25">
      <c r="C52" s="908" t="s">
        <v>1493</v>
      </c>
      <c r="D52" s="358"/>
      <c r="E52" s="259">
        <v>350</v>
      </c>
      <c r="F52" s="260">
        <v>1</v>
      </c>
      <c r="G52" s="261">
        <f t="shared" si="6"/>
        <v>70</v>
      </c>
      <c r="H52" s="260">
        <v>0.2</v>
      </c>
      <c r="I52" s="608" t="s">
        <v>716</v>
      </c>
      <c r="J52" s="262">
        <f t="shared" si="7"/>
        <v>420</v>
      </c>
      <c r="K52" s="262"/>
    </row>
    <row r="53" spans="3:16" ht="13" x14ac:dyDescent="0.25">
      <c r="C53" s="908" t="s">
        <v>1494</v>
      </c>
      <c r="D53" s="358"/>
      <c r="E53" s="259">
        <v>250</v>
      </c>
      <c r="F53" s="260">
        <v>1</v>
      </c>
      <c r="G53" s="261">
        <f t="shared" si="6"/>
        <v>50</v>
      </c>
      <c r="H53" s="260">
        <v>0.2</v>
      </c>
      <c r="I53" s="608" t="s">
        <v>716</v>
      </c>
      <c r="J53" s="262">
        <f t="shared" si="7"/>
        <v>300</v>
      </c>
      <c r="K53" s="262"/>
    </row>
    <row r="54" spans="3:16" ht="13" x14ac:dyDescent="0.25">
      <c r="C54" s="266" t="s">
        <v>1490</v>
      </c>
      <c r="D54" s="358"/>
      <c r="E54" s="259"/>
      <c r="F54" s="260"/>
      <c r="G54" s="909"/>
      <c r="H54" s="260"/>
      <c r="I54" s="608"/>
      <c r="J54" s="262"/>
      <c r="K54" s="262"/>
    </row>
    <row r="55" spans="3:16" ht="13" x14ac:dyDescent="0.25">
      <c r="C55" s="908" t="s">
        <v>1488</v>
      </c>
      <c r="D55" s="358"/>
      <c r="E55" s="259">
        <v>1500</v>
      </c>
      <c r="F55" s="260">
        <v>1</v>
      </c>
      <c r="G55" s="261">
        <f t="shared" ref="G55" si="8">(E55*(1+H55))-E55</f>
        <v>300</v>
      </c>
      <c r="H55" s="260">
        <v>0.2</v>
      </c>
      <c r="I55" s="608" t="s">
        <v>716</v>
      </c>
      <c r="J55" s="262">
        <f>ROUND((E55+G55),2)*J11/366</f>
        <v>447.5409836065574</v>
      </c>
      <c r="K55" s="262"/>
    </row>
    <row r="56" spans="3:16" ht="13" x14ac:dyDescent="0.25">
      <c r="C56" s="266" t="s">
        <v>707</v>
      </c>
      <c r="D56" s="1164" t="s">
        <v>727</v>
      </c>
      <c r="E56" s="267"/>
      <c r="F56" s="268"/>
      <c r="G56" s="269"/>
      <c r="H56" s="287"/>
      <c r="I56" s="609"/>
      <c r="J56" s="271"/>
      <c r="K56" s="271"/>
      <c r="P56" s="216"/>
    </row>
    <row r="57" spans="3:16" ht="13" x14ac:dyDescent="0.25">
      <c r="C57" s="272" t="s">
        <v>1438</v>
      </c>
      <c r="D57" s="1165"/>
      <c r="E57" s="259">
        <v>1500</v>
      </c>
      <c r="F57" s="273">
        <v>7.9999999999999996E-6</v>
      </c>
      <c r="G57" s="261">
        <f t="shared" si="4"/>
        <v>300</v>
      </c>
      <c r="H57" s="284">
        <v>0.2</v>
      </c>
      <c r="I57" s="608" t="s">
        <v>1436</v>
      </c>
      <c r="J57" s="262">
        <v>0</v>
      </c>
      <c r="K57" s="262"/>
      <c r="P57" s="216"/>
    </row>
    <row r="58" spans="3:16" ht="13" x14ac:dyDescent="0.25">
      <c r="C58" s="272" t="s">
        <v>1435</v>
      </c>
      <c r="D58" s="1165"/>
      <c r="E58" s="259">
        <v>1000</v>
      </c>
      <c r="F58" s="273">
        <v>1</v>
      </c>
      <c r="G58" s="261">
        <f t="shared" si="4"/>
        <v>200</v>
      </c>
      <c r="H58" s="284">
        <v>0.2</v>
      </c>
      <c r="I58" s="608" t="s">
        <v>716</v>
      </c>
      <c r="J58" s="262">
        <f>ROUND((E58+G58),2)*J11/366</f>
        <v>298.36065573770492</v>
      </c>
      <c r="K58" s="262"/>
      <c r="P58" s="216"/>
    </row>
    <row r="59" spans="3:16" ht="13" x14ac:dyDescent="0.25">
      <c r="C59" s="272" t="s">
        <v>1476</v>
      </c>
      <c r="D59" s="1166"/>
      <c r="E59" s="259">
        <v>1000</v>
      </c>
      <c r="F59" s="273">
        <v>1</v>
      </c>
      <c r="G59" s="261">
        <f t="shared" si="4"/>
        <v>200</v>
      </c>
      <c r="H59" s="284">
        <v>0.2</v>
      </c>
      <c r="I59" s="608" t="s">
        <v>1475</v>
      </c>
      <c r="J59" s="262">
        <f>ROUND((E59+G59),2)*0</f>
        <v>0</v>
      </c>
      <c r="K59" s="262"/>
      <c r="P59" s="216"/>
    </row>
    <row r="60" spans="3:16" ht="13" x14ac:dyDescent="0.25">
      <c r="C60" s="274" t="s">
        <v>166</v>
      </c>
      <c r="D60" s="1158" t="s">
        <v>250</v>
      </c>
      <c r="E60" s="267"/>
      <c r="F60" s="268"/>
      <c r="G60" s="269"/>
      <c r="H60" s="287"/>
      <c r="I60" s="609"/>
      <c r="J60" s="271"/>
      <c r="K60" s="271"/>
    </row>
    <row r="61" spans="3:16" ht="41.5" customHeight="1" x14ac:dyDescent="0.25">
      <c r="C61" s="908" t="s">
        <v>1484</v>
      </c>
      <c r="D61" s="1159"/>
      <c r="E61" s="276" cm="1">
        <f t="array" ref="E61">F61*AVERAGE('08 - Delinquent Home Loans Stat'!L12:L14+'08 - Delinquent Home Loans Stat'!M12:M14)/4</f>
        <v>1887.35916</v>
      </c>
      <c r="F61" s="260">
        <v>2E-3</v>
      </c>
      <c r="G61" s="261">
        <f>IFERROR(E61*F61/12*H61,0)</f>
        <v>0</v>
      </c>
      <c r="H61" s="284">
        <v>0</v>
      </c>
      <c r="I61" s="608" t="s">
        <v>716</v>
      </c>
      <c r="J61" s="865">
        <f>IFERROR(ROUND((E61+G61),2),0)</f>
        <v>1887.36</v>
      </c>
      <c r="K61" s="262"/>
    </row>
    <row r="62" spans="3:16" ht="45" customHeight="1" x14ac:dyDescent="0.25">
      <c r="C62" s="908" t="s">
        <v>1485</v>
      </c>
      <c r="D62" s="1159"/>
      <c r="E62" s="276" cm="1">
        <f t="array" ref="E62">F62*AVERAGE('08 - Delinquent Home Loans Stat'!N12:N14+'08 - Delinquent Home Loans Stat'!O12:O14)/4</f>
        <v>66.579259999999991</v>
      </c>
      <c r="F62" s="260">
        <v>2E-3</v>
      </c>
      <c r="G62" s="261">
        <f>IFERROR(E62*F62*H62,0)</f>
        <v>2.6631703999999996E-2</v>
      </c>
      <c r="H62" s="284">
        <v>0.2</v>
      </c>
      <c r="I62" s="608" t="s">
        <v>716</v>
      </c>
      <c r="J62" s="865">
        <f>IFERROR(ROUND((E62+G62),2),0)</f>
        <v>66.61</v>
      </c>
      <c r="K62" s="262"/>
    </row>
    <row r="63" spans="3:16" ht="13" x14ac:dyDescent="0.25">
      <c r="C63" s="274" t="s">
        <v>1441</v>
      </c>
      <c r="D63" s="1158" t="s">
        <v>1442</v>
      </c>
      <c r="E63" s="267"/>
      <c r="F63" s="268"/>
      <c r="G63" s="269"/>
      <c r="H63" s="287"/>
      <c r="I63" s="609"/>
      <c r="J63" s="271"/>
      <c r="K63" s="271"/>
    </row>
    <row r="64" spans="3:16" ht="13" x14ac:dyDescent="0.25">
      <c r="C64" s="275" t="s">
        <v>1444</v>
      </c>
      <c r="D64" s="1159"/>
      <c r="E64" s="276">
        <v>2500</v>
      </c>
      <c r="F64" s="284">
        <v>1</v>
      </c>
      <c r="G64" s="261">
        <f>E64*F64/12*H64</f>
        <v>41.666666666666671</v>
      </c>
      <c r="H64" s="260">
        <v>0.2</v>
      </c>
      <c r="I64" s="608" t="s">
        <v>229</v>
      </c>
      <c r="J64" s="865">
        <f>ROUND((E64+G64),2)*0</f>
        <v>0</v>
      </c>
      <c r="K64" s="262"/>
    </row>
    <row r="65" spans="3:13" ht="13" x14ac:dyDescent="0.25">
      <c r="C65" s="275" t="s">
        <v>1443</v>
      </c>
      <c r="D65" s="1159"/>
      <c r="E65" s="276">
        <v>6606</v>
      </c>
      <c r="F65" s="284">
        <v>1</v>
      </c>
      <c r="G65" s="261">
        <f>E65*F65*H65</f>
        <v>1321.2</v>
      </c>
      <c r="H65" s="260">
        <v>0.2</v>
      </c>
      <c r="I65" s="608" t="s">
        <v>229</v>
      </c>
      <c r="J65" s="865">
        <f>ROUND((E65+G65),2)*0</f>
        <v>0</v>
      </c>
      <c r="K65" s="262"/>
    </row>
    <row r="66" spans="3:13" ht="13" x14ac:dyDescent="0.25">
      <c r="C66" s="275" t="s">
        <v>1495</v>
      </c>
      <c r="D66" s="1167"/>
      <c r="E66" s="276">
        <v>275</v>
      </c>
      <c r="F66" s="284">
        <v>1</v>
      </c>
      <c r="G66" s="261">
        <f>E66*F66*H66</f>
        <v>55</v>
      </c>
      <c r="H66" s="260">
        <v>0.2</v>
      </c>
      <c r="I66" s="608" t="s">
        <v>229</v>
      </c>
      <c r="J66" s="865">
        <f>ROUND((E66+G66),2)*0</f>
        <v>0</v>
      </c>
      <c r="K66" s="262"/>
    </row>
    <row r="67" spans="3:13" ht="13" x14ac:dyDescent="0.25">
      <c r="C67" s="274" t="s">
        <v>1496</v>
      </c>
      <c r="D67" s="1158" t="s">
        <v>1496</v>
      </c>
      <c r="E67" s="267"/>
      <c r="F67" s="268"/>
      <c r="G67" s="269"/>
      <c r="H67" s="287"/>
      <c r="I67" s="609"/>
      <c r="J67" s="271"/>
      <c r="K67" s="271"/>
    </row>
    <row r="68" spans="3:13" ht="13" x14ac:dyDescent="0.25">
      <c r="C68" s="275" t="s">
        <v>1497</v>
      </c>
      <c r="D68" s="1167"/>
      <c r="E68" s="276">
        <v>20000</v>
      </c>
      <c r="F68" s="284">
        <v>0</v>
      </c>
      <c r="G68" s="261">
        <f>E68*F68*H68</f>
        <v>0</v>
      </c>
      <c r="H68" s="260">
        <v>0.2</v>
      </c>
      <c r="I68" s="608" t="s">
        <v>229</v>
      </c>
      <c r="J68" s="865">
        <f>ROUND((E68+G68),2)*F68</f>
        <v>0</v>
      </c>
      <c r="K68" s="262"/>
    </row>
    <row r="69" spans="3:13" ht="13" x14ac:dyDescent="0.25">
      <c r="C69" s="274" t="s">
        <v>688</v>
      </c>
      <c r="D69" s="1158" t="s">
        <v>1440</v>
      </c>
      <c r="E69" s="267"/>
      <c r="F69" s="268"/>
      <c r="G69" s="269"/>
      <c r="H69" s="287"/>
      <c r="I69" s="609"/>
      <c r="J69" s="271"/>
      <c r="K69" s="271"/>
    </row>
    <row r="70" spans="3:13" ht="13" x14ac:dyDescent="0.25">
      <c r="C70" s="275" t="s">
        <v>1486</v>
      </c>
      <c r="D70" s="1159"/>
      <c r="E70" s="276">
        <v>53500</v>
      </c>
      <c r="F70" s="260">
        <v>0</v>
      </c>
      <c r="G70" s="261">
        <f>E70*F70*H70</f>
        <v>0</v>
      </c>
      <c r="H70" s="260">
        <v>0.2</v>
      </c>
      <c r="I70" s="608" t="s">
        <v>229</v>
      </c>
      <c r="J70" s="262">
        <v>0</v>
      </c>
      <c r="K70" s="262"/>
    </row>
    <row r="71" spans="3:13" ht="12.65" customHeight="1" x14ac:dyDescent="0.25">
      <c r="C71" s="279" t="s">
        <v>123</v>
      </c>
      <c r="D71" s="1158" t="s">
        <v>168</v>
      </c>
      <c r="E71" s="267"/>
      <c r="F71" s="268"/>
      <c r="G71" s="277"/>
      <c r="H71" s="287"/>
      <c r="I71" s="609"/>
      <c r="J71" s="271"/>
      <c r="K71" s="271"/>
    </row>
    <row r="72" spans="3:13" ht="13" x14ac:dyDescent="0.25">
      <c r="C72" s="265" t="s">
        <v>165</v>
      </c>
      <c r="D72" s="1159"/>
      <c r="E72" s="278">
        <v>1500</v>
      </c>
      <c r="F72" s="260">
        <v>1</v>
      </c>
      <c r="G72" s="261">
        <f>(E72*(1+H72))-E72</f>
        <v>300</v>
      </c>
      <c r="H72" s="260">
        <v>0.2</v>
      </c>
      <c r="I72" s="608" t="s">
        <v>229</v>
      </c>
      <c r="J72" s="262">
        <f>ROUND((E72+G72),2)*0</f>
        <v>0</v>
      </c>
      <c r="K72" s="262"/>
    </row>
    <row r="73" spans="3:13" ht="13.5" thickBot="1" x14ac:dyDescent="0.3">
      <c r="C73" s="286" t="s">
        <v>163</v>
      </c>
      <c r="D73" s="1159"/>
      <c r="E73" s="278">
        <v>7500</v>
      </c>
      <c r="F73" s="260">
        <v>1</v>
      </c>
      <c r="G73" s="261">
        <f>(E73*(1+H73))-E73</f>
        <v>1500</v>
      </c>
      <c r="H73" s="260">
        <v>0.2</v>
      </c>
      <c r="I73" s="608" t="s">
        <v>229</v>
      </c>
      <c r="J73" s="262">
        <f>ROUND((E73+G73),2)*0</f>
        <v>0</v>
      </c>
      <c r="K73" s="262"/>
    </row>
    <row r="74" spans="3:13" ht="14.5" thickBot="1" x14ac:dyDescent="0.3">
      <c r="C74" s="610" t="s">
        <v>124</v>
      </c>
      <c r="D74" s="280"/>
      <c r="E74" s="281"/>
      <c r="F74" s="282"/>
      <c r="G74" s="282"/>
      <c r="H74" s="282"/>
      <c r="I74" s="282"/>
      <c r="J74" s="283">
        <f>SUM(J17:J73)</f>
        <v>33367.392950819674</v>
      </c>
      <c r="K74" s="283"/>
    </row>
    <row r="75" spans="3:13" x14ac:dyDescent="0.25">
      <c r="M75" s="3"/>
    </row>
    <row r="76" spans="3:13" x14ac:dyDescent="0.25">
      <c r="E76" s="394"/>
      <c r="F76" s="395"/>
      <c r="M76" s="3"/>
    </row>
    <row r="80" spans="3:13" x14ac:dyDescent="0.25">
      <c r="I80" s="388"/>
    </row>
    <row r="81" spans="9:9" x14ac:dyDescent="0.25">
      <c r="I81" s="388"/>
    </row>
  </sheetData>
  <mergeCells count="10">
    <mergeCell ref="I8:J8"/>
    <mergeCell ref="D71:D73"/>
    <mergeCell ref="C13:K13"/>
    <mergeCell ref="D17:D34"/>
    <mergeCell ref="D35:D41"/>
    <mergeCell ref="D60:D62"/>
    <mergeCell ref="D69:D70"/>
    <mergeCell ref="D56:D59"/>
    <mergeCell ref="D63:D66"/>
    <mergeCell ref="D67:D68"/>
  </mergeCells>
  <phoneticPr fontId="0" type="noConversion"/>
  <pageMargins left="0.78740157499999996" right="0.78740157499999996" top="0.984251969" bottom="0.984251969" header="0.4921259845" footer="0.4921259845"/>
  <pageSetup paperSize="9" scale="26"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0" tint="-0.249977111117893"/>
    <pageSetUpPr fitToPage="1"/>
  </sheetPr>
  <dimension ref="A1:N95"/>
  <sheetViews>
    <sheetView showGridLines="0" topLeftCell="A35" zoomScale="80" zoomScaleNormal="80" workbookViewId="0">
      <selection activeCell="I54" sqref="I54"/>
    </sheetView>
  </sheetViews>
  <sheetFormatPr defaultColWidth="11.453125" defaultRowHeight="14.5" outlineLevelRow="1" x14ac:dyDescent="0.35"/>
  <cols>
    <col min="1" max="1" width="1.81640625" style="105" customWidth="1"/>
    <col min="2" max="2" width="2.81640625" style="105" customWidth="1"/>
    <col min="3" max="3" width="5" style="105" customWidth="1"/>
    <col min="4" max="4" width="7.453125" style="105" customWidth="1"/>
    <col min="5" max="5" width="8.1796875" style="105" customWidth="1"/>
    <col min="6" max="6" width="11.453125" style="105"/>
    <col min="7" max="7" width="34.453125" style="105" customWidth="1"/>
    <col min="8" max="8" width="57.453125" style="105" customWidth="1"/>
    <col min="9" max="9" width="19.54296875" style="105" customWidth="1"/>
    <col min="10" max="10" width="25.54296875" style="105" customWidth="1"/>
    <col min="11" max="11" width="18" style="105" customWidth="1"/>
    <col min="12" max="12" width="20" style="105" customWidth="1"/>
    <col min="13" max="14" width="19" style="105" bestFit="1" customWidth="1"/>
    <col min="15" max="15" width="28.81640625" style="105" customWidth="1"/>
    <col min="16" max="16" width="11.453125" style="105"/>
    <col min="17" max="17" width="4.54296875" style="105" customWidth="1"/>
    <col min="18" max="16384" width="11.453125" style="105"/>
  </cols>
  <sheetData>
    <row r="1" spans="1:13" x14ac:dyDescent="0.35">
      <c r="A1" s="104"/>
      <c r="B1" s="104"/>
      <c r="C1" s="104"/>
      <c r="D1" s="104"/>
      <c r="E1" s="104"/>
      <c r="F1" s="104"/>
      <c r="G1" s="104"/>
      <c r="H1" s="104"/>
      <c r="I1" s="104"/>
      <c r="J1" s="104"/>
      <c r="K1" s="104"/>
      <c r="L1" s="104"/>
      <c r="M1" s="104"/>
    </row>
    <row r="2" spans="1:13" x14ac:dyDescent="0.35">
      <c r="A2" s="106"/>
      <c r="B2" s="104"/>
      <c r="C2" s="106"/>
      <c r="D2" s="106"/>
      <c r="E2" s="106"/>
      <c r="F2" s="106"/>
      <c r="G2" s="106"/>
      <c r="H2" s="106"/>
      <c r="I2" s="106"/>
      <c r="J2" s="106"/>
      <c r="K2" s="106"/>
      <c r="L2" s="106"/>
      <c r="M2" s="106"/>
    </row>
    <row r="3" spans="1:13" x14ac:dyDescent="0.35">
      <c r="A3" s="106"/>
      <c r="B3" s="104"/>
      <c r="C3" s="106"/>
      <c r="D3" s="106"/>
      <c r="E3" s="106"/>
      <c r="F3" s="1049"/>
      <c r="G3" s="1049"/>
      <c r="H3" s="1049"/>
      <c r="I3" s="106"/>
      <c r="J3" s="350"/>
      <c r="K3" s="825" t="s">
        <v>655</v>
      </c>
      <c r="L3" s="825">
        <v>45397</v>
      </c>
    </row>
    <row r="4" spans="1:13" x14ac:dyDescent="0.35">
      <c r="A4" s="106"/>
      <c r="B4" s="104"/>
      <c r="C4" s="106"/>
      <c r="D4" s="106"/>
      <c r="E4" s="106"/>
      <c r="F4" s="1049"/>
      <c r="G4" s="1049"/>
      <c r="H4" s="1049"/>
      <c r="I4" s="106"/>
      <c r="J4" s="350"/>
      <c r="K4" s="825" t="s">
        <v>94</v>
      </c>
      <c r="L4" s="825">
        <v>45401</v>
      </c>
    </row>
    <row r="5" spans="1:13" x14ac:dyDescent="0.35">
      <c r="A5" s="106"/>
      <c r="B5" s="104"/>
      <c r="C5" s="106"/>
      <c r="D5" s="106"/>
      <c r="E5" s="106"/>
      <c r="F5" s="1049"/>
      <c r="G5" s="1049"/>
      <c r="H5" s="1049"/>
      <c r="I5" s="106"/>
      <c r="J5" s="350"/>
      <c r="K5" s="825" t="s">
        <v>87</v>
      </c>
      <c r="L5" s="825">
        <v>45407</v>
      </c>
    </row>
    <row r="6" spans="1:13" x14ac:dyDescent="0.35">
      <c r="A6" s="106"/>
      <c r="B6" s="104"/>
      <c r="C6" s="106"/>
      <c r="D6" s="106"/>
      <c r="E6" s="106"/>
      <c r="F6" s="1049"/>
      <c r="G6" s="1049"/>
      <c r="H6" s="1049"/>
      <c r="I6" s="106"/>
      <c r="J6" s="106"/>
      <c r="K6" s="107"/>
      <c r="L6" s="108"/>
      <c r="M6" s="106"/>
    </row>
    <row r="7" spans="1:13" x14ac:dyDescent="0.35">
      <c r="A7" s="106"/>
      <c r="B7" s="104"/>
      <c r="C7" s="106"/>
      <c r="D7" s="106"/>
      <c r="E7" s="106"/>
      <c r="F7" s="106"/>
      <c r="G7" s="106"/>
      <c r="H7" s="106"/>
      <c r="I7" s="106"/>
      <c r="J7" s="107"/>
      <c r="K7" s="107"/>
      <c r="L7" s="108"/>
      <c r="M7" s="106"/>
    </row>
    <row r="8" spans="1:13" x14ac:dyDescent="0.35">
      <c r="A8" s="106"/>
      <c r="B8" s="104"/>
      <c r="C8" s="106"/>
      <c r="D8" s="106"/>
      <c r="E8" s="106"/>
      <c r="F8" s="106"/>
      <c r="G8" s="106"/>
      <c r="H8" s="106"/>
      <c r="I8" s="106"/>
      <c r="J8" s="107"/>
      <c r="K8" s="107"/>
      <c r="L8" s="108"/>
      <c r="M8" s="106"/>
    </row>
    <row r="9" spans="1:13" ht="15.5" x14ac:dyDescent="0.35">
      <c r="A9" s="106"/>
      <c r="B9" s="594" t="s">
        <v>217</v>
      </c>
      <c r="C9" s="595"/>
      <c r="D9" s="596"/>
      <c r="E9" s="596"/>
      <c r="F9" s="596"/>
      <c r="G9" s="596"/>
      <c r="H9" s="596"/>
      <c r="I9" s="639"/>
      <c r="J9" s="640"/>
      <c r="K9" s="640"/>
      <c r="L9" s="641"/>
      <c r="M9" s="642"/>
    </row>
    <row r="10" spans="1:13" x14ac:dyDescent="0.35">
      <c r="A10" s="106"/>
      <c r="B10" s="106"/>
      <c r="C10" s="106"/>
      <c r="D10" s="106"/>
      <c r="E10" s="106"/>
      <c r="F10" s="106"/>
      <c r="G10" s="106"/>
      <c r="H10" s="106"/>
      <c r="I10" s="106"/>
      <c r="J10" s="107"/>
      <c r="K10" s="107"/>
      <c r="L10" s="108"/>
      <c r="M10" s="106"/>
    </row>
    <row r="11" spans="1:13" ht="51" x14ac:dyDescent="0.35">
      <c r="A11" s="106"/>
      <c r="B11" s="106"/>
      <c r="C11" s="106"/>
      <c r="D11" s="106"/>
      <c r="E11" s="106"/>
      <c r="F11" s="106"/>
      <c r="G11" s="106"/>
      <c r="H11" s="869" t="s">
        <v>1451</v>
      </c>
      <c r="I11" s="1013">
        <f>SUM('04 - Monthly Collection'!E13:F15)</f>
        <v>14714577.559999999</v>
      </c>
      <c r="J11" s="107"/>
      <c r="K11" s="107"/>
      <c r="L11" s="108"/>
      <c r="M11" s="106"/>
    </row>
    <row r="12" spans="1:13" ht="41.25" customHeight="1" x14ac:dyDescent="0.35">
      <c r="A12" s="106"/>
      <c r="B12" s="106"/>
      <c r="C12" s="106"/>
      <c r="D12" s="106"/>
      <c r="E12" s="106"/>
      <c r="F12" s="106"/>
      <c r="G12" s="106"/>
      <c r="H12" s="869" t="s">
        <v>1452</v>
      </c>
      <c r="I12" s="1013">
        <f>SUM('04 - Monthly Collection'!G13:G15)</f>
        <v>1765077.5</v>
      </c>
      <c r="J12" s="107"/>
      <c r="K12" s="107"/>
      <c r="L12" s="108"/>
      <c r="M12" s="106"/>
    </row>
    <row r="13" spans="1:13" ht="51" x14ac:dyDescent="0.35">
      <c r="A13" s="106"/>
      <c r="B13" s="106"/>
      <c r="C13" s="106"/>
      <c r="D13" s="106"/>
      <c r="E13" s="106"/>
      <c r="F13" s="106"/>
      <c r="G13" s="106"/>
      <c r="H13" s="869" t="s">
        <v>1461</v>
      </c>
      <c r="I13" s="1013">
        <v>0</v>
      </c>
      <c r="J13" s="107"/>
      <c r="K13" s="107"/>
      <c r="L13" s="108"/>
      <c r="M13" s="106"/>
    </row>
    <row r="14" spans="1:13" ht="26" x14ac:dyDescent="0.35">
      <c r="A14" s="106"/>
      <c r="B14" s="106"/>
      <c r="C14" s="106"/>
      <c r="D14" s="106"/>
      <c r="E14" s="106"/>
      <c r="F14" s="106"/>
      <c r="G14" s="106"/>
      <c r="H14" s="869" t="s">
        <v>1462</v>
      </c>
      <c r="I14" s="1013"/>
      <c r="J14" s="928"/>
      <c r="K14" s="107"/>
      <c r="L14" s="108"/>
      <c r="M14" s="106"/>
    </row>
    <row r="15" spans="1:13" x14ac:dyDescent="0.35">
      <c r="A15" s="106"/>
      <c r="B15" s="106"/>
      <c r="C15" s="106"/>
      <c r="D15" s="106"/>
      <c r="E15" s="106"/>
      <c r="H15" s="870" t="s">
        <v>1449</v>
      </c>
      <c r="I15" s="935">
        <f>SUM(I11:I14)</f>
        <v>16479655.059999999</v>
      </c>
      <c r="K15" s="107"/>
      <c r="L15" s="108"/>
      <c r="M15" s="106"/>
    </row>
    <row r="16" spans="1:13" x14ac:dyDescent="0.35">
      <c r="A16" s="106"/>
      <c r="B16" s="106"/>
      <c r="C16" s="106"/>
      <c r="D16" s="106"/>
      <c r="E16" s="106"/>
      <c r="F16" s="106"/>
      <c r="G16" s="106"/>
      <c r="H16" s="870" t="s">
        <v>1450</v>
      </c>
      <c r="I16" s="935">
        <f>I53+I50</f>
        <v>0</v>
      </c>
      <c r="J16" s="107"/>
      <c r="K16" s="107"/>
      <c r="L16" s="108"/>
      <c r="M16" s="106"/>
    </row>
    <row r="17" spans="1:14" x14ac:dyDescent="0.35">
      <c r="A17" s="106"/>
      <c r="B17" s="106"/>
      <c r="C17" s="106"/>
      <c r="D17" s="106"/>
      <c r="E17" s="106"/>
      <c r="H17" s="866" t="s">
        <v>779</v>
      </c>
      <c r="I17" s="872">
        <f>I15+I16</f>
        <v>16479655.059999999</v>
      </c>
      <c r="J17" s="928"/>
      <c r="K17" s="928"/>
      <c r="L17" s="108"/>
      <c r="M17" s="106"/>
    </row>
    <row r="18" spans="1:14" x14ac:dyDescent="0.35">
      <c r="A18" s="106"/>
      <c r="B18" s="106"/>
      <c r="C18" s="106"/>
      <c r="D18" s="106"/>
      <c r="E18" s="106"/>
      <c r="F18" s="106"/>
      <c r="G18" s="106"/>
      <c r="H18" s="106"/>
      <c r="I18" s="106"/>
      <c r="J18" s="107"/>
      <c r="K18" s="107"/>
      <c r="L18" s="108"/>
      <c r="M18" s="106"/>
    </row>
    <row r="19" spans="1:14" ht="15" thickBot="1" x14ac:dyDescent="0.4">
      <c r="A19" s="104"/>
      <c r="B19" s="104"/>
      <c r="C19" s="104"/>
      <c r="D19" s="104"/>
      <c r="E19" s="104"/>
      <c r="F19" s="104"/>
      <c r="G19" s="104"/>
      <c r="H19" s="104"/>
      <c r="I19" s="104"/>
      <c r="J19" s="104"/>
      <c r="K19" s="104"/>
      <c r="L19" s="109"/>
      <c r="M19" s="104"/>
    </row>
    <row r="20" spans="1:14" ht="15.75" customHeight="1" x14ac:dyDescent="0.35">
      <c r="A20" s="104"/>
      <c r="B20" s="189"/>
      <c r="C20" s="1174" t="s">
        <v>773</v>
      </c>
      <c r="D20" s="1174"/>
      <c r="E20" s="1174"/>
      <c r="F20" s="1174"/>
      <c r="G20" s="1174"/>
      <c r="H20" s="1174"/>
      <c r="I20" s="1175"/>
      <c r="J20" s="207"/>
      <c r="K20" s="207"/>
      <c r="L20" s="207"/>
      <c r="M20" s="202"/>
    </row>
    <row r="21" spans="1:14" x14ac:dyDescent="0.35">
      <c r="A21" s="110"/>
      <c r="B21" s="190"/>
      <c r="C21" s="1176"/>
      <c r="D21" s="1176"/>
      <c r="E21" s="1176"/>
      <c r="F21" s="1176"/>
      <c r="G21" s="1176"/>
      <c r="H21" s="1176"/>
      <c r="I21" s="1177"/>
      <c r="J21" s="111" t="s">
        <v>8</v>
      </c>
      <c r="K21" s="111"/>
      <c r="L21" s="111" t="s">
        <v>236</v>
      </c>
      <c r="M21" s="203"/>
    </row>
    <row r="22" spans="1:14" x14ac:dyDescent="0.35">
      <c r="A22" s="104"/>
      <c r="B22" s="191"/>
      <c r="C22" s="194"/>
      <c r="D22" s="1178" t="s">
        <v>100</v>
      </c>
      <c r="E22" s="1179"/>
      <c r="F22" s="1179"/>
      <c r="G22" s="1179"/>
      <c r="H22" s="1180"/>
      <c r="I22" s="662" t="s">
        <v>101</v>
      </c>
      <c r="J22" s="662" t="s">
        <v>102</v>
      </c>
      <c r="K22" s="662" t="s">
        <v>118</v>
      </c>
      <c r="L22" s="867">
        <v>0</v>
      </c>
      <c r="M22" s="204"/>
    </row>
    <row r="23" spans="1:14" x14ac:dyDescent="0.35">
      <c r="A23" s="104"/>
      <c r="B23" s="191"/>
      <c r="C23" s="194"/>
      <c r="D23" s="113"/>
      <c r="E23" s="114" t="s">
        <v>9</v>
      </c>
      <c r="F23" s="1139" t="s">
        <v>779</v>
      </c>
      <c r="G23" s="1140"/>
      <c r="H23" s="1141"/>
      <c r="I23" s="184">
        <f>I17</f>
        <v>16479655.059999999</v>
      </c>
      <c r="J23" s="184">
        <f>I23</f>
        <v>16479655.059999999</v>
      </c>
      <c r="K23" s="860"/>
      <c r="L23" s="185">
        <f>L22+J23</f>
        <v>16479655.059999999</v>
      </c>
      <c r="M23" s="204"/>
      <c r="N23" s="167"/>
    </row>
    <row r="24" spans="1:14" x14ac:dyDescent="0.35">
      <c r="A24" s="104"/>
      <c r="B24" s="191"/>
      <c r="C24" s="194"/>
      <c r="D24" s="115" t="s">
        <v>10</v>
      </c>
      <c r="E24" s="116" t="s">
        <v>18</v>
      </c>
      <c r="F24" s="1130" t="s">
        <v>775</v>
      </c>
      <c r="G24" s="1131"/>
      <c r="H24" s="1132"/>
      <c r="I24" s="186">
        <f>'10 -Principal Deficiency Ledger'!E12</f>
        <v>0</v>
      </c>
      <c r="J24" s="186">
        <f>IF(I24=0,0,MIN(I24,L23))</f>
        <v>0</v>
      </c>
      <c r="K24" s="186">
        <f>MAX(I24-J24,0)</f>
        <v>0</v>
      </c>
      <c r="L24" s="185">
        <f>L23-J24</f>
        <v>16479655.059999999</v>
      </c>
      <c r="M24" s="205"/>
    </row>
    <row r="25" spans="1:14" ht="31.5" customHeight="1" x14ac:dyDescent="0.35">
      <c r="A25" s="104"/>
      <c r="B25" s="191"/>
      <c r="C25" s="194"/>
      <c r="D25" s="115" t="s">
        <v>11</v>
      </c>
      <c r="E25" s="116" t="s">
        <v>18</v>
      </c>
      <c r="F25" s="1133" t="s">
        <v>776</v>
      </c>
      <c r="G25" s="1134"/>
      <c r="H25" s="1135"/>
      <c r="I25" s="186">
        <f>'11 - Notes Follow-up'!F24</f>
        <v>16479655.059999999</v>
      </c>
      <c r="J25" s="186">
        <f t="shared" ref="J25:J27" si="0">IF(I25=0,0,MIN(I25,L24))</f>
        <v>16479655.059999999</v>
      </c>
      <c r="K25" s="186">
        <f t="shared" ref="K25:K27" si="1">MAX(I25-J25,0)</f>
        <v>0</v>
      </c>
      <c r="L25" s="185">
        <f>L24-J25</f>
        <v>0</v>
      </c>
      <c r="M25" s="205"/>
    </row>
    <row r="26" spans="1:14" ht="36" customHeight="1" x14ac:dyDescent="0.35">
      <c r="A26" s="104"/>
      <c r="B26" s="191"/>
      <c r="C26" s="194"/>
      <c r="D26" s="115" t="s">
        <v>12</v>
      </c>
      <c r="E26" s="116" t="s">
        <v>18</v>
      </c>
      <c r="F26" s="1133" t="s">
        <v>777</v>
      </c>
      <c r="G26" s="1134"/>
      <c r="H26" s="1135"/>
      <c r="I26" s="186">
        <f>'11 - Notes Follow-up'!N24</f>
        <v>0</v>
      </c>
      <c r="J26" s="186">
        <f t="shared" si="0"/>
        <v>0</v>
      </c>
      <c r="K26" s="186">
        <f t="shared" si="1"/>
        <v>0</v>
      </c>
      <c r="L26" s="185">
        <f>L25-J26</f>
        <v>0</v>
      </c>
      <c r="M26" s="205"/>
    </row>
    <row r="27" spans="1:14" ht="26.25" customHeight="1" x14ac:dyDescent="0.35">
      <c r="A27" s="104"/>
      <c r="B27" s="191"/>
      <c r="C27" s="194"/>
      <c r="D27" s="115" t="s">
        <v>13</v>
      </c>
      <c r="E27" s="116" t="s">
        <v>18</v>
      </c>
      <c r="F27" s="1130" t="s">
        <v>778</v>
      </c>
      <c r="G27" s="1131"/>
      <c r="H27" s="1132"/>
      <c r="I27" s="186">
        <f>IF(L5='00 - Cover'!F19,'15 - Priority of Payments'!L26,0)</f>
        <v>0</v>
      </c>
      <c r="J27" s="186">
        <f t="shared" si="0"/>
        <v>0</v>
      </c>
      <c r="K27" s="186">
        <f t="shared" si="1"/>
        <v>0</v>
      </c>
      <c r="L27" s="185">
        <f>L26-J27</f>
        <v>0</v>
      </c>
      <c r="M27" s="205"/>
      <c r="N27" s="160"/>
    </row>
    <row r="28" spans="1:14" x14ac:dyDescent="0.35">
      <c r="A28" s="112"/>
      <c r="B28" s="192"/>
      <c r="C28" s="195"/>
      <c r="D28" s="1168"/>
      <c r="E28" s="1169"/>
      <c r="F28" s="1169"/>
      <c r="G28" s="1169"/>
      <c r="H28" s="1169"/>
      <c r="I28" s="1169"/>
      <c r="J28" s="1170"/>
      <c r="K28" s="663"/>
      <c r="L28" s="187">
        <f>L27</f>
        <v>0</v>
      </c>
      <c r="M28" s="206"/>
    </row>
    <row r="29" spans="1:14" ht="15" thickBot="1" x14ac:dyDescent="0.4">
      <c r="A29" s="104"/>
      <c r="B29" s="193"/>
      <c r="C29" s="196"/>
      <c r="D29" s="197"/>
      <c r="E29" s="198"/>
      <c r="F29" s="199"/>
      <c r="G29" s="199"/>
      <c r="H29" s="196"/>
      <c r="I29" s="196"/>
      <c r="J29" s="196"/>
      <c r="K29" s="196"/>
      <c r="L29" s="200"/>
      <c r="M29" s="201"/>
    </row>
    <row r="33" spans="2:13" x14ac:dyDescent="0.35">
      <c r="H33" s="868" t="s">
        <v>1453</v>
      </c>
      <c r="I33" s="871">
        <f>+'13 - Issuer Account'!I19-'13 - Issuer Account'!M17-'13 - Issuer Account'!L17</f>
        <v>29303256.219999999</v>
      </c>
      <c r="J33" s="893"/>
      <c r="K33" s="893"/>
      <c r="L33" s="893"/>
    </row>
    <row r="34" spans="2:13" x14ac:dyDescent="0.35">
      <c r="H34" s="868" t="s">
        <v>1460</v>
      </c>
      <c r="I34" s="871">
        <f>I15</f>
        <v>16479655.059999999</v>
      </c>
      <c r="J34" s="893"/>
      <c r="K34" s="5"/>
      <c r="L34" s="893"/>
    </row>
    <row r="35" spans="2:13" x14ac:dyDescent="0.35">
      <c r="H35" s="868" t="s">
        <v>1454</v>
      </c>
      <c r="I35" s="871">
        <v>0</v>
      </c>
      <c r="J35" s="893"/>
      <c r="L35" s="893"/>
    </row>
    <row r="36" spans="2:13" x14ac:dyDescent="0.35">
      <c r="H36" s="868" t="s">
        <v>1455</v>
      </c>
      <c r="I36" s="885">
        <f>+'13 - Issuer Account'!L17+'13 - Issuer Account'!M17</f>
        <v>318310.52999999997</v>
      </c>
      <c r="L36" s="893"/>
    </row>
    <row r="37" spans="2:13" x14ac:dyDescent="0.35">
      <c r="H37" s="866" t="s">
        <v>780</v>
      </c>
      <c r="I37" s="872">
        <f>I33-I34+I35+I36</f>
        <v>13141911.689999999</v>
      </c>
      <c r="J37" s="893"/>
      <c r="K37" s="893"/>
      <c r="L37" s="893"/>
      <c r="M37" s="893"/>
    </row>
    <row r="38" spans="2:13" x14ac:dyDescent="0.35">
      <c r="J38" s="893"/>
      <c r="K38" s="893"/>
      <c r="L38" s="893"/>
    </row>
    <row r="40" spans="2:13" ht="15" thickBot="1" x14ac:dyDescent="0.4">
      <c r="L40" s="167"/>
    </row>
    <row r="41" spans="2:13" ht="15.5" x14ac:dyDescent="0.35">
      <c r="B41" s="189"/>
      <c r="C41" s="1174" t="s">
        <v>774</v>
      </c>
      <c r="D41" s="1174"/>
      <c r="E41" s="1174"/>
      <c r="F41" s="1174"/>
      <c r="G41" s="1174"/>
      <c r="H41" s="1174"/>
      <c r="I41" s="1175"/>
      <c r="J41" s="207"/>
      <c r="K41" s="207"/>
      <c r="L41" s="207"/>
      <c r="M41" s="202"/>
    </row>
    <row r="42" spans="2:13" x14ac:dyDescent="0.35">
      <c r="B42" s="190"/>
      <c r="C42" s="1176"/>
      <c r="D42" s="1176"/>
      <c r="E42" s="1176"/>
      <c r="F42" s="1176"/>
      <c r="G42" s="1176"/>
      <c r="H42" s="1176"/>
      <c r="I42" s="1177"/>
      <c r="J42" s="111" t="s">
        <v>8</v>
      </c>
      <c r="K42" s="111"/>
      <c r="L42" s="111" t="s">
        <v>236</v>
      </c>
      <c r="M42" s="203"/>
    </row>
    <row r="43" spans="2:13" x14ac:dyDescent="0.35">
      <c r="B43" s="191"/>
      <c r="C43" s="194"/>
      <c r="D43" s="1178" t="s">
        <v>100</v>
      </c>
      <c r="E43" s="1179"/>
      <c r="F43" s="1179"/>
      <c r="G43" s="1179"/>
      <c r="H43" s="1180"/>
      <c r="I43" s="662" t="s">
        <v>101</v>
      </c>
      <c r="J43" s="662" t="s">
        <v>102</v>
      </c>
      <c r="K43" s="662" t="s">
        <v>118</v>
      </c>
      <c r="L43" s="867">
        <v>0</v>
      </c>
      <c r="M43" s="204"/>
    </row>
    <row r="44" spans="2:13" x14ac:dyDescent="0.35">
      <c r="B44" s="191"/>
      <c r="C44" s="194"/>
      <c r="D44" s="113"/>
      <c r="E44" s="114" t="s">
        <v>9</v>
      </c>
      <c r="F44" s="1139" t="s">
        <v>780</v>
      </c>
      <c r="G44" s="1140"/>
      <c r="H44" s="1141"/>
      <c r="I44" s="184">
        <f>I37</f>
        <v>13141911.689999999</v>
      </c>
      <c r="J44" s="184">
        <f>I44</f>
        <v>13141911.689999999</v>
      </c>
      <c r="K44" s="860"/>
      <c r="L44" s="185">
        <f>J44+L43</f>
        <v>13141911.689999999</v>
      </c>
      <c r="M44" s="204"/>
    </row>
    <row r="45" spans="2:13" x14ac:dyDescent="0.35">
      <c r="B45" s="191"/>
      <c r="C45" s="194"/>
      <c r="D45" s="115" t="s">
        <v>10</v>
      </c>
      <c r="E45" s="116" t="s">
        <v>18</v>
      </c>
      <c r="F45" s="1130" t="s">
        <v>781</v>
      </c>
      <c r="G45" s="1131"/>
      <c r="H45" s="1132"/>
      <c r="I45" s="186">
        <v>0</v>
      </c>
      <c r="J45" s="186">
        <f>IF(I45=0,0,MIN(I45,L44))</f>
        <v>0</v>
      </c>
      <c r="K45" s="186">
        <f>MAX(I45-J45,0)</f>
        <v>0</v>
      </c>
      <c r="L45" s="185">
        <f>L44-J45</f>
        <v>13141911.689999999</v>
      </c>
      <c r="M45" s="205"/>
    </row>
    <row r="46" spans="2:13" x14ac:dyDescent="0.35">
      <c r="B46" s="191"/>
      <c r="C46" s="194"/>
      <c r="D46" s="115" t="s">
        <v>11</v>
      </c>
      <c r="E46" s="116" t="s">
        <v>18</v>
      </c>
      <c r="F46" s="1133" t="s">
        <v>782</v>
      </c>
      <c r="G46" s="1134"/>
      <c r="H46" s="1135"/>
      <c r="I46" s="186">
        <f>'14 - Fees'!J61+'14 - Fees'!J62</f>
        <v>1953.9699999999998</v>
      </c>
      <c r="J46" s="186">
        <f t="shared" ref="J46:J56" si="2">IF(I46=0,0,MIN(I46,L45))</f>
        <v>1953.9699999999998</v>
      </c>
      <c r="K46" s="186">
        <f t="shared" ref="K46:K56" si="3">MAX(I46-J46,0)</f>
        <v>0</v>
      </c>
      <c r="L46" s="185">
        <f t="shared" ref="L46:L56" si="4">L45-J46</f>
        <v>13139957.719999999</v>
      </c>
      <c r="M46" s="205"/>
    </row>
    <row r="47" spans="2:13" x14ac:dyDescent="0.35">
      <c r="B47" s="191"/>
      <c r="C47" s="194"/>
      <c r="D47" s="115" t="s">
        <v>12</v>
      </c>
      <c r="E47" s="116" t="s">
        <v>18</v>
      </c>
      <c r="F47" s="1130" t="s">
        <v>783</v>
      </c>
      <c r="G47" s="1131"/>
      <c r="H47" s="1132"/>
      <c r="I47" s="186">
        <v>0</v>
      </c>
      <c r="J47" s="186">
        <f t="shared" si="2"/>
        <v>0</v>
      </c>
      <c r="K47" s="186">
        <f t="shared" si="3"/>
        <v>0</v>
      </c>
      <c r="L47" s="185">
        <f t="shared" si="4"/>
        <v>13139957.719999999</v>
      </c>
      <c r="M47" s="205"/>
    </row>
    <row r="48" spans="2:13" ht="24" customHeight="1" x14ac:dyDescent="0.35">
      <c r="B48" s="191"/>
      <c r="C48" s="194"/>
      <c r="D48" s="115" t="s">
        <v>13</v>
      </c>
      <c r="E48" s="116" t="s">
        <v>18</v>
      </c>
      <c r="F48" s="1130" t="s">
        <v>784</v>
      </c>
      <c r="G48" s="1131"/>
      <c r="H48" s="1132"/>
      <c r="I48" s="186">
        <f>'14 - Fees'!J74-'14 - Fees'!J61-'14 - Fees'!J62</f>
        <v>31413.422950819673</v>
      </c>
      <c r="J48" s="186">
        <f t="shared" si="2"/>
        <v>31413.422950819673</v>
      </c>
      <c r="K48" s="186">
        <f t="shared" si="3"/>
        <v>0</v>
      </c>
      <c r="L48" s="185">
        <f t="shared" si="4"/>
        <v>13108544.29704918</v>
      </c>
      <c r="M48" s="205"/>
    </row>
    <row r="49" spans="1:13" ht="25.5" customHeight="1" x14ac:dyDescent="0.35">
      <c r="B49" s="191"/>
      <c r="C49" s="194"/>
      <c r="D49" s="115" t="s">
        <v>14</v>
      </c>
      <c r="E49" s="116" t="s">
        <v>18</v>
      </c>
      <c r="F49" s="1130" t="s">
        <v>785</v>
      </c>
      <c r="G49" s="1131"/>
      <c r="H49" s="1132"/>
      <c r="I49" s="186">
        <f>'12 - Notes Interest'!I17</f>
        <v>410920.19999999995</v>
      </c>
      <c r="J49" s="186">
        <f t="shared" si="2"/>
        <v>410920.19999999995</v>
      </c>
      <c r="K49" s="186">
        <f t="shared" si="3"/>
        <v>0</v>
      </c>
      <c r="L49" s="185">
        <f t="shared" si="4"/>
        <v>12697624.09704918</v>
      </c>
      <c r="M49" s="205"/>
    </row>
    <row r="50" spans="1:13" x14ac:dyDescent="0.35">
      <c r="B50" s="191"/>
      <c r="C50" s="194"/>
      <c r="D50" s="115" t="s">
        <v>15</v>
      </c>
      <c r="E50" s="116" t="s">
        <v>18</v>
      </c>
      <c r="F50" s="1130" t="s">
        <v>786</v>
      </c>
      <c r="G50" s="1131"/>
      <c r="H50" s="1132"/>
      <c r="I50" s="186">
        <v>0</v>
      </c>
      <c r="J50" s="186">
        <f t="shared" si="2"/>
        <v>0</v>
      </c>
      <c r="K50" s="186">
        <f t="shared" si="3"/>
        <v>0</v>
      </c>
      <c r="L50" s="185">
        <f t="shared" si="4"/>
        <v>12697624.09704918</v>
      </c>
      <c r="M50" s="205"/>
    </row>
    <row r="51" spans="1:13" ht="28.5" customHeight="1" x14ac:dyDescent="0.35">
      <c r="B51" s="191"/>
      <c r="C51" s="194"/>
      <c r="D51" s="115" t="s">
        <v>16</v>
      </c>
      <c r="E51" s="116" t="s">
        <v>18</v>
      </c>
      <c r="F51" s="1130" t="s">
        <v>787</v>
      </c>
      <c r="G51" s="1131"/>
      <c r="H51" s="1132"/>
      <c r="I51" s="186">
        <f>+'13 - Issuer Account'!O65</f>
        <v>9754251.5420999993</v>
      </c>
      <c r="J51" s="186">
        <f t="shared" si="2"/>
        <v>9754251.5420999993</v>
      </c>
      <c r="K51" s="186">
        <f t="shared" si="3"/>
        <v>0</v>
      </c>
      <c r="L51" s="185">
        <f t="shared" si="4"/>
        <v>2943372.5549491812</v>
      </c>
      <c r="M51" s="205"/>
    </row>
    <row r="52" spans="1:13" ht="24" customHeight="1" x14ac:dyDescent="0.35">
      <c r="B52" s="191"/>
      <c r="C52" s="194"/>
      <c r="D52" s="115" t="s">
        <v>17</v>
      </c>
      <c r="E52" s="116" t="s">
        <v>18</v>
      </c>
      <c r="F52" s="1130" t="s">
        <v>788</v>
      </c>
      <c r="G52" s="1131"/>
      <c r="H52" s="1132"/>
      <c r="I52" s="186">
        <f>'12 - Notes Interest'!I23</f>
        <v>0</v>
      </c>
      <c r="J52" s="186">
        <f t="shared" si="2"/>
        <v>0</v>
      </c>
      <c r="K52" s="186">
        <f t="shared" si="3"/>
        <v>0</v>
      </c>
      <c r="L52" s="185">
        <f t="shared" si="4"/>
        <v>2943372.5549491812</v>
      </c>
      <c r="M52" s="205"/>
    </row>
    <row r="53" spans="1:13" ht="24" customHeight="1" x14ac:dyDescent="0.35">
      <c r="B53" s="191"/>
      <c r="C53" s="194"/>
      <c r="D53" s="115" t="s">
        <v>151</v>
      </c>
      <c r="E53" s="116" t="s">
        <v>18</v>
      </c>
      <c r="F53" s="1130" t="s">
        <v>792</v>
      </c>
      <c r="G53" s="1131"/>
      <c r="H53" s="1132"/>
      <c r="I53" s="186">
        <f>MIN(L52,'10 -Principal Deficiency Ledger'!D12)</f>
        <v>0</v>
      </c>
      <c r="J53" s="186">
        <f t="shared" si="2"/>
        <v>0</v>
      </c>
      <c r="K53" s="186">
        <f t="shared" si="3"/>
        <v>0</v>
      </c>
      <c r="L53" s="185">
        <f t="shared" si="4"/>
        <v>2943372.5549491812</v>
      </c>
      <c r="M53" s="205"/>
    </row>
    <row r="54" spans="1:13" ht="37.5" customHeight="1" x14ac:dyDescent="0.35">
      <c r="B54" s="191"/>
      <c r="C54" s="194"/>
      <c r="D54" s="115" t="s">
        <v>789</v>
      </c>
      <c r="E54" s="116" t="s">
        <v>18</v>
      </c>
      <c r="F54" s="1171" t="s">
        <v>2549</v>
      </c>
      <c r="G54" s="1172"/>
      <c r="H54" s="1173"/>
      <c r="I54" s="1033">
        <f>+'13 - Issuer Account'!I54-'13 - Issuer Account'!H56</f>
        <v>498248.45790000074</v>
      </c>
      <c r="J54" s="1033">
        <f t="shared" si="2"/>
        <v>498248.45790000074</v>
      </c>
      <c r="K54" s="1033">
        <f t="shared" si="3"/>
        <v>0</v>
      </c>
      <c r="L54" s="185">
        <f t="shared" si="4"/>
        <v>2445124.0970491804</v>
      </c>
      <c r="M54" s="205"/>
    </row>
    <row r="55" spans="1:13" ht="31.5" customHeight="1" x14ac:dyDescent="0.35">
      <c r="B55" s="191"/>
      <c r="C55" s="194"/>
      <c r="D55" s="115" t="s">
        <v>790</v>
      </c>
      <c r="E55" s="116" t="s">
        <v>18</v>
      </c>
      <c r="F55" s="1130" t="s">
        <v>793</v>
      </c>
      <c r="G55" s="1131"/>
      <c r="H55" s="1132"/>
      <c r="I55" s="186">
        <v>0</v>
      </c>
      <c r="J55" s="186">
        <f t="shared" si="2"/>
        <v>0</v>
      </c>
      <c r="K55" s="186">
        <f t="shared" si="3"/>
        <v>0</v>
      </c>
      <c r="L55" s="185">
        <f t="shared" si="4"/>
        <v>2445124.0970491804</v>
      </c>
      <c r="M55" s="205"/>
    </row>
    <row r="56" spans="1:13" ht="24" customHeight="1" x14ac:dyDescent="0.35">
      <c r="B56" s="191"/>
      <c r="C56" s="194"/>
      <c r="D56" s="115" t="s">
        <v>791</v>
      </c>
      <c r="E56" s="116" t="s">
        <v>18</v>
      </c>
      <c r="F56" s="1130" t="s">
        <v>794</v>
      </c>
      <c r="G56" s="1131"/>
      <c r="H56" s="1132"/>
      <c r="I56" s="186">
        <f>L55</f>
        <v>2445124.0970491804</v>
      </c>
      <c r="J56" s="186">
        <f t="shared" si="2"/>
        <v>2445124.0970491804</v>
      </c>
      <c r="K56" s="186">
        <f t="shared" si="3"/>
        <v>0</v>
      </c>
      <c r="L56" s="185">
        <f t="shared" si="4"/>
        <v>0</v>
      </c>
      <c r="M56" s="205"/>
    </row>
    <row r="57" spans="1:13" x14ac:dyDescent="0.35">
      <c r="B57" s="192"/>
      <c r="C57" s="195"/>
      <c r="D57" s="1168"/>
      <c r="E57" s="1169"/>
      <c r="F57" s="1169"/>
      <c r="G57" s="1169"/>
      <c r="H57" s="1169"/>
      <c r="I57" s="1169"/>
      <c r="J57" s="1170"/>
      <c r="K57" s="663"/>
      <c r="L57" s="187">
        <f>L56</f>
        <v>0</v>
      </c>
      <c r="M57" s="206"/>
    </row>
    <row r="58" spans="1:13" ht="15" thickBot="1" x14ac:dyDescent="0.4">
      <c r="B58" s="193"/>
      <c r="C58" s="196"/>
      <c r="D58" s="197"/>
      <c r="E58" s="198"/>
      <c r="F58" s="199"/>
      <c r="G58" s="199"/>
      <c r="H58" s="196"/>
      <c r="I58" s="196"/>
      <c r="J58" s="196"/>
      <c r="K58" s="196"/>
      <c r="L58" s="200"/>
      <c r="M58" s="201"/>
    </row>
    <row r="59" spans="1:13" x14ac:dyDescent="0.35">
      <c r="L59" s="167"/>
    </row>
    <row r="60" spans="1:13" x14ac:dyDescent="0.35">
      <c r="L60" s="167"/>
    </row>
    <row r="61" spans="1:13" x14ac:dyDescent="0.35">
      <c r="L61" s="167"/>
    </row>
    <row r="62" spans="1:13" ht="15" hidden="1" outlineLevel="1" thickBot="1" x14ac:dyDescent="0.4">
      <c r="L62" s="167"/>
    </row>
    <row r="63" spans="1:13" ht="15.75" hidden="1" customHeight="1" outlineLevel="1" x14ac:dyDescent="0.35">
      <c r="A63" s="104"/>
      <c r="B63" s="189"/>
      <c r="C63" s="1174" t="s">
        <v>795</v>
      </c>
      <c r="D63" s="1174"/>
      <c r="E63" s="1174"/>
      <c r="F63" s="1174"/>
      <c r="G63" s="1174"/>
      <c r="H63" s="1174"/>
      <c r="I63" s="1175"/>
      <c r="J63" s="207"/>
      <c r="K63" s="207"/>
      <c r="L63" s="207"/>
      <c r="M63" s="202"/>
    </row>
    <row r="64" spans="1:13" hidden="1" outlineLevel="1" x14ac:dyDescent="0.35">
      <c r="A64" s="110"/>
      <c r="B64" s="190"/>
      <c r="C64" s="1176"/>
      <c r="D64" s="1176"/>
      <c r="E64" s="1176"/>
      <c r="F64" s="1176"/>
      <c r="G64" s="1176"/>
      <c r="H64" s="1176"/>
      <c r="I64" s="1177"/>
      <c r="J64" s="111" t="s">
        <v>8</v>
      </c>
      <c r="K64" s="111"/>
      <c r="L64" s="111"/>
      <c r="M64" s="203"/>
    </row>
    <row r="65" spans="1:14" hidden="1" outlineLevel="1" x14ac:dyDescent="0.35">
      <c r="A65" s="104"/>
      <c r="B65" s="191"/>
      <c r="C65" s="194"/>
      <c r="D65" s="1178" t="s">
        <v>100</v>
      </c>
      <c r="E65" s="1179"/>
      <c r="F65" s="1179"/>
      <c r="G65" s="1179"/>
      <c r="H65" s="1180"/>
      <c r="I65" s="662" t="s">
        <v>101</v>
      </c>
      <c r="J65" s="662" t="s">
        <v>102</v>
      </c>
      <c r="K65" s="662" t="s">
        <v>118</v>
      </c>
      <c r="L65" s="188" t="s">
        <v>236</v>
      </c>
      <c r="M65" s="204"/>
    </row>
    <row r="66" spans="1:14" hidden="1" outlineLevel="1" x14ac:dyDescent="0.35">
      <c r="A66" s="104"/>
      <c r="B66" s="191"/>
      <c r="C66" s="194"/>
      <c r="D66" s="113"/>
      <c r="E66" s="114" t="s">
        <v>9</v>
      </c>
      <c r="F66" s="1139" t="s">
        <v>796</v>
      </c>
      <c r="G66" s="1140"/>
      <c r="H66" s="1141"/>
      <c r="I66" s="184"/>
      <c r="J66" s="184"/>
      <c r="K66" s="184"/>
      <c r="L66" s="185"/>
      <c r="M66" s="204"/>
      <c r="N66" s="167"/>
    </row>
    <row r="67" spans="1:14" hidden="1" outlineLevel="1" x14ac:dyDescent="0.35">
      <c r="A67" s="104"/>
      <c r="B67" s="191"/>
      <c r="C67" s="194"/>
      <c r="D67" s="115" t="s">
        <v>10</v>
      </c>
      <c r="E67" s="116" t="s">
        <v>18</v>
      </c>
      <c r="F67" s="1130" t="s">
        <v>797</v>
      </c>
      <c r="G67" s="1131"/>
      <c r="H67" s="1132"/>
      <c r="I67" s="184"/>
      <c r="J67" s="184"/>
      <c r="K67" s="184"/>
      <c r="L67" s="185"/>
      <c r="M67" s="204"/>
      <c r="N67" s="167"/>
    </row>
    <row r="68" spans="1:14" hidden="1" outlineLevel="1" x14ac:dyDescent="0.35">
      <c r="A68" s="104"/>
      <c r="B68" s="191"/>
      <c r="C68" s="194"/>
      <c r="D68" s="115" t="s">
        <v>11</v>
      </c>
      <c r="E68" s="116" t="s">
        <v>18</v>
      </c>
      <c r="F68" s="1130" t="s">
        <v>782</v>
      </c>
      <c r="G68" s="1131"/>
      <c r="H68" s="1132"/>
      <c r="I68" s="184"/>
      <c r="J68" s="184"/>
      <c r="K68" s="184"/>
      <c r="L68" s="185"/>
      <c r="M68" s="204"/>
      <c r="N68" s="167"/>
    </row>
    <row r="69" spans="1:14" hidden="1" outlineLevel="1" x14ac:dyDescent="0.35">
      <c r="A69" s="104"/>
      <c r="B69" s="191"/>
      <c r="C69" s="194"/>
      <c r="D69" s="115" t="s">
        <v>12</v>
      </c>
      <c r="E69" s="116" t="s">
        <v>18</v>
      </c>
      <c r="F69" s="1130" t="s">
        <v>783</v>
      </c>
      <c r="G69" s="1131"/>
      <c r="H69" s="1132"/>
      <c r="I69" s="184"/>
      <c r="J69" s="184"/>
      <c r="K69" s="184"/>
      <c r="L69" s="185"/>
      <c r="M69" s="204"/>
      <c r="N69" s="167"/>
    </row>
    <row r="70" spans="1:14" ht="29.25" hidden="1" customHeight="1" outlineLevel="1" x14ac:dyDescent="0.35">
      <c r="A70" s="104"/>
      <c r="B70" s="191"/>
      <c r="C70" s="194"/>
      <c r="D70" s="115" t="s">
        <v>13</v>
      </c>
      <c r="E70" s="116" t="s">
        <v>18</v>
      </c>
      <c r="F70" s="1130" t="s">
        <v>784</v>
      </c>
      <c r="G70" s="1131"/>
      <c r="H70" s="1132"/>
      <c r="I70" s="184"/>
      <c r="J70" s="184"/>
      <c r="K70" s="184"/>
      <c r="L70" s="185"/>
      <c r="M70" s="204"/>
      <c r="N70" s="167"/>
    </row>
    <row r="71" spans="1:14" ht="27" hidden="1" customHeight="1" outlineLevel="1" x14ac:dyDescent="0.35">
      <c r="A71" s="104"/>
      <c r="B71" s="191"/>
      <c r="C71" s="194"/>
      <c r="D71" s="115" t="s">
        <v>14</v>
      </c>
      <c r="E71" s="116" t="s">
        <v>18</v>
      </c>
      <c r="F71" s="1130" t="s">
        <v>798</v>
      </c>
      <c r="G71" s="1131"/>
      <c r="H71" s="1132"/>
      <c r="I71" s="184"/>
      <c r="J71" s="184"/>
      <c r="K71" s="184"/>
      <c r="L71" s="185"/>
      <c r="M71" s="204"/>
      <c r="N71" s="167"/>
    </row>
    <row r="72" spans="1:14" ht="29.25" hidden="1" customHeight="1" outlineLevel="1" x14ac:dyDescent="0.35">
      <c r="A72" s="104"/>
      <c r="B72" s="191"/>
      <c r="C72" s="194"/>
      <c r="D72" s="115" t="s">
        <v>15</v>
      </c>
      <c r="E72" s="116" t="s">
        <v>18</v>
      </c>
      <c r="F72" s="1130" t="s">
        <v>799</v>
      </c>
      <c r="G72" s="1131"/>
      <c r="H72" s="1132"/>
      <c r="I72" s="184"/>
      <c r="J72" s="184"/>
      <c r="K72" s="184"/>
      <c r="L72" s="185"/>
      <c r="M72" s="204"/>
      <c r="N72" s="167"/>
    </row>
    <row r="73" spans="1:14" hidden="1" outlineLevel="1" x14ac:dyDescent="0.35">
      <c r="A73" s="104"/>
      <c r="B73" s="191"/>
      <c r="C73" s="194"/>
      <c r="D73" s="115" t="s">
        <v>16</v>
      </c>
      <c r="E73" s="116" t="s">
        <v>18</v>
      </c>
      <c r="F73" s="1130" t="s">
        <v>800</v>
      </c>
      <c r="G73" s="1131"/>
      <c r="H73" s="1132"/>
      <c r="I73" s="184"/>
      <c r="J73" s="184"/>
      <c r="K73" s="184"/>
      <c r="L73" s="185"/>
      <c r="M73" s="204"/>
      <c r="N73" s="167"/>
    </row>
    <row r="74" spans="1:14" ht="28.5" hidden="1" customHeight="1" outlineLevel="1" x14ac:dyDescent="0.35">
      <c r="A74" s="104"/>
      <c r="B74" s="191"/>
      <c r="C74" s="194"/>
      <c r="D74" s="115" t="s">
        <v>17</v>
      </c>
      <c r="E74" s="116" t="s">
        <v>18</v>
      </c>
      <c r="F74" s="1130" t="s">
        <v>801</v>
      </c>
      <c r="G74" s="1131"/>
      <c r="H74" s="1132"/>
      <c r="I74" s="184"/>
      <c r="J74" s="184"/>
      <c r="K74" s="184"/>
      <c r="L74" s="185"/>
      <c r="M74" s="204"/>
      <c r="N74" s="167"/>
    </row>
    <row r="75" spans="1:14" hidden="1" outlineLevel="1" x14ac:dyDescent="0.35">
      <c r="A75" s="104"/>
      <c r="B75" s="191"/>
      <c r="C75" s="194"/>
      <c r="D75" s="115" t="s">
        <v>151</v>
      </c>
      <c r="E75" s="116" t="s">
        <v>18</v>
      </c>
      <c r="F75" s="1130" t="s">
        <v>802</v>
      </c>
      <c r="G75" s="1131"/>
      <c r="H75" s="1132"/>
      <c r="I75" s="184"/>
      <c r="J75" s="184"/>
      <c r="K75" s="184"/>
      <c r="L75" s="185"/>
      <c r="M75" s="204"/>
      <c r="N75" s="167"/>
    </row>
    <row r="76" spans="1:14" ht="38.25" hidden="1" customHeight="1" outlineLevel="1" x14ac:dyDescent="0.35">
      <c r="A76" s="104"/>
      <c r="B76" s="191"/>
      <c r="C76" s="194"/>
      <c r="D76" s="115" t="s">
        <v>789</v>
      </c>
      <c r="E76" s="116" t="s">
        <v>18</v>
      </c>
      <c r="F76" s="1130" t="s">
        <v>803</v>
      </c>
      <c r="G76" s="1131"/>
      <c r="H76" s="1132"/>
      <c r="I76" s="186"/>
      <c r="J76" s="186"/>
      <c r="K76" s="186"/>
      <c r="L76" s="185"/>
      <c r="M76" s="205"/>
    </row>
    <row r="77" spans="1:14" ht="25.5" hidden="1" customHeight="1" outlineLevel="1" x14ac:dyDescent="0.35">
      <c r="A77" s="104"/>
      <c r="B77" s="191"/>
      <c r="C77" s="194"/>
      <c r="D77" s="115" t="s">
        <v>790</v>
      </c>
      <c r="E77" s="116" t="s">
        <v>18</v>
      </c>
      <c r="F77" s="1130" t="s">
        <v>804</v>
      </c>
      <c r="G77" s="1131"/>
      <c r="H77" s="1132"/>
      <c r="I77" s="186"/>
      <c r="J77" s="186"/>
      <c r="K77" s="186"/>
      <c r="L77" s="185"/>
      <c r="M77" s="205"/>
    </row>
    <row r="78" spans="1:14" ht="25.5" hidden="1" customHeight="1" outlineLevel="1" x14ac:dyDescent="0.35">
      <c r="A78" s="104"/>
      <c r="B78" s="191"/>
      <c r="C78" s="194"/>
      <c r="D78" s="115" t="s">
        <v>791</v>
      </c>
      <c r="E78" s="116" t="s">
        <v>18</v>
      </c>
      <c r="F78" s="1130" t="s">
        <v>805</v>
      </c>
      <c r="G78" s="1131"/>
      <c r="H78" s="1132"/>
      <c r="I78" s="186"/>
      <c r="J78" s="186"/>
      <c r="K78" s="186"/>
      <c r="L78" s="185"/>
      <c r="M78" s="205"/>
    </row>
    <row r="79" spans="1:14" hidden="1" outlineLevel="1" x14ac:dyDescent="0.35">
      <c r="A79" s="112"/>
      <c r="B79" s="192"/>
      <c r="C79" s="195"/>
      <c r="D79" s="1168"/>
      <c r="E79" s="1169"/>
      <c r="F79" s="1169"/>
      <c r="G79" s="1169"/>
      <c r="H79" s="1169"/>
      <c r="I79" s="1169"/>
      <c r="J79" s="1170"/>
      <c r="K79" s="663"/>
      <c r="L79" s="187"/>
      <c r="M79" s="206"/>
    </row>
    <row r="80" spans="1:14" ht="15" hidden="1" outlineLevel="1" thickBot="1" x14ac:dyDescent="0.4">
      <c r="A80" s="104"/>
      <c r="B80" s="193"/>
      <c r="C80" s="196"/>
      <c r="D80" s="197"/>
      <c r="E80" s="198"/>
      <c r="F80" s="199"/>
      <c r="G80" s="199"/>
      <c r="H80" s="196"/>
      <c r="I80" s="196"/>
      <c r="J80" s="196"/>
      <c r="K80" s="196"/>
      <c r="L80" s="200"/>
      <c r="M80" s="201"/>
    </row>
    <row r="81" spans="1:14" hidden="1" outlineLevel="1" x14ac:dyDescent="0.35"/>
    <row r="82" spans="1:14" s="586" customFormat="1" collapsed="1" x14ac:dyDescent="0.35">
      <c r="F82" s="587"/>
      <c r="G82" s="587"/>
      <c r="H82" s="587"/>
      <c r="I82" s="587"/>
      <c r="J82" s="587"/>
      <c r="K82" s="587"/>
      <c r="L82" s="588"/>
      <c r="M82" s="589"/>
    </row>
    <row r="83" spans="1:14" ht="15" hidden="1" outlineLevel="1" thickBot="1" x14ac:dyDescent="0.4">
      <c r="L83" s="167"/>
    </row>
    <row r="84" spans="1:14" ht="15.75" hidden="1" customHeight="1" outlineLevel="1" x14ac:dyDescent="0.35">
      <c r="A84" s="104"/>
      <c r="B84" s="189"/>
      <c r="C84" s="1174" t="s">
        <v>709</v>
      </c>
      <c r="D84" s="1174"/>
      <c r="E84" s="1174"/>
      <c r="F84" s="1174"/>
      <c r="G84" s="1174"/>
      <c r="H84" s="1174"/>
      <c r="I84" s="1175"/>
      <c r="J84" s="207"/>
      <c r="K84" s="207"/>
      <c r="L84" s="207"/>
      <c r="M84" s="202"/>
    </row>
    <row r="85" spans="1:14" hidden="1" outlineLevel="1" x14ac:dyDescent="0.35">
      <c r="A85" s="110"/>
      <c r="B85" s="190"/>
      <c r="C85" s="1176"/>
      <c r="D85" s="1176"/>
      <c r="E85" s="1176"/>
      <c r="F85" s="1176"/>
      <c r="G85" s="1176"/>
      <c r="H85" s="1176"/>
      <c r="I85" s="1177"/>
      <c r="J85" s="111" t="s">
        <v>8</v>
      </c>
      <c r="K85" s="111"/>
      <c r="L85" s="111"/>
      <c r="M85" s="203"/>
    </row>
    <row r="86" spans="1:14" hidden="1" outlineLevel="1" x14ac:dyDescent="0.35">
      <c r="A86" s="104"/>
      <c r="B86" s="191"/>
      <c r="C86" s="194"/>
      <c r="D86" s="1178" t="s">
        <v>100</v>
      </c>
      <c r="E86" s="1179"/>
      <c r="F86" s="1179"/>
      <c r="G86" s="1179"/>
      <c r="H86" s="1180"/>
      <c r="I86" s="662" t="s">
        <v>101</v>
      </c>
      <c r="J86" s="662" t="s">
        <v>102</v>
      </c>
      <c r="K86" s="662" t="s">
        <v>118</v>
      </c>
      <c r="L86" s="188" t="s">
        <v>236</v>
      </c>
      <c r="M86" s="204"/>
    </row>
    <row r="87" spans="1:14" hidden="1" outlineLevel="1" x14ac:dyDescent="0.35">
      <c r="A87" s="104"/>
      <c r="B87" s="191"/>
      <c r="C87" s="194"/>
      <c r="D87" s="113"/>
      <c r="E87" s="114" t="s">
        <v>9</v>
      </c>
      <c r="F87" s="1139"/>
      <c r="G87" s="1140"/>
      <c r="H87" s="1141"/>
      <c r="I87" s="184"/>
      <c r="J87" s="184"/>
      <c r="K87" s="184"/>
      <c r="L87" s="185"/>
      <c r="M87" s="204"/>
      <c r="N87" s="167"/>
    </row>
    <row r="88" spans="1:14" ht="25.5" hidden="1" customHeight="1" outlineLevel="1" x14ac:dyDescent="0.35">
      <c r="A88" s="104"/>
      <c r="B88" s="191"/>
      <c r="C88" s="194"/>
      <c r="D88" s="115" t="s">
        <v>10</v>
      </c>
      <c r="E88" s="116" t="s">
        <v>18</v>
      </c>
      <c r="F88" s="1130" t="s">
        <v>710</v>
      </c>
      <c r="G88" s="1131"/>
      <c r="H88" s="1132"/>
      <c r="I88" s="186"/>
      <c r="J88" s="186"/>
      <c r="K88" s="186"/>
      <c r="L88" s="185"/>
      <c r="M88" s="205"/>
    </row>
    <row r="89" spans="1:14" ht="25.5" hidden="1" customHeight="1" outlineLevel="1" x14ac:dyDescent="0.35">
      <c r="A89" s="104"/>
      <c r="B89" s="191"/>
      <c r="C89" s="194"/>
      <c r="D89" s="115" t="s">
        <v>11</v>
      </c>
      <c r="E89" s="116" t="s">
        <v>18</v>
      </c>
      <c r="F89" s="1130" t="s">
        <v>711</v>
      </c>
      <c r="G89" s="1131"/>
      <c r="H89" s="1132"/>
      <c r="I89" s="186"/>
      <c r="J89" s="186"/>
      <c r="K89" s="186"/>
      <c r="L89" s="185"/>
      <c r="M89" s="205"/>
    </row>
    <row r="90" spans="1:14" ht="25.5" hidden="1" customHeight="1" outlineLevel="1" x14ac:dyDescent="0.35">
      <c r="A90" s="104"/>
      <c r="B90" s="191"/>
      <c r="C90" s="194"/>
      <c r="D90" s="115" t="s">
        <v>12</v>
      </c>
      <c r="E90" s="116" t="s">
        <v>18</v>
      </c>
      <c r="F90" s="1130" t="s">
        <v>712</v>
      </c>
      <c r="G90" s="1131"/>
      <c r="H90" s="1132"/>
      <c r="I90" s="186"/>
      <c r="J90" s="186"/>
      <c r="K90" s="186"/>
      <c r="L90" s="185"/>
      <c r="M90" s="205"/>
    </row>
    <row r="91" spans="1:14" ht="45.65" hidden="1" customHeight="1" outlineLevel="1" x14ac:dyDescent="0.35">
      <c r="A91" s="104"/>
      <c r="B91" s="191"/>
      <c r="C91" s="194"/>
      <c r="D91" s="115" t="s">
        <v>13</v>
      </c>
      <c r="E91" s="116" t="s">
        <v>18</v>
      </c>
      <c r="F91" s="1130" t="s">
        <v>713</v>
      </c>
      <c r="G91" s="1131"/>
      <c r="H91" s="1132"/>
      <c r="I91" s="186"/>
      <c r="J91" s="186"/>
      <c r="K91" s="186"/>
      <c r="L91" s="185"/>
      <c r="M91" s="205"/>
      <c r="N91" s="160"/>
    </row>
    <row r="92" spans="1:14" hidden="1" outlineLevel="1" x14ac:dyDescent="0.35">
      <c r="A92" s="112"/>
      <c r="B92" s="192"/>
      <c r="C92" s="195"/>
      <c r="D92" s="1168"/>
      <c r="E92" s="1169"/>
      <c r="F92" s="1169"/>
      <c r="G92" s="1169"/>
      <c r="H92" s="1169"/>
      <c r="I92" s="1169"/>
      <c r="J92" s="1170"/>
      <c r="K92" s="663"/>
      <c r="L92" s="187"/>
      <c r="M92" s="206"/>
    </row>
    <row r="93" spans="1:14" ht="15" hidden="1" outlineLevel="1" thickBot="1" x14ac:dyDescent="0.4">
      <c r="A93" s="104"/>
      <c r="B93" s="193"/>
      <c r="C93" s="196"/>
      <c r="D93" s="197"/>
      <c r="E93" s="198"/>
      <c r="F93" s="199"/>
      <c r="G93" s="199"/>
      <c r="H93" s="196"/>
      <c r="I93" s="196"/>
      <c r="J93" s="196"/>
      <c r="K93" s="196"/>
      <c r="L93" s="200"/>
      <c r="M93" s="201"/>
    </row>
    <row r="94" spans="1:14" hidden="1" outlineLevel="1" x14ac:dyDescent="0.35"/>
    <row r="95" spans="1:14" s="586" customFormat="1" collapsed="1" x14ac:dyDescent="0.35">
      <c r="F95" s="587"/>
      <c r="G95" s="587"/>
      <c r="H95" s="587"/>
      <c r="I95" s="587"/>
      <c r="J95" s="587"/>
      <c r="K95" s="587"/>
      <c r="L95" s="588"/>
      <c r="M95" s="589"/>
    </row>
  </sheetData>
  <mergeCells count="49">
    <mergeCell ref="F90:H90"/>
    <mergeCell ref="F91:H91"/>
    <mergeCell ref="D92:J92"/>
    <mergeCell ref="F67:H67"/>
    <mergeCell ref="F68:H68"/>
    <mergeCell ref="F69:H69"/>
    <mergeCell ref="F70:H70"/>
    <mergeCell ref="F71:H71"/>
    <mergeCell ref="F72:H72"/>
    <mergeCell ref="F73:H73"/>
    <mergeCell ref="F74:H74"/>
    <mergeCell ref="F75:H75"/>
    <mergeCell ref="C84:I85"/>
    <mergeCell ref="D86:H86"/>
    <mergeCell ref="F87:H87"/>
    <mergeCell ref="F88:H88"/>
    <mergeCell ref="F89:H89"/>
    <mergeCell ref="F78:H78"/>
    <mergeCell ref="D79:J79"/>
    <mergeCell ref="C63:I64"/>
    <mergeCell ref="D65:H65"/>
    <mergeCell ref="F66:H66"/>
    <mergeCell ref="F76:H76"/>
    <mergeCell ref="F77:H77"/>
    <mergeCell ref="F3:H6"/>
    <mergeCell ref="C20:I21"/>
    <mergeCell ref="F25:H25"/>
    <mergeCell ref="F26:H26"/>
    <mergeCell ref="F24:H24"/>
    <mergeCell ref="D22:H22"/>
    <mergeCell ref="F23:H23"/>
    <mergeCell ref="D28:J28"/>
    <mergeCell ref="F27:H27"/>
    <mergeCell ref="C41:I42"/>
    <mergeCell ref="D43:H43"/>
    <mergeCell ref="F44:H44"/>
    <mergeCell ref="F45:H45"/>
    <mergeCell ref="F46:H46"/>
    <mergeCell ref="F52:H52"/>
    <mergeCell ref="D57:J57"/>
    <mergeCell ref="F47:H47"/>
    <mergeCell ref="F48:H48"/>
    <mergeCell ref="F49:H49"/>
    <mergeCell ref="F50:H50"/>
    <mergeCell ref="F51:H51"/>
    <mergeCell ref="F53:H53"/>
    <mergeCell ref="F54:H54"/>
    <mergeCell ref="F55:H55"/>
    <mergeCell ref="F56:H56"/>
  </mergeCells>
  <phoneticPr fontId="131" type="noConversion"/>
  <conditionalFormatting sqref="L83">
    <cfRule type="cellIs" dxfId="44" priority="3" operator="equal">
      <formula>"KO"</formula>
    </cfRule>
    <cfRule type="cellIs" dxfId="43" priority="4" operator="equal">
      <formula>"OK"</formula>
    </cfRule>
  </conditionalFormatting>
  <conditionalFormatting sqref="N23 L40 L59:L62">
    <cfRule type="cellIs" dxfId="42" priority="31" operator="equal">
      <formula>"KO"</formula>
    </cfRule>
    <cfRule type="cellIs" dxfId="41" priority="34" operator="equal">
      <formula>"OK"</formula>
    </cfRule>
  </conditionalFormatting>
  <conditionalFormatting sqref="N66:N75">
    <cfRule type="cellIs" dxfId="40" priority="5" operator="equal">
      <formula>"KO"</formula>
    </cfRule>
    <cfRule type="cellIs" dxfId="39" priority="6" operator="equal">
      <formula>"OK"</formula>
    </cfRule>
  </conditionalFormatting>
  <conditionalFormatting sqref="N87">
    <cfRule type="cellIs" dxfId="38" priority="1" operator="equal">
      <formula>"KO"</formula>
    </cfRule>
    <cfRule type="cellIs" dxfId="37" priority="2" operator="equal">
      <formula>"OK"</formula>
    </cfRule>
  </conditionalFormatting>
  <pageMargins left="0.19685039370078741" right="0.19685039370078741" top="0.74803149606299213" bottom="0.74803149606299213" header="0.31496062992125984" footer="0.31496062992125984"/>
  <pageSetup paperSize="9" scale="40"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0" tint="-0.249977111117893"/>
  </sheetPr>
  <dimension ref="A1:Q27"/>
  <sheetViews>
    <sheetView showGridLines="0" view="pageBreakPreview" zoomScale="80" zoomScaleNormal="92" zoomScaleSheetLayoutView="80" workbookViewId="0">
      <selection activeCell="K22" sqref="K22"/>
    </sheetView>
  </sheetViews>
  <sheetFormatPr defaultColWidth="9.1796875" defaultRowHeight="12.5" x14ac:dyDescent="0.25"/>
  <cols>
    <col min="1" max="1" width="3.453125" customWidth="1"/>
    <col min="2" max="2" width="15.81640625" bestFit="1" customWidth="1"/>
    <col min="3" max="3" width="1.54296875" customWidth="1"/>
    <col min="4" max="4" width="18.1796875" customWidth="1"/>
    <col min="5" max="5" width="41.453125" customWidth="1"/>
    <col min="6" max="6" width="22.54296875" customWidth="1"/>
    <col min="7" max="7" width="12.1796875" bestFit="1" customWidth="1"/>
    <col min="8" max="8" width="3.81640625" customWidth="1"/>
    <col min="9" max="9" width="27.54296875" customWidth="1"/>
    <col min="10" max="10" width="18.54296875" customWidth="1"/>
    <col min="11" max="11" width="22.54296875" customWidth="1"/>
    <col min="12" max="13" width="16.453125" bestFit="1" customWidth="1"/>
    <col min="14" max="14" width="11.54296875" bestFit="1" customWidth="1"/>
    <col min="16" max="16" width="17.81640625" bestFit="1" customWidth="1"/>
    <col min="17" max="17" width="16.7265625" bestFit="1" customWidth="1"/>
  </cols>
  <sheetData>
    <row r="1" spans="1:17" x14ac:dyDescent="0.25">
      <c r="A1" s="157"/>
    </row>
    <row r="4" spans="1:17" ht="14.5" x14ac:dyDescent="0.25">
      <c r="J4" s="350"/>
      <c r="K4" s="144"/>
    </row>
    <row r="5" spans="1:17" ht="14.5" x14ac:dyDescent="0.25">
      <c r="J5" s="350"/>
      <c r="K5" s="144"/>
    </row>
    <row r="6" spans="1:17" ht="14.5" x14ac:dyDescent="0.25">
      <c r="J6" s="350"/>
      <c r="K6" s="144"/>
    </row>
    <row r="9" spans="1:17" ht="13" thickBot="1" x14ac:dyDescent="0.3"/>
    <row r="10" spans="1:17" ht="16.5" customHeight="1" thickBot="1" x14ac:dyDescent="0.4">
      <c r="C10" s="645" t="s">
        <v>218</v>
      </c>
      <c r="D10" s="646"/>
      <c r="E10" s="647"/>
      <c r="F10" s="647"/>
      <c r="G10" s="647"/>
      <c r="H10" s="647"/>
      <c r="I10" s="647"/>
      <c r="J10" s="647"/>
      <c r="K10" s="648"/>
    </row>
    <row r="11" spans="1:17" ht="18" x14ac:dyDescent="0.4">
      <c r="C11" s="118"/>
      <c r="D11" s="119"/>
      <c r="E11" s="118"/>
      <c r="F11" s="118"/>
      <c r="G11" s="118"/>
      <c r="H11" s="118"/>
      <c r="I11" s="118"/>
      <c r="J11" s="118"/>
      <c r="K11" s="118"/>
    </row>
    <row r="12" spans="1:17" ht="14" x14ac:dyDescent="0.25">
      <c r="C12" s="1181" t="s">
        <v>88</v>
      </c>
      <c r="D12" s="1182"/>
      <c r="E12" s="1182"/>
      <c r="F12" s="1183"/>
      <c r="G12" s="120"/>
      <c r="H12" s="1184" t="s">
        <v>89</v>
      </c>
      <c r="I12" s="1185" t="s">
        <v>19</v>
      </c>
      <c r="J12" s="1185"/>
      <c r="K12" s="1186" t="s">
        <v>1</v>
      </c>
    </row>
    <row r="13" spans="1:17" ht="14" x14ac:dyDescent="0.25">
      <c r="C13" s="131"/>
      <c r="D13" s="132"/>
      <c r="E13" s="133"/>
      <c r="F13" s="134"/>
      <c r="G13" s="121"/>
      <c r="H13" s="900"/>
      <c r="I13" s="492" t="s">
        <v>683</v>
      </c>
      <c r="J13" s="126"/>
      <c r="K13" s="894">
        <f>'11 - Notes Follow-up'!G24</f>
        <v>633803781.08000004</v>
      </c>
      <c r="L13" s="3"/>
      <c r="M13" s="3"/>
      <c r="N13" s="3"/>
    </row>
    <row r="14" spans="1:17" ht="14" x14ac:dyDescent="0.3">
      <c r="B14" s="3"/>
      <c r="C14" s="135"/>
      <c r="D14" s="838" t="s">
        <v>684</v>
      </c>
      <c r="E14" s="122"/>
      <c r="F14" s="136">
        <f>'03 - Monthly Asset Follow up'!O17+'03 - Monthly Asset Follow up'!AS17+'03 - Monthly Asset Follow up'!BN17+'03 - Monthly Asset Follow up'!CR17</f>
        <v>701391729.3100003</v>
      </c>
      <c r="G14" s="121"/>
      <c r="H14" s="901"/>
      <c r="I14" s="839"/>
      <c r="J14" s="895"/>
      <c r="K14" s="127"/>
      <c r="M14" s="3"/>
      <c r="N14" s="3"/>
    </row>
    <row r="15" spans="1:17" ht="14" x14ac:dyDescent="0.3">
      <c r="C15" s="135"/>
      <c r="D15" s="838" t="str">
        <f>+'03 - Monthly Asset Follow up'!G14</f>
        <v>Recapitalization into the principal outstanding balance</v>
      </c>
      <c r="E15" s="912"/>
      <c r="F15" s="911">
        <f>'03 - Monthly Asset Follow up'!H17+'03 - Monthly Asset Follow up'!H18</f>
        <v>1663.4399999999998</v>
      </c>
      <c r="G15" s="158"/>
      <c r="H15" s="901"/>
      <c r="I15" s="839" t="s">
        <v>703</v>
      </c>
      <c r="J15" s="895"/>
      <c r="K15" s="896">
        <f>'11 - Notes Follow-up'!O24</f>
        <v>67585000</v>
      </c>
      <c r="M15" s="3"/>
      <c r="P15" s="157"/>
      <c r="Q15" s="3"/>
    </row>
    <row r="16" spans="1:17" ht="14" x14ac:dyDescent="0.3">
      <c r="C16" s="137"/>
      <c r="D16" s="838"/>
      <c r="E16" s="122"/>
      <c r="F16" s="136"/>
      <c r="G16" s="158"/>
      <c r="H16" s="901"/>
      <c r="I16" s="839"/>
      <c r="J16" s="895"/>
      <c r="K16" s="910"/>
      <c r="M16" s="3"/>
    </row>
    <row r="17" spans="2:13" ht="14" x14ac:dyDescent="0.3">
      <c r="C17" s="137"/>
      <c r="D17" s="838"/>
      <c r="E17" s="122"/>
      <c r="F17" s="136"/>
      <c r="G17" s="158"/>
      <c r="H17" s="901"/>
      <c r="I17" s="839" t="s">
        <v>1498</v>
      </c>
      <c r="J17" s="895"/>
      <c r="K17" s="896">
        <v>14.37</v>
      </c>
      <c r="L17" s="4"/>
      <c r="M17" s="3"/>
    </row>
    <row r="18" spans="2:13" ht="14" x14ac:dyDescent="0.3">
      <c r="C18" s="137"/>
      <c r="D18" s="838" t="s">
        <v>230</v>
      </c>
      <c r="E18" s="122"/>
      <c r="F18" s="136">
        <f>'13 - Issuer Account'!I26</f>
        <v>0</v>
      </c>
      <c r="G18" s="121"/>
      <c r="H18" s="901"/>
      <c r="I18" s="839"/>
      <c r="J18" s="895"/>
      <c r="K18" s="127"/>
    </row>
    <row r="19" spans="2:13" ht="14" x14ac:dyDescent="0.3">
      <c r="C19" s="137"/>
      <c r="D19" s="493" t="s">
        <v>686</v>
      </c>
      <c r="E19" s="122"/>
      <c r="F19" s="136">
        <f>'13 - Issuer Account'!I36</f>
        <v>0</v>
      </c>
      <c r="G19" s="121"/>
      <c r="H19" s="902"/>
      <c r="I19" s="839" t="s">
        <v>248</v>
      </c>
      <c r="J19" s="897"/>
      <c r="K19" s="896">
        <f>'11 - Notes Follow-up'!V24</f>
        <v>300</v>
      </c>
    </row>
    <row r="20" spans="2:13" ht="14" x14ac:dyDescent="0.25">
      <c r="B20" s="3"/>
      <c r="C20" s="138"/>
      <c r="D20" s="838" t="s">
        <v>231</v>
      </c>
      <c r="E20" s="123"/>
      <c r="F20" s="136">
        <f>'13 - Issuer Account'!I61</f>
        <v>9754251.5420999993</v>
      </c>
      <c r="G20" s="124"/>
      <c r="H20" s="902"/>
      <c r="J20" s="127"/>
      <c r="K20" s="127"/>
    </row>
    <row r="21" spans="2:13" ht="14" x14ac:dyDescent="0.25">
      <c r="C21" s="138"/>
      <c r="D21" s="838" t="s">
        <v>685</v>
      </c>
      <c r="E21" s="123"/>
      <c r="F21" s="136">
        <f>'13 - Issuer Account'!I48</f>
        <v>0</v>
      </c>
      <c r="G21" s="124"/>
      <c r="H21" s="902"/>
      <c r="I21" s="839" t="s">
        <v>1465</v>
      </c>
      <c r="J21" s="897"/>
      <c r="K21" s="896">
        <f>'13 - Issuer Account'!I61+2633.86</f>
        <v>9756885.4020999987</v>
      </c>
    </row>
    <row r="22" spans="2:13" ht="15.5" x14ac:dyDescent="0.25">
      <c r="C22" s="142"/>
      <c r="D22" s="139"/>
      <c r="E22" s="140"/>
      <c r="F22" s="141"/>
      <c r="G22" s="125"/>
      <c r="H22" s="128"/>
      <c r="I22" s="903"/>
      <c r="J22" s="898"/>
      <c r="K22" s="899"/>
    </row>
    <row r="23" spans="2:13" ht="15.5" x14ac:dyDescent="0.25">
      <c r="D23" s="143" t="s">
        <v>2</v>
      </c>
      <c r="E23" s="143"/>
      <c r="F23" s="840">
        <f>F14+F19+F20+F18+F21</f>
        <v>711145980.85210025</v>
      </c>
      <c r="G23" s="118"/>
      <c r="H23" s="129"/>
      <c r="I23" s="130" t="s">
        <v>2</v>
      </c>
      <c r="J23" s="130"/>
      <c r="K23" s="841">
        <f>K13+K15+K19+K21+K17</f>
        <v>711145980.85210001</v>
      </c>
      <c r="L23" s="3">
        <f>F23-K23</f>
        <v>0</v>
      </c>
    </row>
    <row r="24" spans="2:13" x14ac:dyDescent="0.25">
      <c r="I24" s="3"/>
      <c r="J24" s="3"/>
      <c r="K24" s="3"/>
    </row>
    <row r="25" spans="2:13" x14ac:dyDescent="0.25">
      <c r="I25" s="3"/>
      <c r="K25" s="3"/>
    </row>
    <row r="26" spans="2:13" x14ac:dyDescent="0.25">
      <c r="G26" s="3"/>
      <c r="I26" s="3"/>
    </row>
    <row r="27" spans="2:13" x14ac:dyDescent="0.25">
      <c r="F27" s="3"/>
    </row>
  </sheetData>
  <mergeCells count="2">
    <mergeCell ref="C12:F12"/>
    <mergeCell ref="H12:K12"/>
  </mergeCells>
  <pageMargins left="0.7" right="0.7" top="0.75" bottom="0.75" header="0.3" footer="0.3"/>
  <pageSetup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0" tint="-0.249977111117893"/>
  </sheetPr>
  <dimension ref="A1:M370"/>
  <sheetViews>
    <sheetView showGridLines="0" zoomScale="80" zoomScaleNormal="80" workbookViewId="0">
      <selection activeCell="K42" sqref="K42"/>
    </sheetView>
  </sheetViews>
  <sheetFormatPr defaultColWidth="11.453125" defaultRowHeight="14.5" x14ac:dyDescent="0.35"/>
  <cols>
    <col min="1" max="1" width="11.453125" style="8"/>
    <col min="2" max="2" width="30.453125" style="8" bestFit="1" customWidth="1"/>
    <col min="3" max="3" width="3" style="8" customWidth="1"/>
    <col min="4" max="4" width="34.54296875" style="8" customWidth="1"/>
    <col min="5" max="5" width="34" style="8" customWidth="1"/>
    <col min="6" max="6" width="24.453125" style="8" bestFit="1" customWidth="1"/>
    <col min="7" max="7" width="25.1796875" style="8" customWidth="1"/>
    <col min="8" max="8" width="30.54296875" style="8" customWidth="1"/>
    <col min="9" max="9" width="31.1796875" style="8" customWidth="1"/>
    <col min="10" max="10" width="24.81640625" style="8" customWidth="1"/>
    <col min="11" max="11" width="25.1796875" style="9" customWidth="1"/>
    <col min="12" max="12" width="25.1796875" style="8" customWidth="1"/>
    <col min="13" max="16384" width="11.453125" style="8"/>
  </cols>
  <sheetData>
    <row r="1" spans="2:11" ht="21.75" customHeight="1" x14ac:dyDescent="0.35">
      <c r="K1" s="8"/>
    </row>
    <row r="2" spans="2:11" x14ac:dyDescent="0.35">
      <c r="K2" s="8"/>
    </row>
    <row r="3" spans="2:11" x14ac:dyDescent="0.35">
      <c r="K3" s="8"/>
    </row>
    <row r="4" spans="2:11" x14ac:dyDescent="0.35">
      <c r="K4" s="8"/>
    </row>
    <row r="5" spans="2:11" x14ac:dyDescent="0.35">
      <c r="K5" s="8"/>
    </row>
    <row r="7" spans="2:11" x14ac:dyDescent="0.35">
      <c r="B7" s="1104" t="s">
        <v>215</v>
      </c>
      <c r="C7" s="1104"/>
      <c r="D7" s="1104"/>
      <c r="E7" s="1104"/>
      <c r="F7" s="1104"/>
      <c r="G7" s="1104"/>
      <c r="H7" s="1104"/>
      <c r="I7" s="1104"/>
      <c r="J7" s="9"/>
    </row>
    <row r="8" spans="2:11" ht="15" thickBot="1" x14ac:dyDescent="0.4"/>
    <row r="9" spans="2:11" ht="15" thickBot="1" x14ac:dyDescent="0.4">
      <c r="B9" s="345" t="s">
        <v>130</v>
      </c>
      <c r="D9" s="345">
        <v>1</v>
      </c>
    </row>
    <row r="11" spans="2:11" ht="15" thickBot="1" x14ac:dyDescent="0.4"/>
    <row r="12" spans="2:11" ht="63" customHeight="1" thickTop="1" thickBot="1" x14ac:dyDescent="0.4">
      <c r="B12" s="653" t="s">
        <v>135</v>
      </c>
      <c r="C12" s="342"/>
      <c r="D12" s="1192"/>
      <c r="E12" s="1193"/>
    </row>
    <row r="13" spans="2:11" ht="16.5" customHeight="1" thickTop="1" thickBot="1" x14ac:dyDescent="0.4">
      <c r="B13" s="343"/>
      <c r="C13" s="343"/>
      <c r="D13" s="343"/>
      <c r="E13" s="343"/>
      <c r="F13" s="292"/>
    </row>
    <row r="14" spans="2:11" ht="15" customHeight="1" x14ac:dyDescent="0.35">
      <c r="B14" s="649" t="s">
        <v>666</v>
      </c>
      <c r="C14" s="344"/>
      <c r="D14" s="1189" t="s">
        <v>667</v>
      </c>
      <c r="E14" s="1189"/>
      <c r="K14" s="8"/>
    </row>
    <row r="15" spans="2:11" ht="15" customHeight="1" x14ac:dyDescent="0.35">
      <c r="B15" s="650" t="s">
        <v>671</v>
      </c>
      <c r="C15" s="344"/>
      <c r="D15" s="1194" t="s">
        <v>672</v>
      </c>
      <c r="E15" s="1194"/>
      <c r="K15" s="8"/>
    </row>
    <row r="16" spans="2:11" x14ac:dyDescent="0.35">
      <c r="B16" s="651" t="s">
        <v>132</v>
      </c>
      <c r="C16" s="342"/>
      <c r="D16" s="1190">
        <v>45268</v>
      </c>
      <c r="E16" s="1191"/>
      <c r="K16" s="290"/>
    </row>
    <row r="17" spans="1:13" x14ac:dyDescent="0.35">
      <c r="B17" s="651" t="s">
        <v>131</v>
      </c>
      <c r="C17" s="343"/>
      <c r="D17" s="1190">
        <v>45268</v>
      </c>
      <c r="E17" s="1191"/>
      <c r="K17" s="290"/>
    </row>
    <row r="18" spans="1:13" ht="72" customHeight="1" x14ac:dyDescent="0.35">
      <c r="B18" s="651" t="s">
        <v>665</v>
      </c>
      <c r="C18" s="343"/>
      <c r="D18" s="1197" t="s">
        <v>668</v>
      </c>
      <c r="E18" s="1198"/>
      <c r="F18" s="291"/>
      <c r="K18" s="8"/>
    </row>
    <row r="19" spans="1:13" ht="72" customHeight="1" x14ac:dyDescent="0.35">
      <c r="B19" s="651" t="s">
        <v>669</v>
      </c>
      <c r="C19" s="343"/>
      <c r="D19" s="1197" t="s">
        <v>668</v>
      </c>
      <c r="E19" s="1198"/>
      <c r="F19" s="291"/>
      <c r="K19" s="8"/>
    </row>
    <row r="20" spans="1:13" ht="92.25" customHeight="1" x14ac:dyDescent="0.35">
      <c r="B20" s="651" t="s">
        <v>133</v>
      </c>
      <c r="C20" s="343"/>
      <c r="D20" s="1197" t="s">
        <v>659</v>
      </c>
      <c r="E20" s="1198"/>
      <c r="F20" s="291"/>
      <c r="K20" s="8"/>
    </row>
    <row r="21" spans="1:13" ht="45.75" customHeight="1" x14ac:dyDescent="0.35">
      <c r="B21" s="651" t="s">
        <v>655</v>
      </c>
      <c r="C21" s="343"/>
      <c r="D21" s="1197" t="s">
        <v>1416</v>
      </c>
      <c r="E21" s="1198"/>
      <c r="F21" s="291"/>
      <c r="K21" s="8"/>
    </row>
    <row r="22" spans="1:13" ht="45.75" customHeight="1" x14ac:dyDescent="0.35">
      <c r="B22" s="651" t="s">
        <v>94</v>
      </c>
      <c r="C22" s="343"/>
      <c r="D22" s="1197" t="s">
        <v>1417</v>
      </c>
      <c r="E22" s="1198"/>
      <c r="F22" s="291"/>
    </row>
    <row r="23" spans="1:13" ht="45.75" customHeight="1" x14ac:dyDescent="0.35">
      <c r="B23" s="651" t="s">
        <v>673</v>
      </c>
      <c r="C23" s="343"/>
      <c r="D23" s="1197" t="s">
        <v>720</v>
      </c>
      <c r="E23" s="1198"/>
      <c r="F23" s="291"/>
    </row>
    <row r="24" spans="1:13" ht="45.75" customHeight="1" x14ac:dyDescent="0.35">
      <c r="B24" s="651" t="s">
        <v>674</v>
      </c>
      <c r="C24" s="343"/>
      <c r="D24" s="1197" t="s">
        <v>1418</v>
      </c>
      <c r="E24" s="1198"/>
      <c r="F24" s="291"/>
    </row>
    <row r="25" spans="1:13" ht="45.75" customHeight="1" x14ac:dyDescent="0.35">
      <c r="B25" s="651" t="s">
        <v>656</v>
      </c>
      <c r="C25" s="343"/>
      <c r="D25" s="1197" t="s">
        <v>664</v>
      </c>
      <c r="E25" s="1198"/>
      <c r="F25" s="291"/>
    </row>
    <row r="26" spans="1:13" ht="45.75" customHeight="1" thickBot="1" x14ac:dyDescent="0.4">
      <c r="B26" s="651" t="s">
        <v>87</v>
      </c>
      <c r="C26" s="343"/>
      <c r="D26" s="1197" t="s">
        <v>658</v>
      </c>
      <c r="E26" s="1198"/>
      <c r="F26" s="291"/>
      <c r="K26" s="8"/>
    </row>
    <row r="27" spans="1:13" ht="45.65" customHeight="1" x14ac:dyDescent="0.35">
      <c r="B27" s="651" t="s">
        <v>670</v>
      </c>
      <c r="C27" s="343"/>
      <c r="D27" s="1197" t="s">
        <v>1419</v>
      </c>
      <c r="E27" s="1198"/>
      <c r="F27" s="491"/>
      <c r="G27" s="829" t="s">
        <v>677</v>
      </c>
      <c r="H27" s="1187" t="s">
        <v>1420</v>
      </c>
      <c r="I27" s="1188"/>
      <c r="K27" s="8"/>
    </row>
    <row r="28" spans="1:13" ht="45.65" customHeight="1" x14ac:dyDescent="0.35">
      <c r="B28" s="651" t="s">
        <v>675</v>
      </c>
      <c r="C28" s="343"/>
      <c r="D28" s="1197" t="s">
        <v>1421</v>
      </c>
      <c r="E28" s="1198"/>
      <c r="F28" s="490"/>
      <c r="G28" s="830" t="s">
        <v>678</v>
      </c>
      <c r="H28" s="842" t="s">
        <v>1422</v>
      </c>
      <c r="I28" s="843"/>
      <c r="K28" s="8"/>
    </row>
    <row r="29" spans="1:13" ht="45.65" customHeight="1" x14ac:dyDescent="0.35">
      <c r="B29" s="651" t="s">
        <v>676</v>
      </c>
      <c r="C29" s="343"/>
      <c r="D29" s="1197" t="s">
        <v>1423</v>
      </c>
      <c r="E29" s="1198"/>
      <c r="F29" s="490"/>
      <c r="G29" s="830" t="s">
        <v>679</v>
      </c>
      <c r="H29" s="842" t="s">
        <v>680</v>
      </c>
      <c r="I29" s="843"/>
      <c r="K29" s="8"/>
    </row>
    <row r="30" spans="1:13" ht="45.75" customHeight="1" thickBot="1" x14ac:dyDescent="0.4">
      <c r="B30" s="652" t="s">
        <v>173</v>
      </c>
      <c r="C30" s="343"/>
      <c r="D30" s="1195" t="s">
        <v>1424</v>
      </c>
      <c r="E30" s="1196"/>
      <c r="G30" s="831" t="s">
        <v>681</v>
      </c>
      <c r="H30" s="844" t="s">
        <v>682</v>
      </c>
      <c r="I30" s="845"/>
      <c r="K30" s="8"/>
    </row>
    <row r="31" spans="1:13" ht="45.75" customHeight="1" x14ac:dyDescent="0.35">
      <c r="H31" s="664"/>
      <c r="K31" s="8"/>
    </row>
    <row r="32" spans="1:13" s="9" customFormat="1" ht="15" thickBot="1" x14ac:dyDescent="0.4">
      <c r="A32" s="8"/>
      <c r="B32" s="8"/>
      <c r="C32" s="8"/>
      <c r="D32" s="8"/>
      <c r="E32" s="8"/>
      <c r="F32" s="8"/>
      <c r="G32" s="665"/>
      <c r="H32" s="8"/>
      <c r="I32" s="8"/>
      <c r="J32" s="8"/>
      <c r="K32" s="8"/>
      <c r="M32" s="8"/>
    </row>
    <row r="33" spans="1:13" s="9" customFormat="1" ht="25.5" customHeight="1" thickBot="1" x14ac:dyDescent="0.4">
      <c r="A33" s="8"/>
      <c r="B33" s="337" t="s">
        <v>103</v>
      </c>
      <c r="D33" s="654" t="s">
        <v>662</v>
      </c>
      <c r="E33" s="655" t="s">
        <v>663</v>
      </c>
      <c r="F33" s="654" t="s">
        <v>660</v>
      </c>
      <c r="G33" s="655" t="s">
        <v>661</v>
      </c>
      <c r="H33" s="655" t="s">
        <v>655</v>
      </c>
      <c r="I33" s="656" t="s">
        <v>94</v>
      </c>
      <c r="J33" s="656" t="s">
        <v>656</v>
      </c>
      <c r="K33" s="654" t="s">
        <v>87</v>
      </c>
      <c r="M33" s="8"/>
    </row>
    <row r="34" spans="1:13" s="9" customFormat="1" x14ac:dyDescent="0.35">
      <c r="A34" s="8"/>
      <c r="B34" s="336"/>
      <c r="D34" s="489"/>
      <c r="E34" s="293"/>
      <c r="F34" s="293"/>
      <c r="G34" s="293">
        <v>45230</v>
      </c>
      <c r="H34" s="293"/>
      <c r="I34" s="293"/>
      <c r="J34" s="293"/>
      <c r="K34" s="10"/>
      <c r="M34" s="8"/>
    </row>
    <row r="35" spans="1:13" s="9" customFormat="1" x14ac:dyDescent="0.35">
      <c r="A35" s="8"/>
      <c r="B35" s="336"/>
      <c r="D35" s="285"/>
      <c r="E35" s="293"/>
      <c r="F35" s="293">
        <v>45231</v>
      </c>
      <c r="G35" s="293">
        <v>45260</v>
      </c>
      <c r="H35" s="293"/>
      <c r="I35" s="293"/>
      <c r="J35" s="293"/>
      <c r="K35" s="10"/>
      <c r="M35" s="8"/>
    </row>
    <row r="36" spans="1:13" s="9" customFormat="1" x14ac:dyDescent="0.35">
      <c r="A36" s="8"/>
      <c r="B36" s="336"/>
      <c r="D36" s="285"/>
      <c r="E36" s="293"/>
      <c r="F36" s="293">
        <v>45261</v>
      </c>
      <c r="G36" s="293">
        <v>45291</v>
      </c>
      <c r="H36" s="293">
        <v>45306</v>
      </c>
      <c r="I36" s="293"/>
      <c r="J36" s="293"/>
      <c r="K36" s="10"/>
      <c r="M36" s="8"/>
    </row>
    <row r="37" spans="1:13" s="9" customFormat="1" x14ac:dyDescent="0.35">
      <c r="A37" s="8"/>
      <c r="B37" s="336"/>
      <c r="D37" s="285"/>
      <c r="E37" s="293"/>
      <c r="F37" s="293">
        <v>45292</v>
      </c>
      <c r="G37" s="293">
        <v>45322</v>
      </c>
      <c r="H37" s="293">
        <v>45336</v>
      </c>
      <c r="I37" s="293"/>
      <c r="J37" s="293"/>
      <c r="K37" s="10"/>
      <c r="M37" s="8"/>
    </row>
    <row r="38" spans="1:13" s="9" customFormat="1" x14ac:dyDescent="0.35">
      <c r="A38" s="8"/>
      <c r="B38" s="336"/>
      <c r="D38" s="285"/>
      <c r="E38" s="293"/>
      <c r="F38" s="293">
        <v>45323</v>
      </c>
      <c r="G38" s="293">
        <v>45351</v>
      </c>
      <c r="H38" s="293">
        <v>45365</v>
      </c>
      <c r="I38" s="293"/>
      <c r="J38" s="293"/>
      <c r="K38" s="10"/>
      <c r="M38" s="8"/>
    </row>
    <row r="39" spans="1:13" s="9" customFormat="1" x14ac:dyDescent="0.35">
      <c r="A39" s="8"/>
      <c r="B39" s="336">
        <v>1</v>
      </c>
      <c r="D39" s="489">
        <v>45268</v>
      </c>
      <c r="E39" s="293">
        <v>45382</v>
      </c>
      <c r="F39" s="293">
        <v>45352</v>
      </c>
      <c r="G39" s="293">
        <v>45382</v>
      </c>
      <c r="H39" s="293">
        <v>45397</v>
      </c>
      <c r="I39" s="293">
        <v>45401</v>
      </c>
      <c r="J39" s="293">
        <v>45405</v>
      </c>
      <c r="K39" s="10">
        <v>45407</v>
      </c>
      <c r="M39" s="8"/>
    </row>
    <row r="40" spans="1:13" s="9" customFormat="1" x14ac:dyDescent="0.35">
      <c r="A40" s="8"/>
      <c r="B40" s="336"/>
      <c r="D40" s="285" t="s">
        <v>657</v>
      </c>
      <c r="E40" s="293"/>
      <c r="F40" s="293">
        <v>45383</v>
      </c>
      <c r="G40" s="293">
        <v>45412</v>
      </c>
      <c r="H40" s="293">
        <v>45429</v>
      </c>
      <c r="I40" s="293" t="s">
        <v>657</v>
      </c>
      <c r="J40" s="293"/>
      <c r="K40" s="10" t="s">
        <v>657</v>
      </c>
      <c r="M40" s="8"/>
    </row>
    <row r="41" spans="1:13" s="9" customFormat="1" x14ac:dyDescent="0.35">
      <c r="A41" s="8"/>
      <c r="B41" s="336"/>
      <c r="D41" s="285" t="s">
        <v>657</v>
      </c>
      <c r="E41" s="293"/>
      <c r="F41" s="293">
        <v>45413</v>
      </c>
      <c r="G41" s="293">
        <v>45443</v>
      </c>
      <c r="H41" s="293">
        <v>45457</v>
      </c>
      <c r="I41" s="293" t="s">
        <v>657</v>
      </c>
      <c r="J41" s="293"/>
      <c r="K41" s="10" t="s">
        <v>657</v>
      </c>
      <c r="M41" s="8"/>
    </row>
    <row r="42" spans="1:13" s="9" customFormat="1" x14ac:dyDescent="0.35">
      <c r="A42" s="8"/>
      <c r="B42" s="336">
        <v>2</v>
      </c>
      <c r="D42" s="285">
        <v>45383</v>
      </c>
      <c r="E42" s="293">
        <v>45473</v>
      </c>
      <c r="F42" s="293">
        <v>45444</v>
      </c>
      <c r="G42" s="293">
        <v>45473</v>
      </c>
      <c r="H42" s="293">
        <v>45488</v>
      </c>
      <c r="I42" s="293">
        <v>45491</v>
      </c>
      <c r="J42" s="293">
        <v>45496</v>
      </c>
      <c r="K42" s="10">
        <v>45498</v>
      </c>
      <c r="M42" s="8"/>
    </row>
    <row r="43" spans="1:13" s="9" customFormat="1" x14ac:dyDescent="0.35">
      <c r="A43" s="8"/>
      <c r="B43" s="336"/>
      <c r="D43" s="285"/>
      <c r="E43" s="293" t="s">
        <v>657</v>
      </c>
      <c r="F43" s="293">
        <v>45474</v>
      </c>
      <c r="G43" s="293">
        <v>45504</v>
      </c>
      <c r="H43" s="293">
        <v>45520</v>
      </c>
      <c r="I43" s="293" t="s">
        <v>657</v>
      </c>
      <c r="J43" s="293"/>
      <c r="K43" s="10" t="s">
        <v>657</v>
      </c>
      <c r="M43" s="8"/>
    </row>
    <row r="44" spans="1:13" s="9" customFormat="1" x14ac:dyDescent="0.35">
      <c r="A44" s="8"/>
      <c r="B44" s="336"/>
      <c r="D44" s="285"/>
      <c r="E44" s="293" t="s">
        <v>657</v>
      </c>
      <c r="F44" s="293">
        <v>45505</v>
      </c>
      <c r="G44" s="293">
        <v>45535</v>
      </c>
      <c r="H44" s="293">
        <v>45548</v>
      </c>
      <c r="I44" s="293" t="s">
        <v>657</v>
      </c>
      <c r="J44" s="293"/>
      <c r="K44" s="10" t="s">
        <v>657</v>
      </c>
      <c r="M44" s="8"/>
    </row>
    <row r="45" spans="1:13" s="9" customFormat="1" x14ac:dyDescent="0.35">
      <c r="A45" s="8"/>
      <c r="B45" s="336">
        <v>3</v>
      </c>
      <c r="D45" s="285">
        <v>45474</v>
      </c>
      <c r="E45" s="293">
        <v>45565</v>
      </c>
      <c r="F45" s="293">
        <v>45536</v>
      </c>
      <c r="G45" s="293">
        <v>45565</v>
      </c>
      <c r="H45" s="293">
        <v>45580</v>
      </c>
      <c r="I45" s="293">
        <v>45583</v>
      </c>
      <c r="J45" s="293">
        <v>45588</v>
      </c>
      <c r="K45" s="10">
        <v>45590</v>
      </c>
      <c r="M45" s="8"/>
    </row>
    <row r="46" spans="1:13" s="9" customFormat="1" x14ac:dyDescent="0.35">
      <c r="A46" s="8"/>
      <c r="B46" s="336"/>
      <c r="D46" s="285"/>
      <c r="E46" s="293" t="s">
        <v>657</v>
      </c>
      <c r="F46" s="293">
        <v>45566</v>
      </c>
      <c r="G46" s="293">
        <v>45596</v>
      </c>
      <c r="H46" s="293">
        <v>45614</v>
      </c>
      <c r="I46" s="293" t="s">
        <v>657</v>
      </c>
      <c r="J46" s="293"/>
      <c r="K46" s="10" t="s">
        <v>657</v>
      </c>
      <c r="M46" s="8"/>
    </row>
    <row r="47" spans="1:13" s="9" customFormat="1" x14ac:dyDescent="0.35">
      <c r="A47" s="8"/>
      <c r="B47" s="336"/>
      <c r="D47" s="285"/>
      <c r="E47" s="293" t="s">
        <v>657</v>
      </c>
      <c r="F47" s="293">
        <v>45597</v>
      </c>
      <c r="G47" s="293">
        <v>45626</v>
      </c>
      <c r="H47" s="293">
        <v>45639</v>
      </c>
      <c r="I47" s="293" t="s">
        <v>657</v>
      </c>
      <c r="J47" s="293"/>
      <c r="K47" s="10" t="s">
        <v>657</v>
      </c>
      <c r="M47" s="8"/>
    </row>
    <row r="48" spans="1:13" s="9" customFormat="1" x14ac:dyDescent="0.35">
      <c r="A48" s="8"/>
      <c r="B48" s="336">
        <v>4</v>
      </c>
      <c r="D48" s="285">
        <v>45566</v>
      </c>
      <c r="E48" s="293">
        <v>45657</v>
      </c>
      <c r="F48" s="293">
        <v>45627</v>
      </c>
      <c r="G48" s="293">
        <v>45657</v>
      </c>
      <c r="H48" s="293">
        <v>45672</v>
      </c>
      <c r="I48" s="293">
        <v>45678</v>
      </c>
      <c r="J48" s="293">
        <v>45680</v>
      </c>
      <c r="K48" s="10">
        <v>45684</v>
      </c>
      <c r="M48" s="8"/>
    </row>
    <row r="49" spans="1:11" s="9" customFormat="1" x14ac:dyDescent="0.35">
      <c r="A49" s="8"/>
      <c r="B49" s="336"/>
      <c r="D49" s="285"/>
      <c r="E49" s="293" t="s">
        <v>657</v>
      </c>
      <c r="F49" s="293">
        <v>45658</v>
      </c>
      <c r="G49" s="293">
        <v>45688</v>
      </c>
      <c r="H49" s="293">
        <v>45702</v>
      </c>
      <c r="I49" s="293" t="s">
        <v>657</v>
      </c>
      <c r="J49" s="293"/>
      <c r="K49" s="10" t="s">
        <v>657</v>
      </c>
    </row>
    <row r="50" spans="1:11" s="9" customFormat="1" x14ac:dyDescent="0.35">
      <c r="A50" s="8"/>
      <c r="B50" s="336"/>
      <c r="D50" s="285"/>
      <c r="E50" s="293" t="s">
        <v>657</v>
      </c>
      <c r="F50" s="293">
        <v>45689</v>
      </c>
      <c r="G50" s="293">
        <v>45716</v>
      </c>
      <c r="H50" s="293">
        <v>45730</v>
      </c>
      <c r="I50" s="293" t="s">
        <v>657</v>
      </c>
      <c r="J50" s="293"/>
      <c r="K50" s="10" t="s">
        <v>657</v>
      </c>
    </row>
    <row r="51" spans="1:11" s="9" customFormat="1" x14ac:dyDescent="0.35">
      <c r="A51" s="8"/>
      <c r="B51" s="336">
        <v>5</v>
      </c>
      <c r="D51" s="285">
        <v>45658</v>
      </c>
      <c r="E51" s="293">
        <v>45747</v>
      </c>
      <c r="F51" s="293">
        <v>45717</v>
      </c>
      <c r="G51" s="293">
        <v>45747</v>
      </c>
      <c r="H51" s="293">
        <v>45762</v>
      </c>
      <c r="I51" s="293">
        <v>45769</v>
      </c>
      <c r="J51" s="293">
        <v>45770</v>
      </c>
      <c r="K51" s="10">
        <v>45772</v>
      </c>
    </row>
    <row r="52" spans="1:11" s="9" customFormat="1" x14ac:dyDescent="0.35">
      <c r="A52" s="8"/>
      <c r="B52" s="336"/>
      <c r="D52" s="285"/>
      <c r="E52" s="293" t="s">
        <v>657</v>
      </c>
      <c r="F52" s="293">
        <v>45748</v>
      </c>
      <c r="G52" s="293">
        <v>45777</v>
      </c>
      <c r="H52" s="293">
        <v>45793</v>
      </c>
      <c r="I52" s="293" t="s">
        <v>657</v>
      </c>
      <c r="J52" s="293"/>
      <c r="K52" s="10" t="s">
        <v>657</v>
      </c>
    </row>
    <row r="53" spans="1:11" s="9" customFormat="1" x14ac:dyDescent="0.35">
      <c r="A53" s="8"/>
      <c r="B53" s="336"/>
      <c r="D53" s="285"/>
      <c r="E53" s="293" t="s">
        <v>657</v>
      </c>
      <c r="F53" s="293">
        <v>45778</v>
      </c>
      <c r="G53" s="293">
        <v>45808</v>
      </c>
      <c r="H53" s="293">
        <v>45824</v>
      </c>
      <c r="I53" s="293" t="s">
        <v>657</v>
      </c>
      <c r="J53" s="293"/>
      <c r="K53" s="10" t="s">
        <v>657</v>
      </c>
    </row>
    <row r="54" spans="1:11" s="9" customFormat="1" x14ac:dyDescent="0.35">
      <c r="A54" s="8"/>
      <c r="B54" s="336">
        <v>6</v>
      </c>
      <c r="D54" s="285">
        <v>45748</v>
      </c>
      <c r="E54" s="293">
        <v>45838</v>
      </c>
      <c r="F54" s="293">
        <v>45809</v>
      </c>
      <c r="G54" s="293">
        <v>45838</v>
      </c>
      <c r="H54" s="293">
        <v>45854</v>
      </c>
      <c r="I54" s="293">
        <v>45859</v>
      </c>
      <c r="J54" s="293">
        <v>45861</v>
      </c>
      <c r="K54" s="10">
        <v>45863</v>
      </c>
    </row>
    <row r="55" spans="1:11" s="9" customFormat="1" x14ac:dyDescent="0.35">
      <c r="A55" s="8"/>
      <c r="B55" s="336"/>
      <c r="D55" s="285"/>
      <c r="E55" s="293" t="s">
        <v>657</v>
      </c>
      <c r="F55" s="293">
        <v>45839</v>
      </c>
      <c r="G55" s="293">
        <v>45869</v>
      </c>
      <c r="H55" s="293">
        <v>45887</v>
      </c>
      <c r="I55" s="293" t="s">
        <v>657</v>
      </c>
      <c r="J55" s="293"/>
      <c r="K55" s="10" t="s">
        <v>657</v>
      </c>
    </row>
    <row r="56" spans="1:11" s="9" customFormat="1" x14ac:dyDescent="0.35">
      <c r="A56" s="8"/>
      <c r="B56" s="336"/>
      <c r="D56" s="285"/>
      <c r="E56" s="293" t="s">
        <v>657</v>
      </c>
      <c r="F56" s="293">
        <v>45870</v>
      </c>
      <c r="G56" s="293">
        <v>45900</v>
      </c>
      <c r="H56" s="293">
        <v>45915</v>
      </c>
      <c r="I56" s="293" t="s">
        <v>657</v>
      </c>
      <c r="J56" s="293"/>
      <c r="K56" s="10" t="s">
        <v>657</v>
      </c>
    </row>
    <row r="57" spans="1:11" s="9" customFormat="1" x14ac:dyDescent="0.35">
      <c r="A57" s="8"/>
      <c r="B57" s="336">
        <v>7</v>
      </c>
      <c r="D57" s="285">
        <v>45839</v>
      </c>
      <c r="E57" s="293">
        <v>45930</v>
      </c>
      <c r="F57" s="293">
        <v>45901</v>
      </c>
      <c r="G57" s="293">
        <v>45930</v>
      </c>
      <c r="H57" s="293">
        <v>45945</v>
      </c>
      <c r="I57" s="293">
        <v>45950</v>
      </c>
      <c r="J57" s="293">
        <v>45953</v>
      </c>
      <c r="K57" s="10">
        <v>45957</v>
      </c>
    </row>
    <row r="58" spans="1:11" s="9" customFormat="1" x14ac:dyDescent="0.35">
      <c r="A58" s="8"/>
      <c r="B58" s="336"/>
      <c r="D58" s="285"/>
      <c r="E58" s="293" t="s">
        <v>657</v>
      </c>
      <c r="F58" s="293">
        <v>45931</v>
      </c>
      <c r="G58" s="293">
        <v>45961</v>
      </c>
      <c r="H58" s="293">
        <v>45978</v>
      </c>
      <c r="I58" s="293" t="s">
        <v>657</v>
      </c>
      <c r="J58" s="293"/>
      <c r="K58" s="10" t="s">
        <v>657</v>
      </c>
    </row>
    <row r="59" spans="1:11" s="9" customFormat="1" x14ac:dyDescent="0.35">
      <c r="A59" s="8"/>
      <c r="B59" s="336"/>
      <c r="D59" s="285"/>
      <c r="E59" s="293" t="s">
        <v>657</v>
      </c>
      <c r="F59" s="293">
        <v>45962</v>
      </c>
      <c r="G59" s="293">
        <v>45991</v>
      </c>
      <c r="H59" s="293">
        <v>46006</v>
      </c>
      <c r="I59" s="293" t="s">
        <v>657</v>
      </c>
      <c r="J59" s="293"/>
      <c r="K59" s="10" t="s">
        <v>657</v>
      </c>
    </row>
    <row r="60" spans="1:11" s="9" customFormat="1" x14ac:dyDescent="0.35">
      <c r="A60" s="8"/>
      <c r="B60" s="336">
        <v>8</v>
      </c>
      <c r="D60" s="285">
        <v>45931</v>
      </c>
      <c r="E60" s="293">
        <v>46022</v>
      </c>
      <c r="F60" s="293">
        <v>45992</v>
      </c>
      <c r="G60" s="293">
        <v>46022</v>
      </c>
      <c r="H60" s="293">
        <v>46037</v>
      </c>
      <c r="I60" s="293">
        <v>46043</v>
      </c>
      <c r="J60" s="293">
        <v>46045</v>
      </c>
      <c r="K60" s="10">
        <v>46049</v>
      </c>
    </row>
    <row r="61" spans="1:11" s="9" customFormat="1" x14ac:dyDescent="0.35">
      <c r="A61" s="8"/>
      <c r="B61" s="336"/>
      <c r="D61" s="285"/>
      <c r="E61" s="293" t="s">
        <v>657</v>
      </c>
      <c r="F61" s="293">
        <v>46023</v>
      </c>
      <c r="G61" s="293">
        <v>46053</v>
      </c>
      <c r="H61" s="293">
        <v>46066</v>
      </c>
      <c r="I61" s="293" t="s">
        <v>657</v>
      </c>
      <c r="J61" s="293"/>
      <c r="K61" s="10" t="s">
        <v>657</v>
      </c>
    </row>
    <row r="62" spans="1:11" s="9" customFormat="1" x14ac:dyDescent="0.35">
      <c r="A62" s="8"/>
      <c r="B62" s="336"/>
      <c r="D62" s="285"/>
      <c r="E62" s="293" t="s">
        <v>657</v>
      </c>
      <c r="F62" s="293">
        <v>46054</v>
      </c>
      <c r="G62" s="293">
        <v>46081</v>
      </c>
      <c r="H62" s="293">
        <v>46094</v>
      </c>
      <c r="I62" s="293" t="s">
        <v>657</v>
      </c>
      <c r="J62" s="293"/>
      <c r="K62" s="10" t="s">
        <v>657</v>
      </c>
    </row>
    <row r="63" spans="1:11" s="9" customFormat="1" x14ac:dyDescent="0.35">
      <c r="A63" s="8"/>
      <c r="B63" s="336">
        <v>9</v>
      </c>
      <c r="D63" s="285">
        <v>46023</v>
      </c>
      <c r="E63" s="293">
        <v>46112</v>
      </c>
      <c r="F63" s="293">
        <v>46082</v>
      </c>
      <c r="G63" s="293">
        <v>46112</v>
      </c>
      <c r="H63" s="293">
        <v>46129</v>
      </c>
      <c r="I63" s="293">
        <v>46134</v>
      </c>
      <c r="J63" s="293">
        <v>46135</v>
      </c>
      <c r="K63" s="10">
        <v>46139</v>
      </c>
    </row>
    <row r="64" spans="1:11" s="9" customFormat="1" x14ac:dyDescent="0.35">
      <c r="A64" s="8"/>
      <c r="B64" s="336"/>
      <c r="D64" s="285"/>
      <c r="E64" s="293" t="s">
        <v>657</v>
      </c>
      <c r="F64" s="293">
        <v>46113</v>
      </c>
      <c r="G64" s="293">
        <v>46142</v>
      </c>
      <c r="H64" s="293">
        <v>46161</v>
      </c>
      <c r="I64" s="293" t="s">
        <v>657</v>
      </c>
      <c r="J64" s="293"/>
      <c r="K64" s="10" t="s">
        <v>657</v>
      </c>
    </row>
    <row r="65" spans="1:11" s="9" customFormat="1" x14ac:dyDescent="0.35">
      <c r="A65" s="8"/>
      <c r="B65" s="336"/>
      <c r="D65" s="285"/>
      <c r="E65" s="293" t="s">
        <v>657</v>
      </c>
      <c r="F65" s="293">
        <v>46143</v>
      </c>
      <c r="G65" s="293">
        <v>46173</v>
      </c>
      <c r="H65" s="293">
        <v>46188</v>
      </c>
      <c r="I65" s="293" t="s">
        <v>657</v>
      </c>
      <c r="J65" s="293"/>
      <c r="K65" s="10" t="s">
        <v>657</v>
      </c>
    </row>
    <row r="66" spans="1:11" s="9" customFormat="1" x14ac:dyDescent="0.35">
      <c r="A66" s="8"/>
      <c r="B66" s="336">
        <v>10</v>
      </c>
      <c r="D66" s="285">
        <v>46113</v>
      </c>
      <c r="E66" s="293">
        <v>46203</v>
      </c>
      <c r="F66" s="293">
        <v>46174</v>
      </c>
      <c r="G66" s="293">
        <v>46203</v>
      </c>
      <c r="H66" s="293">
        <v>46219</v>
      </c>
      <c r="I66" s="293">
        <v>46224</v>
      </c>
      <c r="J66" s="293">
        <v>46226</v>
      </c>
      <c r="K66" s="10">
        <v>46230</v>
      </c>
    </row>
    <row r="67" spans="1:11" s="9" customFormat="1" x14ac:dyDescent="0.35">
      <c r="A67" s="8"/>
      <c r="B67" s="336"/>
      <c r="D67" s="285"/>
      <c r="E67" s="293" t="s">
        <v>657</v>
      </c>
      <c r="F67" s="293">
        <v>46204</v>
      </c>
      <c r="G67" s="293">
        <v>46234</v>
      </c>
      <c r="H67" s="293">
        <v>46248</v>
      </c>
      <c r="I67" s="293" t="s">
        <v>657</v>
      </c>
      <c r="J67" s="293"/>
      <c r="K67" s="10" t="s">
        <v>657</v>
      </c>
    </row>
    <row r="68" spans="1:11" s="9" customFormat="1" x14ac:dyDescent="0.35">
      <c r="A68" s="8"/>
      <c r="B68" s="336"/>
      <c r="D68" s="285"/>
      <c r="E68" s="293" t="s">
        <v>657</v>
      </c>
      <c r="F68" s="293">
        <v>46235</v>
      </c>
      <c r="G68" s="293">
        <v>46265</v>
      </c>
      <c r="H68" s="293">
        <v>46280</v>
      </c>
      <c r="I68" s="293" t="s">
        <v>657</v>
      </c>
      <c r="J68" s="293"/>
      <c r="K68" s="10" t="s">
        <v>657</v>
      </c>
    </row>
    <row r="69" spans="1:11" s="9" customFormat="1" x14ac:dyDescent="0.35">
      <c r="A69" s="8"/>
      <c r="B69" s="336">
        <v>11</v>
      </c>
      <c r="D69" s="285">
        <v>46204</v>
      </c>
      <c r="E69" s="293">
        <v>46295</v>
      </c>
      <c r="F69" s="293">
        <v>46266</v>
      </c>
      <c r="G69" s="293">
        <v>46295</v>
      </c>
      <c r="H69" s="293">
        <v>46310</v>
      </c>
      <c r="I69" s="293">
        <v>46315</v>
      </c>
      <c r="J69" s="293">
        <v>46318</v>
      </c>
      <c r="K69" s="10">
        <v>46322</v>
      </c>
    </row>
    <row r="70" spans="1:11" s="9" customFormat="1" x14ac:dyDescent="0.35">
      <c r="A70" s="8"/>
      <c r="B70" s="336"/>
      <c r="D70" s="285"/>
      <c r="E70" s="293" t="s">
        <v>657</v>
      </c>
      <c r="F70" s="293">
        <v>46296</v>
      </c>
      <c r="G70" s="293">
        <v>46326</v>
      </c>
      <c r="H70" s="293">
        <v>46342</v>
      </c>
      <c r="I70" s="293" t="s">
        <v>657</v>
      </c>
      <c r="J70" s="293"/>
      <c r="K70" s="10" t="s">
        <v>657</v>
      </c>
    </row>
    <row r="71" spans="1:11" s="9" customFormat="1" x14ac:dyDescent="0.35">
      <c r="A71" s="8"/>
      <c r="B71" s="336"/>
      <c r="D71" s="285"/>
      <c r="E71" s="293" t="s">
        <v>657</v>
      </c>
      <c r="F71" s="293">
        <v>46327</v>
      </c>
      <c r="G71" s="293">
        <v>46356</v>
      </c>
      <c r="H71" s="293">
        <v>46371</v>
      </c>
      <c r="I71" s="293" t="s">
        <v>657</v>
      </c>
      <c r="J71" s="293"/>
      <c r="K71" s="10" t="s">
        <v>657</v>
      </c>
    </row>
    <row r="72" spans="1:11" s="9" customFormat="1" x14ac:dyDescent="0.35">
      <c r="A72" s="8"/>
      <c r="B72" s="336">
        <v>12</v>
      </c>
      <c r="D72" s="285">
        <v>46296</v>
      </c>
      <c r="E72" s="293">
        <v>46387</v>
      </c>
      <c r="F72" s="293">
        <v>46357</v>
      </c>
      <c r="G72" s="293">
        <v>46387</v>
      </c>
      <c r="H72" s="293">
        <v>46402</v>
      </c>
      <c r="I72" s="293">
        <v>46408</v>
      </c>
      <c r="J72" s="293">
        <v>46412</v>
      </c>
      <c r="K72" s="10">
        <v>46414</v>
      </c>
    </row>
    <row r="73" spans="1:11" s="9" customFormat="1" x14ac:dyDescent="0.35">
      <c r="A73" s="8"/>
      <c r="B73" s="336"/>
      <c r="D73" s="285"/>
      <c r="E73" s="293" t="s">
        <v>657</v>
      </c>
      <c r="F73" s="293">
        <v>46388</v>
      </c>
      <c r="G73" s="293">
        <v>46418</v>
      </c>
      <c r="H73" s="293">
        <v>46433</v>
      </c>
      <c r="I73" s="293" t="s">
        <v>657</v>
      </c>
      <c r="J73" s="293"/>
      <c r="K73" s="10" t="s">
        <v>657</v>
      </c>
    </row>
    <row r="74" spans="1:11" s="9" customFormat="1" x14ac:dyDescent="0.35">
      <c r="A74" s="8"/>
      <c r="B74" s="336"/>
      <c r="D74" s="285"/>
      <c r="E74" s="293" t="s">
        <v>657</v>
      </c>
      <c r="F74" s="293">
        <v>46419</v>
      </c>
      <c r="G74" s="293">
        <v>46446</v>
      </c>
      <c r="H74" s="293">
        <v>46461</v>
      </c>
      <c r="I74" s="293" t="s">
        <v>657</v>
      </c>
      <c r="J74" s="293"/>
      <c r="K74" s="10" t="s">
        <v>657</v>
      </c>
    </row>
    <row r="75" spans="1:11" s="9" customFormat="1" x14ac:dyDescent="0.35">
      <c r="A75" s="8"/>
      <c r="B75" s="336">
        <v>13</v>
      </c>
      <c r="D75" s="285">
        <v>46388</v>
      </c>
      <c r="E75" s="293">
        <v>46477</v>
      </c>
      <c r="F75" s="293">
        <v>46447</v>
      </c>
      <c r="G75" s="293">
        <v>46477</v>
      </c>
      <c r="H75" s="293">
        <v>46492</v>
      </c>
      <c r="I75" s="293">
        <v>46497</v>
      </c>
      <c r="J75" s="293">
        <v>46500</v>
      </c>
      <c r="K75" s="10">
        <v>46504</v>
      </c>
    </row>
    <row r="76" spans="1:11" x14ac:dyDescent="0.35">
      <c r="B76" s="336"/>
      <c r="D76" s="285"/>
      <c r="E76" s="293" t="s">
        <v>657</v>
      </c>
      <c r="F76" s="293">
        <v>46478</v>
      </c>
      <c r="G76" s="293">
        <v>46507</v>
      </c>
      <c r="H76" s="293">
        <v>46525</v>
      </c>
      <c r="I76" s="293" t="s">
        <v>657</v>
      </c>
      <c r="J76" s="293"/>
      <c r="K76" s="10" t="s">
        <v>657</v>
      </c>
    </row>
    <row r="77" spans="1:11" x14ac:dyDescent="0.35">
      <c r="B77" s="336"/>
      <c r="D77" s="285"/>
      <c r="E77" s="293" t="s">
        <v>657</v>
      </c>
      <c r="F77" s="293">
        <v>46508</v>
      </c>
      <c r="G77" s="293">
        <v>46538</v>
      </c>
      <c r="H77" s="293">
        <v>46553</v>
      </c>
      <c r="I77" s="293" t="s">
        <v>657</v>
      </c>
      <c r="J77" s="293"/>
      <c r="K77" s="10" t="s">
        <v>657</v>
      </c>
    </row>
    <row r="78" spans="1:11" x14ac:dyDescent="0.35">
      <c r="B78" s="336">
        <v>14</v>
      </c>
      <c r="D78" s="285">
        <v>46478</v>
      </c>
      <c r="E78" s="293">
        <v>46568</v>
      </c>
      <c r="F78" s="293">
        <v>46539</v>
      </c>
      <c r="G78" s="293">
        <v>46568</v>
      </c>
      <c r="H78" s="293">
        <v>46584</v>
      </c>
      <c r="I78" s="293">
        <v>46589</v>
      </c>
      <c r="J78" s="293">
        <v>46591</v>
      </c>
      <c r="K78" s="10">
        <v>46595</v>
      </c>
    </row>
    <row r="79" spans="1:11" x14ac:dyDescent="0.35">
      <c r="B79" s="336"/>
      <c r="D79" s="285"/>
      <c r="E79" s="293" t="s">
        <v>657</v>
      </c>
      <c r="F79" s="293">
        <v>46569</v>
      </c>
      <c r="G79" s="293">
        <v>46599</v>
      </c>
      <c r="H79" s="293">
        <v>46612</v>
      </c>
      <c r="I79" s="293" t="s">
        <v>657</v>
      </c>
      <c r="J79" s="293"/>
      <c r="K79" s="10" t="s">
        <v>657</v>
      </c>
    </row>
    <row r="80" spans="1:11" x14ac:dyDescent="0.35">
      <c r="B80" s="336"/>
      <c r="D80" s="285"/>
      <c r="E80" s="293" t="s">
        <v>657</v>
      </c>
      <c r="F80" s="293">
        <v>46600</v>
      </c>
      <c r="G80" s="293">
        <v>46630</v>
      </c>
      <c r="H80" s="293">
        <v>46645</v>
      </c>
      <c r="I80" s="293" t="s">
        <v>657</v>
      </c>
      <c r="J80" s="293"/>
      <c r="K80" s="10" t="s">
        <v>657</v>
      </c>
    </row>
    <row r="81" spans="2:11" x14ac:dyDescent="0.35">
      <c r="B81" s="336">
        <v>15</v>
      </c>
      <c r="D81" s="285">
        <v>46569</v>
      </c>
      <c r="E81" s="293">
        <v>46660</v>
      </c>
      <c r="F81" s="293">
        <v>46631</v>
      </c>
      <c r="G81" s="293">
        <v>46660</v>
      </c>
      <c r="H81" s="293">
        <v>46675</v>
      </c>
      <c r="I81" s="293">
        <v>46680</v>
      </c>
      <c r="J81" s="293">
        <v>46685</v>
      </c>
      <c r="K81" s="10">
        <v>46687</v>
      </c>
    </row>
    <row r="82" spans="2:11" x14ac:dyDescent="0.35">
      <c r="B82" s="336"/>
      <c r="D82" s="285"/>
      <c r="E82" s="293" t="s">
        <v>657</v>
      </c>
      <c r="F82" s="293">
        <v>46661</v>
      </c>
      <c r="G82" s="293">
        <v>46691</v>
      </c>
      <c r="H82" s="293">
        <v>46707</v>
      </c>
      <c r="I82" s="293" t="s">
        <v>657</v>
      </c>
      <c r="J82" s="293"/>
      <c r="K82" s="10" t="s">
        <v>657</v>
      </c>
    </row>
    <row r="83" spans="2:11" x14ac:dyDescent="0.35">
      <c r="B83" s="336"/>
      <c r="D83" s="285"/>
      <c r="E83" s="293" t="s">
        <v>657</v>
      </c>
      <c r="F83" s="293">
        <v>46692</v>
      </c>
      <c r="G83" s="293">
        <v>46721</v>
      </c>
      <c r="H83" s="293">
        <v>46736</v>
      </c>
      <c r="I83" s="293" t="s">
        <v>657</v>
      </c>
      <c r="J83" s="293"/>
      <c r="K83" s="10" t="s">
        <v>657</v>
      </c>
    </row>
    <row r="84" spans="2:11" x14ac:dyDescent="0.35">
      <c r="B84" s="336">
        <v>16</v>
      </c>
      <c r="D84" s="285">
        <v>46661</v>
      </c>
      <c r="E84" s="293">
        <v>46752</v>
      </c>
      <c r="F84" s="293">
        <v>46722</v>
      </c>
      <c r="G84" s="293">
        <v>46752</v>
      </c>
      <c r="H84" s="293">
        <v>46766</v>
      </c>
      <c r="I84" s="293">
        <v>46772</v>
      </c>
      <c r="J84" s="293">
        <v>46776</v>
      </c>
      <c r="K84" s="10">
        <v>46778</v>
      </c>
    </row>
    <row r="85" spans="2:11" x14ac:dyDescent="0.35">
      <c r="B85" s="336"/>
      <c r="D85" s="285"/>
      <c r="E85" s="293" t="s">
        <v>657</v>
      </c>
      <c r="F85" s="293">
        <v>46753</v>
      </c>
      <c r="G85" s="293">
        <v>46783</v>
      </c>
      <c r="H85" s="293">
        <v>46798</v>
      </c>
      <c r="I85" s="293" t="s">
        <v>657</v>
      </c>
      <c r="J85" s="293"/>
      <c r="K85" s="10" t="s">
        <v>657</v>
      </c>
    </row>
    <row r="86" spans="2:11" x14ac:dyDescent="0.35">
      <c r="B86" s="336"/>
      <c r="D86" s="285"/>
      <c r="E86" s="293" t="s">
        <v>657</v>
      </c>
      <c r="F86" s="293">
        <v>46784</v>
      </c>
      <c r="G86" s="293">
        <v>46812</v>
      </c>
      <c r="H86" s="293">
        <v>46827</v>
      </c>
      <c r="I86" s="293" t="s">
        <v>657</v>
      </c>
      <c r="J86" s="293"/>
      <c r="K86" s="10" t="s">
        <v>657</v>
      </c>
    </row>
    <row r="87" spans="2:11" x14ac:dyDescent="0.35">
      <c r="B87" s="336">
        <v>17</v>
      </c>
      <c r="D87" s="285">
        <v>46753</v>
      </c>
      <c r="E87" s="293">
        <v>46843</v>
      </c>
      <c r="F87" s="293">
        <v>46813</v>
      </c>
      <c r="G87" s="293">
        <v>46843</v>
      </c>
      <c r="H87" s="293">
        <v>46861</v>
      </c>
      <c r="I87" s="293">
        <v>46867</v>
      </c>
      <c r="J87" s="293">
        <v>46867</v>
      </c>
      <c r="K87" s="10">
        <v>46869</v>
      </c>
    </row>
    <row r="88" spans="2:11" x14ac:dyDescent="0.35">
      <c r="B88" s="336"/>
      <c r="D88" s="285"/>
      <c r="E88" s="293" t="s">
        <v>657</v>
      </c>
      <c r="F88" s="293">
        <v>46844</v>
      </c>
      <c r="G88" s="293">
        <v>46873</v>
      </c>
      <c r="H88" s="293">
        <v>46889</v>
      </c>
      <c r="I88" s="293" t="s">
        <v>657</v>
      </c>
      <c r="J88" s="293"/>
      <c r="K88" s="10" t="s">
        <v>657</v>
      </c>
    </row>
    <row r="89" spans="2:11" x14ac:dyDescent="0.35">
      <c r="B89" s="336"/>
      <c r="D89" s="285"/>
      <c r="E89" s="293" t="s">
        <v>657</v>
      </c>
      <c r="F89" s="293">
        <v>46874</v>
      </c>
      <c r="G89" s="293">
        <v>46904</v>
      </c>
      <c r="H89" s="293">
        <v>46920</v>
      </c>
      <c r="I89" s="293" t="s">
        <v>657</v>
      </c>
      <c r="J89" s="293"/>
      <c r="K89" s="10" t="s">
        <v>657</v>
      </c>
    </row>
    <row r="90" spans="2:11" x14ac:dyDescent="0.35">
      <c r="B90" s="336">
        <v>18</v>
      </c>
      <c r="D90" s="285">
        <v>46844</v>
      </c>
      <c r="E90" s="293">
        <v>46934</v>
      </c>
      <c r="F90" s="293">
        <v>46905</v>
      </c>
      <c r="G90" s="293">
        <v>46934</v>
      </c>
      <c r="H90" s="293">
        <v>46951</v>
      </c>
      <c r="I90" s="293">
        <v>46955</v>
      </c>
      <c r="J90" s="293">
        <v>46958</v>
      </c>
      <c r="K90" s="10">
        <v>46960</v>
      </c>
    </row>
    <row r="91" spans="2:11" x14ac:dyDescent="0.35">
      <c r="B91" s="336"/>
      <c r="D91" s="285"/>
      <c r="E91" s="293" t="s">
        <v>657</v>
      </c>
      <c r="F91" s="293">
        <v>46935</v>
      </c>
      <c r="G91" s="293">
        <v>46965</v>
      </c>
      <c r="H91" s="293">
        <v>46981</v>
      </c>
      <c r="I91" s="293" t="s">
        <v>657</v>
      </c>
      <c r="J91" s="293"/>
      <c r="K91" s="10" t="s">
        <v>657</v>
      </c>
    </row>
    <row r="92" spans="2:11" x14ac:dyDescent="0.35">
      <c r="B92" s="336"/>
      <c r="D92" s="285"/>
      <c r="E92" s="293" t="s">
        <v>657</v>
      </c>
      <c r="F92" s="293">
        <v>46966</v>
      </c>
      <c r="G92" s="293">
        <v>46996</v>
      </c>
      <c r="H92" s="293">
        <v>47011</v>
      </c>
      <c r="I92" s="293" t="s">
        <v>657</v>
      </c>
      <c r="J92" s="293"/>
      <c r="K92" s="10" t="s">
        <v>657</v>
      </c>
    </row>
    <row r="93" spans="2:11" x14ac:dyDescent="0.35">
      <c r="B93" s="336">
        <v>19</v>
      </c>
      <c r="D93" s="285">
        <v>46935</v>
      </c>
      <c r="E93" s="293">
        <v>47026</v>
      </c>
      <c r="F93" s="293">
        <v>46997</v>
      </c>
      <c r="G93" s="293">
        <v>47026</v>
      </c>
      <c r="H93" s="293">
        <v>47039</v>
      </c>
      <c r="I93" s="293">
        <v>47045</v>
      </c>
      <c r="J93" s="293">
        <v>47049</v>
      </c>
      <c r="K93" s="10">
        <v>47051</v>
      </c>
    </row>
    <row r="94" spans="2:11" x14ac:dyDescent="0.35">
      <c r="B94" s="336"/>
      <c r="D94" s="285"/>
      <c r="E94" s="293" t="s">
        <v>657</v>
      </c>
      <c r="F94" s="293">
        <v>47027</v>
      </c>
      <c r="G94" s="293">
        <v>47057</v>
      </c>
      <c r="H94" s="293">
        <v>47072</v>
      </c>
      <c r="I94" s="293" t="s">
        <v>657</v>
      </c>
      <c r="J94" s="293"/>
      <c r="K94" s="10" t="s">
        <v>657</v>
      </c>
    </row>
    <row r="95" spans="2:11" x14ac:dyDescent="0.35">
      <c r="B95" s="336"/>
      <c r="D95" s="285"/>
      <c r="E95" s="293" t="s">
        <v>657</v>
      </c>
      <c r="F95" s="293">
        <v>47058</v>
      </c>
      <c r="G95" s="293">
        <v>47087</v>
      </c>
      <c r="H95" s="293">
        <v>47102</v>
      </c>
      <c r="I95" s="293" t="s">
        <v>657</v>
      </c>
      <c r="J95" s="293"/>
      <c r="K95" s="10" t="s">
        <v>657</v>
      </c>
    </row>
    <row r="96" spans="2:11" x14ac:dyDescent="0.35">
      <c r="B96" s="336">
        <v>20</v>
      </c>
      <c r="D96" s="285">
        <v>47027</v>
      </c>
      <c r="E96" s="293">
        <v>47118</v>
      </c>
      <c r="F96" s="293">
        <v>47088</v>
      </c>
      <c r="G96" s="293">
        <v>47118</v>
      </c>
      <c r="H96" s="293">
        <v>47133</v>
      </c>
      <c r="I96" s="293">
        <v>47137</v>
      </c>
      <c r="J96" s="293">
        <v>47141</v>
      </c>
      <c r="K96" s="10">
        <v>47143</v>
      </c>
    </row>
    <row r="97" spans="2:11" x14ac:dyDescent="0.35">
      <c r="B97" s="336"/>
      <c r="D97" s="285"/>
      <c r="E97" s="293" t="s">
        <v>657</v>
      </c>
      <c r="F97" s="293">
        <v>47119</v>
      </c>
      <c r="G97" s="293">
        <v>47149</v>
      </c>
      <c r="H97" s="293">
        <v>47164</v>
      </c>
      <c r="I97" s="293" t="s">
        <v>657</v>
      </c>
      <c r="J97" s="293"/>
      <c r="K97" s="10" t="s">
        <v>657</v>
      </c>
    </row>
    <row r="98" spans="2:11" x14ac:dyDescent="0.35">
      <c r="B98" s="336"/>
      <c r="D98" s="285"/>
      <c r="E98" s="293" t="s">
        <v>657</v>
      </c>
      <c r="F98" s="293">
        <v>47150</v>
      </c>
      <c r="G98" s="293">
        <v>47177</v>
      </c>
      <c r="H98" s="293">
        <v>47192</v>
      </c>
      <c r="I98" s="293" t="s">
        <v>657</v>
      </c>
      <c r="J98" s="293"/>
      <c r="K98" s="10" t="s">
        <v>657</v>
      </c>
    </row>
    <row r="99" spans="2:11" x14ac:dyDescent="0.35">
      <c r="B99" s="336">
        <v>21</v>
      </c>
      <c r="D99" s="285">
        <v>47119</v>
      </c>
      <c r="E99" s="293">
        <v>47208</v>
      </c>
      <c r="F99" s="293">
        <v>47178</v>
      </c>
      <c r="G99" s="293">
        <v>47208</v>
      </c>
      <c r="H99" s="293">
        <v>47224</v>
      </c>
      <c r="I99" s="293">
        <v>47228</v>
      </c>
      <c r="J99" s="293">
        <v>47231</v>
      </c>
      <c r="K99" s="10">
        <v>47233</v>
      </c>
    </row>
    <row r="100" spans="2:11" x14ac:dyDescent="0.35">
      <c r="B100" s="336"/>
      <c r="D100" s="285"/>
      <c r="E100" s="293" t="s">
        <v>657</v>
      </c>
      <c r="F100" s="293">
        <v>47209</v>
      </c>
      <c r="G100" s="293">
        <v>47238</v>
      </c>
      <c r="H100" s="293">
        <v>47255</v>
      </c>
      <c r="I100" s="293" t="s">
        <v>657</v>
      </c>
      <c r="J100" s="293"/>
      <c r="K100" s="10" t="s">
        <v>657</v>
      </c>
    </row>
    <row r="101" spans="2:11" x14ac:dyDescent="0.35">
      <c r="B101" s="336"/>
      <c r="D101" s="285"/>
      <c r="E101" s="293" t="s">
        <v>657</v>
      </c>
      <c r="F101" s="293">
        <v>47239</v>
      </c>
      <c r="G101" s="293">
        <v>47269</v>
      </c>
      <c r="H101" s="293">
        <v>47284</v>
      </c>
      <c r="I101" s="293" t="s">
        <v>657</v>
      </c>
      <c r="J101" s="293"/>
      <c r="K101" s="10" t="s">
        <v>657</v>
      </c>
    </row>
    <row r="102" spans="2:11" x14ac:dyDescent="0.35">
      <c r="B102" s="336">
        <v>22</v>
      </c>
      <c r="D102" s="285">
        <v>47209</v>
      </c>
      <c r="E102" s="293">
        <v>47299</v>
      </c>
      <c r="F102" s="293">
        <v>47270</v>
      </c>
      <c r="G102" s="293">
        <v>47299</v>
      </c>
      <c r="H102" s="293">
        <v>47312</v>
      </c>
      <c r="I102" s="293">
        <v>47318</v>
      </c>
      <c r="J102" s="293">
        <v>47322</v>
      </c>
      <c r="K102" s="10">
        <v>47324</v>
      </c>
    </row>
    <row r="103" spans="2:11" x14ac:dyDescent="0.35">
      <c r="B103" s="336"/>
      <c r="D103" s="285"/>
      <c r="E103" s="293" t="s">
        <v>657</v>
      </c>
      <c r="F103" s="293">
        <v>47300</v>
      </c>
      <c r="G103" s="293">
        <v>47330</v>
      </c>
      <c r="H103" s="293">
        <v>47346</v>
      </c>
      <c r="I103" s="293" t="s">
        <v>657</v>
      </c>
      <c r="J103" s="293"/>
      <c r="K103" s="10" t="s">
        <v>657</v>
      </c>
    </row>
    <row r="104" spans="2:11" x14ac:dyDescent="0.35">
      <c r="B104" s="336"/>
      <c r="D104" s="285"/>
      <c r="E104" s="293" t="s">
        <v>657</v>
      </c>
      <c r="F104" s="293">
        <v>47331</v>
      </c>
      <c r="G104" s="293">
        <v>47361</v>
      </c>
      <c r="H104" s="293">
        <v>47375</v>
      </c>
      <c r="I104" s="293" t="s">
        <v>657</v>
      </c>
      <c r="J104" s="293"/>
      <c r="K104" s="10" t="s">
        <v>657</v>
      </c>
    </row>
    <row r="105" spans="2:11" x14ac:dyDescent="0.35">
      <c r="B105" s="336">
        <v>23</v>
      </c>
      <c r="D105" s="285">
        <v>47300</v>
      </c>
      <c r="E105" s="293">
        <v>47391</v>
      </c>
      <c r="F105" s="293">
        <v>47362</v>
      </c>
      <c r="G105" s="293">
        <v>47391</v>
      </c>
      <c r="H105" s="293">
        <v>47406</v>
      </c>
      <c r="I105" s="293">
        <v>47409</v>
      </c>
      <c r="J105" s="293">
        <v>47414</v>
      </c>
      <c r="K105" s="10">
        <v>47416</v>
      </c>
    </row>
    <row r="106" spans="2:11" x14ac:dyDescent="0.35">
      <c r="B106" s="336"/>
      <c r="D106" s="285"/>
      <c r="E106" s="293" t="s">
        <v>657</v>
      </c>
      <c r="F106" s="293">
        <v>47392</v>
      </c>
      <c r="G106" s="293">
        <v>47422</v>
      </c>
      <c r="H106" s="293">
        <v>47437</v>
      </c>
      <c r="I106" s="293" t="s">
        <v>657</v>
      </c>
      <c r="J106" s="293"/>
      <c r="K106" s="10" t="s">
        <v>657</v>
      </c>
    </row>
    <row r="107" spans="2:11" x14ac:dyDescent="0.35">
      <c r="B107" s="336"/>
      <c r="D107" s="285"/>
      <c r="E107" s="293" t="s">
        <v>657</v>
      </c>
      <c r="F107" s="293">
        <v>47423</v>
      </c>
      <c r="G107" s="293">
        <v>47452</v>
      </c>
      <c r="H107" s="293">
        <v>47466</v>
      </c>
      <c r="I107" s="293" t="s">
        <v>657</v>
      </c>
      <c r="J107" s="293"/>
      <c r="K107" s="10" t="s">
        <v>657</v>
      </c>
    </row>
    <row r="108" spans="2:11" x14ac:dyDescent="0.35">
      <c r="B108" s="336">
        <v>24</v>
      </c>
      <c r="D108" s="285">
        <v>47392</v>
      </c>
      <c r="E108" s="293">
        <v>47483</v>
      </c>
      <c r="F108" s="293">
        <v>47453</v>
      </c>
      <c r="G108" s="293">
        <v>47483</v>
      </c>
      <c r="H108" s="293">
        <v>47498</v>
      </c>
      <c r="I108" s="293">
        <v>47504</v>
      </c>
      <c r="J108" s="293">
        <v>47506</v>
      </c>
      <c r="K108" s="10">
        <v>47508</v>
      </c>
    </row>
    <row r="109" spans="2:11" x14ac:dyDescent="0.35">
      <c r="B109" s="336"/>
      <c r="D109" s="285"/>
      <c r="E109" s="293" t="s">
        <v>657</v>
      </c>
      <c r="F109" s="293">
        <v>47484</v>
      </c>
      <c r="G109" s="293">
        <v>47514</v>
      </c>
      <c r="H109" s="293">
        <v>47529</v>
      </c>
      <c r="I109" s="293" t="s">
        <v>657</v>
      </c>
      <c r="J109" s="293"/>
      <c r="K109" s="10" t="s">
        <v>657</v>
      </c>
    </row>
    <row r="110" spans="2:11" x14ac:dyDescent="0.35">
      <c r="B110" s="336"/>
      <c r="D110" s="285"/>
      <c r="E110" s="293" t="s">
        <v>657</v>
      </c>
      <c r="F110" s="293">
        <v>47515</v>
      </c>
      <c r="G110" s="293">
        <v>47542</v>
      </c>
      <c r="H110" s="293">
        <v>47557</v>
      </c>
      <c r="I110" s="293" t="s">
        <v>657</v>
      </c>
      <c r="J110" s="293"/>
      <c r="K110" s="10" t="s">
        <v>657</v>
      </c>
    </row>
    <row r="111" spans="2:11" x14ac:dyDescent="0.35">
      <c r="B111" s="336">
        <v>25</v>
      </c>
      <c r="D111" s="285">
        <v>47484</v>
      </c>
      <c r="E111" s="293">
        <v>47573</v>
      </c>
      <c r="F111" s="293">
        <v>47543</v>
      </c>
      <c r="G111" s="293">
        <v>47573</v>
      </c>
      <c r="H111" s="293">
        <v>47588</v>
      </c>
      <c r="I111" s="293">
        <v>47591</v>
      </c>
      <c r="J111" s="293">
        <v>47596</v>
      </c>
      <c r="K111" s="10">
        <v>47598</v>
      </c>
    </row>
    <row r="112" spans="2:11" x14ac:dyDescent="0.35">
      <c r="B112" s="336" t="s">
        <v>657</v>
      </c>
      <c r="D112" s="285"/>
      <c r="E112" s="293" t="s">
        <v>657</v>
      </c>
      <c r="F112" s="293">
        <v>47574</v>
      </c>
      <c r="G112" s="293">
        <v>47603</v>
      </c>
      <c r="H112" s="293">
        <v>47619</v>
      </c>
      <c r="I112" s="293" t="s">
        <v>657</v>
      </c>
      <c r="J112" s="293"/>
      <c r="K112" s="10" t="s">
        <v>657</v>
      </c>
    </row>
    <row r="113" spans="2:11" x14ac:dyDescent="0.35">
      <c r="B113" s="336" t="s">
        <v>657</v>
      </c>
      <c r="D113" s="285"/>
      <c r="E113" s="293" t="s">
        <v>657</v>
      </c>
      <c r="F113" s="293">
        <v>47604</v>
      </c>
      <c r="G113" s="293">
        <v>47634</v>
      </c>
      <c r="H113" s="293">
        <v>47651</v>
      </c>
      <c r="I113" s="293" t="s">
        <v>657</v>
      </c>
      <c r="J113" s="293"/>
      <c r="K113" s="10" t="s">
        <v>657</v>
      </c>
    </row>
    <row r="114" spans="2:11" x14ac:dyDescent="0.35">
      <c r="B114" s="336">
        <v>26</v>
      </c>
      <c r="D114" s="285">
        <v>47574</v>
      </c>
      <c r="E114" s="293">
        <v>47664</v>
      </c>
      <c r="F114" s="293">
        <v>47635</v>
      </c>
      <c r="G114" s="293">
        <v>47664</v>
      </c>
      <c r="H114" s="293">
        <v>47679</v>
      </c>
      <c r="I114" s="293">
        <v>47682</v>
      </c>
      <c r="J114" s="293">
        <v>47687</v>
      </c>
      <c r="K114" s="10">
        <v>47689</v>
      </c>
    </row>
    <row r="115" spans="2:11" x14ac:dyDescent="0.35">
      <c r="B115" s="336" t="s">
        <v>657</v>
      </c>
      <c r="D115" s="285"/>
      <c r="E115" s="293" t="s">
        <v>657</v>
      </c>
      <c r="F115" s="293">
        <v>47665</v>
      </c>
      <c r="G115" s="293">
        <v>47695</v>
      </c>
      <c r="H115" s="293">
        <v>47711</v>
      </c>
      <c r="I115" s="293" t="s">
        <v>657</v>
      </c>
      <c r="J115" s="293"/>
      <c r="K115" s="10" t="s">
        <v>657</v>
      </c>
    </row>
    <row r="116" spans="2:11" x14ac:dyDescent="0.35">
      <c r="B116" s="336" t="s">
        <v>657</v>
      </c>
      <c r="D116" s="285"/>
      <c r="E116" s="293" t="s">
        <v>657</v>
      </c>
      <c r="F116" s="293">
        <v>47696</v>
      </c>
      <c r="G116" s="293">
        <v>47726</v>
      </c>
      <c r="H116" s="293">
        <v>47739</v>
      </c>
      <c r="I116" s="293" t="s">
        <v>657</v>
      </c>
      <c r="J116" s="293"/>
      <c r="K116" s="10" t="s">
        <v>657</v>
      </c>
    </row>
    <row r="117" spans="2:11" x14ac:dyDescent="0.35">
      <c r="B117" s="336">
        <v>27</v>
      </c>
      <c r="D117" s="285">
        <v>47665</v>
      </c>
      <c r="E117" s="293">
        <v>47756</v>
      </c>
      <c r="F117" s="293">
        <v>47727</v>
      </c>
      <c r="G117" s="293">
        <v>47756</v>
      </c>
      <c r="H117" s="293">
        <v>47771</v>
      </c>
      <c r="I117" s="293">
        <v>47774</v>
      </c>
      <c r="J117" s="293">
        <v>47779</v>
      </c>
      <c r="K117" s="10">
        <v>47781</v>
      </c>
    </row>
    <row r="118" spans="2:11" x14ac:dyDescent="0.35">
      <c r="B118" s="336" t="s">
        <v>657</v>
      </c>
      <c r="D118" s="285"/>
      <c r="E118" s="293" t="s">
        <v>657</v>
      </c>
      <c r="F118" s="293">
        <v>47757</v>
      </c>
      <c r="G118" s="293">
        <v>47787</v>
      </c>
      <c r="H118" s="293">
        <v>47805</v>
      </c>
      <c r="I118" s="293" t="s">
        <v>657</v>
      </c>
      <c r="J118" s="293"/>
      <c r="K118" s="10" t="s">
        <v>657</v>
      </c>
    </row>
    <row r="119" spans="2:11" x14ac:dyDescent="0.35">
      <c r="B119" s="336" t="s">
        <v>657</v>
      </c>
      <c r="D119" s="285"/>
      <c r="E119" s="293" t="s">
        <v>657</v>
      </c>
      <c r="F119" s="293">
        <v>47788</v>
      </c>
      <c r="G119" s="293">
        <v>47817</v>
      </c>
      <c r="H119" s="293">
        <v>47830</v>
      </c>
      <c r="I119" s="293" t="s">
        <v>657</v>
      </c>
      <c r="J119" s="293"/>
      <c r="K119" s="10" t="s">
        <v>657</v>
      </c>
    </row>
    <row r="120" spans="2:11" x14ac:dyDescent="0.35">
      <c r="B120" s="336">
        <v>28</v>
      </c>
      <c r="D120" s="285">
        <v>47757</v>
      </c>
      <c r="E120" s="293">
        <v>47848</v>
      </c>
      <c r="F120" s="293">
        <v>47818</v>
      </c>
      <c r="G120" s="293">
        <v>47848</v>
      </c>
      <c r="H120" s="293">
        <v>47863</v>
      </c>
      <c r="I120" s="293">
        <v>47869</v>
      </c>
      <c r="J120" s="293">
        <v>47871</v>
      </c>
      <c r="K120" s="10">
        <v>47875</v>
      </c>
    </row>
    <row r="121" spans="2:11" x14ac:dyDescent="0.35">
      <c r="B121" s="336" t="s">
        <v>657</v>
      </c>
      <c r="D121" s="285"/>
      <c r="E121" s="293" t="s">
        <v>657</v>
      </c>
      <c r="F121" s="293">
        <v>47849</v>
      </c>
      <c r="G121" s="293">
        <v>47879</v>
      </c>
      <c r="H121" s="293">
        <v>47893</v>
      </c>
      <c r="I121" s="293" t="s">
        <v>657</v>
      </c>
      <c r="J121" s="293"/>
      <c r="K121" s="10" t="s">
        <v>657</v>
      </c>
    </row>
    <row r="122" spans="2:11" x14ac:dyDescent="0.35">
      <c r="B122" s="336" t="s">
        <v>657</v>
      </c>
      <c r="D122" s="285"/>
      <c r="E122" s="293" t="s">
        <v>657</v>
      </c>
      <c r="F122" s="293">
        <v>47880</v>
      </c>
      <c r="G122" s="293">
        <v>47907</v>
      </c>
      <c r="H122" s="293">
        <v>47921</v>
      </c>
      <c r="I122" s="293" t="s">
        <v>657</v>
      </c>
      <c r="J122" s="293"/>
      <c r="K122" s="10" t="s">
        <v>657</v>
      </c>
    </row>
    <row r="123" spans="2:11" x14ac:dyDescent="0.35">
      <c r="B123" s="336">
        <v>29</v>
      </c>
      <c r="D123" s="285">
        <v>47849</v>
      </c>
      <c r="E123" s="293">
        <v>47938</v>
      </c>
      <c r="F123" s="293">
        <v>47908</v>
      </c>
      <c r="G123" s="293">
        <v>47938</v>
      </c>
      <c r="H123" s="293">
        <v>47955</v>
      </c>
      <c r="I123" s="293">
        <v>47960</v>
      </c>
      <c r="J123" s="293">
        <v>47961</v>
      </c>
      <c r="K123" s="10">
        <v>47963</v>
      </c>
    </row>
    <row r="124" spans="2:11" x14ac:dyDescent="0.35">
      <c r="B124" s="336" t="s">
        <v>657</v>
      </c>
      <c r="D124" s="285"/>
      <c r="E124" s="293" t="s">
        <v>657</v>
      </c>
      <c r="F124" s="293">
        <v>47939</v>
      </c>
      <c r="G124" s="293">
        <v>47968</v>
      </c>
      <c r="H124" s="293">
        <v>47984</v>
      </c>
      <c r="I124" s="293" t="s">
        <v>657</v>
      </c>
      <c r="J124" s="293"/>
      <c r="K124" s="10" t="s">
        <v>657</v>
      </c>
    </row>
    <row r="125" spans="2:11" x14ac:dyDescent="0.35">
      <c r="B125" s="336" t="s">
        <v>657</v>
      </c>
      <c r="D125" s="285"/>
      <c r="E125" s="293" t="s">
        <v>657</v>
      </c>
      <c r="F125" s="293">
        <v>47969</v>
      </c>
      <c r="G125" s="293">
        <v>47999</v>
      </c>
      <c r="H125" s="293">
        <v>48015</v>
      </c>
      <c r="I125" s="293" t="s">
        <v>657</v>
      </c>
      <c r="J125" s="293"/>
      <c r="K125" s="10" t="s">
        <v>657</v>
      </c>
    </row>
    <row r="126" spans="2:11" x14ac:dyDescent="0.35">
      <c r="B126" s="336">
        <v>30</v>
      </c>
      <c r="D126" s="285">
        <v>47939</v>
      </c>
      <c r="E126" s="293">
        <v>48029</v>
      </c>
      <c r="F126" s="293">
        <v>48000</v>
      </c>
      <c r="G126" s="293">
        <v>48029</v>
      </c>
      <c r="H126" s="293">
        <v>48045</v>
      </c>
      <c r="I126" s="293">
        <v>48050</v>
      </c>
      <c r="J126" s="293">
        <v>48052</v>
      </c>
      <c r="K126" s="10">
        <v>48054</v>
      </c>
    </row>
    <row r="127" spans="2:11" x14ac:dyDescent="0.35">
      <c r="B127" s="336" t="s">
        <v>657</v>
      </c>
      <c r="D127" s="285"/>
      <c r="E127" s="293" t="s">
        <v>657</v>
      </c>
      <c r="F127" s="293">
        <v>48030</v>
      </c>
      <c r="G127" s="293">
        <v>48060</v>
      </c>
      <c r="H127" s="293">
        <v>48078</v>
      </c>
      <c r="I127" s="293" t="s">
        <v>657</v>
      </c>
      <c r="J127" s="293"/>
      <c r="K127" s="10" t="s">
        <v>657</v>
      </c>
    </row>
    <row r="128" spans="2:11" x14ac:dyDescent="0.35">
      <c r="B128" s="336" t="s">
        <v>657</v>
      </c>
      <c r="D128" s="285"/>
      <c r="E128" s="293" t="s">
        <v>657</v>
      </c>
      <c r="F128" s="293">
        <v>48061</v>
      </c>
      <c r="G128" s="293">
        <v>48091</v>
      </c>
      <c r="H128" s="293">
        <v>48106</v>
      </c>
      <c r="I128" s="293" t="s">
        <v>657</v>
      </c>
      <c r="J128" s="293"/>
      <c r="K128" s="10" t="s">
        <v>657</v>
      </c>
    </row>
    <row r="129" spans="2:11" x14ac:dyDescent="0.35">
      <c r="B129" s="336">
        <v>31</v>
      </c>
      <c r="D129" s="285">
        <v>48030</v>
      </c>
      <c r="E129" s="293">
        <v>48121</v>
      </c>
      <c r="F129" s="293">
        <v>48092</v>
      </c>
      <c r="G129" s="293">
        <v>48121</v>
      </c>
      <c r="H129" s="293">
        <v>48136</v>
      </c>
      <c r="I129" s="293">
        <v>48141</v>
      </c>
      <c r="J129" s="293">
        <v>48144</v>
      </c>
      <c r="K129" s="10">
        <v>48148</v>
      </c>
    </row>
    <row r="130" spans="2:11" x14ac:dyDescent="0.35">
      <c r="B130" s="336" t="s">
        <v>657</v>
      </c>
      <c r="D130" s="285"/>
      <c r="E130" s="293" t="s">
        <v>657</v>
      </c>
      <c r="F130" s="293">
        <v>48122</v>
      </c>
      <c r="G130" s="293">
        <v>48152</v>
      </c>
      <c r="H130" s="293">
        <v>48169</v>
      </c>
      <c r="I130" s="293" t="s">
        <v>657</v>
      </c>
      <c r="J130" s="293"/>
      <c r="K130" s="10" t="s">
        <v>657</v>
      </c>
    </row>
    <row r="131" spans="2:11" x14ac:dyDescent="0.35">
      <c r="B131" s="336" t="s">
        <v>657</v>
      </c>
      <c r="D131" s="285"/>
      <c r="E131" s="293" t="s">
        <v>657</v>
      </c>
      <c r="F131" s="293">
        <v>48153</v>
      </c>
      <c r="G131" s="293">
        <v>48182</v>
      </c>
      <c r="H131" s="293">
        <v>48197</v>
      </c>
      <c r="I131" s="293" t="s">
        <v>657</v>
      </c>
      <c r="J131" s="293"/>
      <c r="K131" s="10" t="s">
        <v>657</v>
      </c>
    </row>
    <row r="132" spans="2:11" x14ac:dyDescent="0.35">
      <c r="B132" s="336">
        <v>32</v>
      </c>
      <c r="D132" s="285">
        <v>48122</v>
      </c>
      <c r="E132" s="293">
        <v>48213</v>
      </c>
      <c r="F132" s="293">
        <v>48183</v>
      </c>
      <c r="G132" s="293">
        <v>48213</v>
      </c>
      <c r="H132" s="293">
        <v>48228</v>
      </c>
      <c r="I132" s="293">
        <v>48234</v>
      </c>
      <c r="J132" s="293">
        <v>48236</v>
      </c>
      <c r="K132" s="10">
        <v>48240</v>
      </c>
    </row>
    <row r="133" spans="2:11" x14ac:dyDescent="0.35">
      <c r="B133" s="336" t="s">
        <v>657</v>
      </c>
      <c r="D133" s="285"/>
      <c r="E133" s="293" t="s">
        <v>657</v>
      </c>
      <c r="F133" s="293">
        <v>48214</v>
      </c>
      <c r="G133" s="293">
        <v>48244</v>
      </c>
      <c r="H133" s="293">
        <v>48257</v>
      </c>
      <c r="I133" s="293" t="s">
        <v>657</v>
      </c>
      <c r="J133" s="293"/>
      <c r="K133" s="10" t="s">
        <v>657</v>
      </c>
    </row>
    <row r="134" spans="2:11" x14ac:dyDescent="0.35">
      <c r="B134" s="336" t="s">
        <v>657</v>
      </c>
      <c r="D134" s="285"/>
      <c r="E134" s="293" t="s">
        <v>657</v>
      </c>
      <c r="F134" s="293">
        <v>48245</v>
      </c>
      <c r="G134" s="293">
        <v>48273</v>
      </c>
      <c r="H134" s="293">
        <v>48288</v>
      </c>
      <c r="I134" s="293" t="s">
        <v>657</v>
      </c>
      <c r="J134" s="293"/>
      <c r="K134" s="10" t="s">
        <v>657</v>
      </c>
    </row>
    <row r="135" spans="2:11" x14ac:dyDescent="0.35">
      <c r="B135" s="336">
        <v>33</v>
      </c>
      <c r="D135" s="285">
        <v>48214</v>
      </c>
      <c r="E135" s="293">
        <v>48304</v>
      </c>
      <c r="F135" s="293">
        <v>48274</v>
      </c>
      <c r="G135" s="293">
        <v>48304</v>
      </c>
      <c r="H135" s="293">
        <v>48319</v>
      </c>
      <c r="I135" s="293">
        <v>48324</v>
      </c>
      <c r="J135" s="293">
        <v>48327</v>
      </c>
      <c r="K135" s="10">
        <v>48331</v>
      </c>
    </row>
    <row r="136" spans="2:11" x14ac:dyDescent="0.35">
      <c r="B136" s="336" t="s">
        <v>657</v>
      </c>
      <c r="D136" s="285"/>
      <c r="E136" s="293" t="s">
        <v>657</v>
      </c>
      <c r="F136" s="293">
        <v>48305</v>
      </c>
      <c r="G136" s="293">
        <v>48334</v>
      </c>
      <c r="H136" s="293">
        <v>48352</v>
      </c>
      <c r="I136" s="293" t="s">
        <v>657</v>
      </c>
      <c r="J136" s="293"/>
      <c r="K136" s="10" t="s">
        <v>657</v>
      </c>
    </row>
    <row r="137" spans="2:11" x14ac:dyDescent="0.35">
      <c r="B137" s="336" t="s">
        <v>657</v>
      </c>
      <c r="D137" s="285"/>
      <c r="E137" s="293" t="s">
        <v>657</v>
      </c>
      <c r="F137" s="293">
        <v>48335</v>
      </c>
      <c r="G137" s="293">
        <v>48365</v>
      </c>
      <c r="H137" s="293">
        <v>48380</v>
      </c>
      <c r="I137" s="293" t="s">
        <v>657</v>
      </c>
      <c r="J137" s="293"/>
      <c r="K137" s="10" t="s">
        <v>657</v>
      </c>
    </row>
    <row r="138" spans="2:11" x14ac:dyDescent="0.35">
      <c r="B138" s="336">
        <v>34</v>
      </c>
      <c r="D138" s="285">
        <v>48305</v>
      </c>
      <c r="E138" s="293">
        <v>48395</v>
      </c>
      <c r="F138" s="293">
        <v>48366</v>
      </c>
      <c r="G138" s="293">
        <v>48395</v>
      </c>
      <c r="H138" s="293">
        <v>48411</v>
      </c>
      <c r="I138" s="293">
        <v>48416</v>
      </c>
      <c r="J138" s="293">
        <v>48418</v>
      </c>
      <c r="K138" s="10">
        <v>48422</v>
      </c>
    </row>
    <row r="139" spans="2:11" x14ac:dyDescent="0.35">
      <c r="B139" s="336" t="s">
        <v>657</v>
      </c>
      <c r="D139" s="285"/>
      <c r="E139" s="293" t="s">
        <v>657</v>
      </c>
      <c r="F139" s="293">
        <v>48396</v>
      </c>
      <c r="G139" s="293">
        <v>48426</v>
      </c>
      <c r="H139" s="293">
        <v>48439</v>
      </c>
      <c r="I139" s="293" t="s">
        <v>657</v>
      </c>
      <c r="J139" s="293"/>
      <c r="K139" s="10" t="s">
        <v>657</v>
      </c>
    </row>
    <row r="140" spans="2:11" x14ac:dyDescent="0.35">
      <c r="B140" s="336" t="s">
        <v>657</v>
      </c>
      <c r="D140" s="285"/>
      <c r="E140" s="293" t="s">
        <v>657</v>
      </c>
      <c r="F140" s="293">
        <v>48427</v>
      </c>
      <c r="G140" s="293">
        <v>48457</v>
      </c>
      <c r="H140" s="293">
        <v>48472</v>
      </c>
      <c r="I140" s="293" t="s">
        <v>657</v>
      </c>
      <c r="J140" s="293"/>
      <c r="K140" s="10" t="s">
        <v>657</v>
      </c>
    </row>
    <row r="141" spans="2:11" x14ac:dyDescent="0.35">
      <c r="B141" s="336">
        <v>35</v>
      </c>
      <c r="D141" s="285">
        <v>48396</v>
      </c>
      <c r="E141" s="293">
        <v>48487</v>
      </c>
      <c r="F141" s="293">
        <v>48458</v>
      </c>
      <c r="G141" s="293">
        <v>48487</v>
      </c>
      <c r="H141" s="293">
        <v>48502</v>
      </c>
      <c r="I141" s="293">
        <v>48507</v>
      </c>
      <c r="J141" s="293">
        <v>48512</v>
      </c>
      <c r="K141" s="10">
        <v>48514</v>
      </c>
    </row>
    <row r="142" spans="2:11" x14ac:dyDescent="0.35">
      <c r="B142" s="336" t="s">
        <v>657</v>
      </c>
      <c r="D142" s="285"/>
      <c r="E142" s="293" t="s">
        <v>657</v>
      </c>
      <c r="F142" s="293">
        <v>48488</v>
      </c>
      <c r="G142" s="293">
        <v>48518</v>
      </c>
      <c r="H142" s="293">
        <v>48534</v>
      </c>
      <c r="I142" s="293" t="s">
        <v>657</v>
      </c>
      <c r="J142" s="293"/>
      <c r="K142" s="10" t="s">
        <v>657</v>
      </c>
    </row>
    <row r="143" spans="2:11" x14ac:dyDescent="0.35">
      <c r="B143" s="336" t="s">
        <v>657</v>
      </c>
      <c r="D143" s="285"/>
      <c r="E143" s="293" t="s">
        <v>657</v>
      </c>
      <c r="F143" s="293">
        <v>48519</v>
      </c>
      <c r="G143" s="293">
        <v>48548</v>
      </c>
      <c r="H143" s="293">
        <v>48563</v>
      </c>
      <c r="I143" s="293" t="s">
        <v>657</v>
      </c>
      <c r="J143" s="293"/>
      <c r="K143" s="10" t="s">
        <v>657</v>
      </c>
    </row>
    <row r="144" spans="2:11" x14ac:dyDescent="0.35">
      <c r="B144" s="336">
        <v>36</v>
      </c>
      <c r="D144" s="285">
        <v>48488</v>
      </c>
      <c r="E144" s="293">
        <v>48579</v>
      </c>
      <c r="F144" s="293">
        <v>48549</v>
      </c>
      <c r="G144" s="293">
        <v>48579</v>
      </c>
      <c r="H144" s="293">
        <v>48593</v>
      </c>
      <c r="I144" s="293">
        <v>48599</v>
      </c>
      <c r="J144" s="293">
        <v>48603</v>
      </c>
      <c r="K144" s="10">
        <v>48605</v>
      </c>
    </row>
    <row r="145" spans="2:11" x14ac:dyDescent="0.35">
      <c r="B145" s="336" t="s">
        <v>657</v>
      </c>
      <c r="D145" s="285"/>
      <c r="E145" s="293" t="s">
        <v>657</v>
      </c>
      <c r="F145" s="293">
        <v>48580</v>
      </c>
      <c r="G145" s="293">
        <v>48610</v>
      </c>
      <c r="H145" s="293">
        <v>48625</v>
      </c>
      <c r="I145" s="293" t="s">
        <v>657</v>
      </c>
      <c r="J145" s="293"/>
      <c r="K145" s="10" t="s">
        <v>657</v>
      </c>
    </row>
    <row r="146" spans="2:11" x14ac:dyDescent="0.35">
      <c r="B146" s="336" t="s">
        <v>657</v>
      </c>
      <c r="D146" s="285"/>
      <c r="E146" s="293" t="s">
        <v>657</v>
      </c>
      <c r="F146" s="293">
        <v>48611</v>
      </c>
      <c r="G146" s="293">
        <v>48638</v>
      </c>
      <c r="H146" s="293">
        <v>48653</v>
      </c>
      <c r="I146" s="293" t="s">
        <v>657</v>
      </c>
      <c r="J146" s="293"/>
      <c r="K146" s="10" t="s">
        <v>657</v>
      </c>
    </row>
    <row r="147" spans="2:11" x14ac:dyDescent="0.35">
      <c r="B147" s="336">
        <v>37</v>
      </c>
      <c r="D147" s="285">
        <v>48580</v>
      </c>
      <c r="E147" s="293">
        <v>48669</v>
      </c>
      <c r="F147" s="293">
        <v>48639</v>
      </c>
      <c r="G147" s="293">
        <v>48669</v>
      </c>
      <c r="H147" s="293">
        <v>48688</v>
      </c>
      <c r="I147" s="293">
        <v>48691</v>
      </c>
      <c r="J147" s="293">
        <v>48694</v>
      </c>
      <c r="K147" s="10">
        <v>48696</v>
      </c>
    </row>
    <row r="148" spans="2:11" x14ac:dyDescent="0.35">
      <c r="B148" s="336" t="s">
        <v>657</v>
      </c>
      <c r="D148" s="285"/>
      <c r="E148" s="293" t="s">
        <v>657</v>
      </c>
      <c r="F148" s="293">
        <v>48670</v>
      </c>
      <c r="G148" s="293">
        <v>48699</v>
      </c>
      <c r="H148" s="293">
        <v>48712</v>
      </c>
      <c r="I148" s="293" t="s">
        <v>657</v>
      </c>
      <c r="J148" s="293"/>
      <c r="K148" s="10" t="s">
        <v>657</v>
      </c>
    </row>
    <row r="149" spans="2:11" x14ac:dyDescent="0.35">
      <c r="B149" s="336" t="s">
        <v>657</v>
      </c>
      <c r="D149" s="285"/>
      <c r="E149" s="293" t="s">
        <v>657</v>
      </c>
      <c r="F149" s="293">
        <v>48700</v>
      </c>
      <c r="G149" s="293">
        <v>48730</v>
      </c>
      <c r="H149" s="293">
        <v>48746</v>
      </c>
      <c r="I149" s="293" t="s">
        <v>657</v>
      </c>
      <c r="J149" s="293"/>
      <c r="K149" s="10" t="s">
        <v>657</v>
      </c>
    </row>
    <row r="150" spans="2:11" x14ac:dyDescent="0.35">
      <c r="B150" s="336">
        <v>38</v>
      </c>
      <c r="D150" s="285">
        <v>48670</v>
      </c>
      <c r="E150" s="293">
        <v>48760</v>
      </c>
      <c r="F150" s="293">
        <v>48731</v>
      </c>
      <c r="G150" s="293">
        <v>48760</v>
      </c>
      <c r="H150" s="293">
        <v>48778</v>
      </c>
      <c r="I150" s="293">
        <v>48781</v>
      </c>
      <c r="J150" s="293">
        <v>48785</v>
      </c>
      <c r="K150" s="10">
        <v>48787</v>
      </c>
    </row>
    <row r="151" spans="2:11" x14ac:dyDescent="0.35">
      <c r="B151" s="336" t="s">
        <v>657</v>
      </c>
      <c r="D151" s="285"/>
      <c r="E151" s="293" t="s">
        <v>657</v>
      </c>
      <c r="F151" s="293">
        <v>48761</v>
      </c>
      <c r="G151" s="293">
        <v>48791</v>
      </c>
      <c r="H151" s="293">
        <v>48807</v>
      </c>
      <c r="I151" s="293" t="s">
        <v>657</v>
      </c>
      <c r="J151" s="293"/>
      <c r="K151" s="10" t="s">
        <v>657</v>
      </c>
    </row>
    <row r="152" spans="2:11" x14ac:dyDescent="0.35">
      <c r="B152" s="336" t="s">
        <v>657</v>
      </c>
      <c r="D152" s="285"/>
      <c r="E152" s="293" t="s">
        <v>657</v>
      </c>
      <c r="F152" s="293">
        <v>48792</v>
      </c>
      <c r="G152" s="293">
        <v>48822</v>
      </c>
      <c r="H152" s="293">
        <v>48837</v>
      </c>
      <c r="I152" s="293" t="s">
        <v>657</v>
      </c>
      <c r="J152" s="293"/>
      <c r="K152" s="10" t="s">
        <v>657</v>
      </c>
    </row>
    <row r="153" spans="2:11" x14ac:dyDescent="0.35">
      <c r="B153" s="336">
        <v>39</v>
      </c>
      <c r="D153" s="285">
        <v>48761</v>
      </c>
      <c r="E153" s="293">
        <v>48852</v>
      </c>
      <c r="F153" s="293">
        <v>48823</v>
      </c>
      <c r="G153" s="293">
        <v>48852</v>
      </c>
      <c r="H153" s="293">
        <v>48866</v>
      </c>
      <c r="I153" s="293">
        <v>48872</v>
      </c>
      <c r="J153" s="293">
        <v>48876</v>
      </c>
      <c r="K153" s="10">
        <v>48878</v>
      </c>
    </row>
    <row r="154" spans="2:11" x14ac:dyDescent="0.35">
      <c r="B154" s="336" t="s">
        <v>657</v>
      </c>
      <c r="D154" s="285"/>
      <c r="E154" s="293" t="s">
        <v>657</v>
      </c>
      <c r="F154" s="293">
        <v>48853</v>
      </c>
      <c r="G154" s="293">
        <v>48883</v>
      </c>
      <c r="H154" s="293">
        <v>48899</v>
      </c>
      <c r="I154" s="293" t="s">
        <v>657</v>
      </c>
      <c r="J154" s="293"/>
      <c r="K154" s="10" t="s">
        <v>657</v>
      </c>
    </row>
    <row r="155" spans="2:11" x14ac:dyDescent="0.35">
      <c r="B155" s="336" t="s">
        <v>657</v>
      </c>
      <c r="D155" s="285"/>
      <c r="E155" s="293" t="s">
        <v>657</v>
      </c>
      <c r="F155" s="293">
        <v>48884</v>
      </c>
      <c r="G155" s="293">
        <v>48913</v>
      </c>
      <c r="H155" s="293">
        <v>48928</v>
      </c>
      <c r="I155" s="293" t="s">
        <v>657</v>
      </c>
      <c r="J155" s="293"/>
      <c r="K155" s="10" t="s">
        <v>657</v>
      </c>
    </row>
    <row r="156" spans="2:11" x14ac:dyDescent="0.35">
      <c r="B156" s="336">
        <v>40</v>
      </c>
      <c r="D156" s="285">
        <v>48853</v>
      </c>
      <c r="E156" s="293">
        <v>48944</v>
      </c>
      <c r="F156" s="293">
        <v>48914</v>
      </c>
      <c r="G156" s="293">
        <v>48944</v>
      </c>
      <c r="H156" s="293">
        <v>48957</v>
      </c>
      <c r="I156" s="293">
        <v>48963</v>
      </c>
      <c r="J156" s="293">
        <v>48967</v>
      </c>
      <c r="K156" s="10">
        <v>48969</v>
      </c>
    </row>
    <row r="157" spans="2:11" x14ac:dyDescent="0.35">
      <c r="B157" s="336" t="s">
        <v>657</v>
      </c>
      <c r="D157" s="285"/>
      <c r="E157" s="293" t="s">
        <v>657</v>
      </c>
      <c r="F157" s="293">
        <v>48945</v>
      </c>
      <c r="G157" s="293">
        <v>48975</v>
      </c>
      <c r="H157" s="293">
        <v>48990</v>
      </c>
      <c r="I157" s="293" t="s">
        <v>657</v>
      </c>
      <c r="J157" s="293"/>
      <c r="K157" s="10" t="s">
        <v>657</v>
      </c>
    </row>
    <row r="158" spans="2:11" x14ac:dyDescent="0.35">
      <c r="B158" s="336" t="s">
        <v>657</v>
      </c>
      <c r="D158" s="285"/>
      <c r="E158" s="293" t="s">
        <v>657</v>
      </c>
      <c r="F158" s="293">
        <v>48976</v>
      </c>
      <c r="G158" s="293">
        <v>49003</v>
      </c>
      <c r="H158" s="293">
        <v>49018</v>
      </c>
      <c r="I158" s="293" t="s">
        <v>657</v>
      </c>
      <c r="J158" s="293"/>
      <c r="K158" s="10" t="s">
        <v>657</v>
      </c>
    </row>
    <row r="159" spans="2:11" x14ac:dyDescent="0.35">
      <c r="B159" s="336">
        <v>41</v>
      </c>
      <c r="D159" s="285">
        <v>48945</v>
      </c>
      <c r="E159" s="293">
        <v>49034</v>
      </c>
      <c r="F159" s="293">
        <v>49004</v>
      </c>
      <c r="G159" s="293">
        <v>49034</v>
      </c>
      <c r="H159" s="293">
        <v>49052</v>
      </c>
      <c r="I159" s="293">
        <v>49058</v>
      </c>
      <c r="J159" s="293">
        <v>49058</v>
      </c>
      <c r="K159" s="10">
        <v>49060</v>
      </c>
    </row>
    <row r="160" spans="2:11" x14ac:dyDescent="0.35">
      <c r="B160" s="336" t="s">
        <v>657</v>
      </c>
      <c r="D160" s="285"/>
      <c r="E160" s="293" t="s">
        <v>657</v>
      </c>
      <c r="F160" s="293">
        <v>49035</v>
      </c>
      <c r="G160" s="293">
        <v>49064</v>
      </c>
      <c r="H160" s="293">
        <v>49080</v>
      </c>
      <c r="I160" s="293" t="s">
        <v>657</v>
      </c>
      <c r="J160" s="293"/>
      <c r="K160" s="10" t="s">
        <v>657</v>
      </c>
    </row>
    <row r="161" spans="2:11" x14ac:dyDescent="0.35">
      <c r="B161" s="336" t="s">
        <v>657</v>
      </c>
      <c r="D161" s="285"/>
      <c r="E161" s="293" t="s">
        <v>657</v>
      </c>
      <c r="F161" s="293">
        <v>49065</v>
      </c>
      <c r="G161" s="293">
        <v>49095</v>
      </c>
      <c r="H161" s="293">
        <v>49110</v>
      </c>
      <c r="I161" s="293" t="s">
        <v>657</v>
      </c>
      <c r="J161" s="293"/>
      <c r="K161" s="10" t="s">
        <v>657</v>
      </c>
    </row>
    <row r="162" spans="2:11" x14ac:dyDescent="0.35">
      <c r="B162" s="336">
        <v>42</v>
      </c>
      <c r="D162" s="285">
        <v>49035</v>
      </c>
      <c r="E162" s="293">
        <v>49125</v>
      </c>
      <c r="F162" s="293">
        <v>49096</v>
      </c>
      <c r="G162" s="293">
        <v>49125</v>
      </c>
      <c r="H162" s="293">
        <v>49142</v>
      </c>
      <c r="I162" s="293">
        <v>49146</v>
      </c>
      <c r="J162" s="293">
        <v>49149</v>
      </c>
      <c r="K162" s="10">
        <v>49151</v>
      </c>
    </row>
    <row r="163" spans="2:11" x14ac:dyDescent="0.35">
      <c r="B163" s="336" t="s">
        <v>657</v>
      </c>
      <c r="D163" s="285"/>
      <c r="E163" s="293" t="s">
        <v>657</v>
      </c>
      <c r="F163" s="293">
        <v>49126</v>
      </c>
      <c r="G163" s="293">
        <v>49156</v>
      </c>
      <c r="H163" s="293">
        <v>49172</v>
      </c>
      <c r="I163" s="293" t="s">
        <v>657</v>
      </c>
      <c r="J163" s="293"/>
      <c r="K163" s="10" t="s">
        <v>657</v>
      </c>
    </row>
    <row r="164" spans="2:11" x14ac:dyDescent="0.35">
      <c r="B164" s="336" t="s">
        <v>657</v>
      </c>
      <c r="D164" s="285"/>
      <c r="E164" s="293" t="s">
        <v>657</v>
      </c>
      <c r="F164" s="293">
        <v>49157</v>
      </c>
      <c r="G164" s="293">
        <v>49187</v>
      </c>
      <c r="H164" s="293">
        <v>49202</v>
      </c>
      <c r="I164" s="293" t="s">
        <v>657</v>
      </c>
      <c r="J164" s="293"/>
      <c r="K164" s="10" t="s">
        <v>657</v>
      </c>
    </row>
    <row r="165" spans="2:11" x14ac:dyDescent="0.35">
      <c r="B165" s="336">
        <v>43</v>
      </c>
      <c r="D165" s="285">
        <v>49126</v>
      </c>
      <c r="E165" s="293">
        <v>49217</v>
      </c>
      <c r="F165" s="293">
        <v>49188</v>
      </c>
      <c r="G165" s="293">
        <v>49217</v>
      </c>
      <c r="H165" s="293">
        <v>49230</v>
      </c>
      <c r="I165" s="293">
        <v>49236</v>
      </c>
      <c r="J165" s="293">
        <v>49240</v>
      </c>
      <c r="K165" s="10">
        <v>49242</v>
      </c>
    </row>
    <row r="166" spans="2:11" x14ac:dyDescent="0.35">
      <c r="B166" s="336" t="s">
        <v>657</v>
      </c>
      <c r="D166" s="285"/>
      <c r="E166" s="293" t="s">
        <v>657</v>
      </c>
      <c r="F166" s="293">
        <v>49218</v>
      </c>
      <c r="G166" s="293">
        <v>49248</v>
      </c>
      <c r="H166" s="293">
        <v>49263</v>
      </c>
      <c r="I166" s="293" t="s">
        <v>657</v>
      </c>
      <c r="J166" s="293"/>
      <c r="K166" s="10" t="s">
        <v>657</v>
      </c>
    </row>
    <row r="167" spans="2:11" x14ac:dyDescent="0.35">
      <c r="B167" s="336" t="s">
        <v>657</v>
      </c>
      <c r="D167" s="285"/>
      <c r="E167" s="293" t="s">
        <v>657</v>
      </c>
      <c r="F167" s="293">
        <v>49249</v>
      </c>
      <c r="G167" s="293">
        <v>49278</v>
      </c>
      <c r="H167" s="293">
        <v>49293</v>
      </c>
      <c r="I167" s="293" t="s">
        <v>657</v>
      </c>
      <c r="J167" s="293"/>
      <c r="K167" s="10" t="s">
        <v>657</v>
      </c>
    </row>
    <row r="168" spans="2:11" x14ac:dyDescent="0.35">
      <c r="B168" s="336">
        <v>44</v>
      </c>
      <c r="D168" s="285">
        <v>49218</v>
      </c>
      <c r="E168" s="293">
        <v>49309</v>
      </c>
      <c r="F168" s="293">
        <v>49279</v>
      </c>
      <c r="G168" s="293">
        <v>49309</v>
      </c>
      <c r="H168" s="293">
        <v>49324</v>
      </c>
      <c r="I168" s="293">
        <v>49328</v>
      </c>
      <c r="J168" s="293">
        <v>49332</v>
      </c>
      <c r="K168" s="10">
        <v>49334</v>
      </c>
    </row>
    <row r="169" spans="2:11" x14ac:dyDescent="0.35">
      <c r="B169" s="336" t="s">
        <v>657</v>
      </c>
      <c r="D169" s="285"/>
      <c r="E169" s="293" t="s">
        <v>657</v>
      </c>
      <c r="F169" s="293">
        <v>49310</v>
      </c>
      <c r="G169" s="293">
        <v>49340</v>
      </c>
      <c r="H169" s="293">
        <v>49355</v>
      </c>
      <c r="I169" s="293" t="s">
        <v>657</v>
      </c>
      <c r="J169" s="293"/>
      <c r="K169" s="10" t="s">
        <v>657</v>
      </c>
    </row>
    <row r="170" spans="2:11" x14ac:dyDescent="0.35">
      <c r="B170" s="336" t="s">
        <v>657</v>
      </c>
      <c r="D170" s="285"/>
      <c r="E170" s="293" t="s">
        <v>657</v>
      </c>
      <c r="F170" s="293">
        <v>49341</v>
      </c>
      <c r="G170" s="293">
        <v>49368</v>
      </c>
      <c r="H170" s="293">
        <v>49383</v>
      </c>
      <c r="I170" s="293" t="s">
        <v>657</v>
      </c>
      <c r="J170" s="293"/>
      <c r="K170" s="10" t="s">
        <v>657</v>
      </c>
    </row>
    <row r="171" spans="2:11" x14ac:dyDescent="0.35">
      <c r="B171" s="336">
        <v>45</v>
      </c>
      <c r="D171" s="285">
        <v>49310</v>
      </c>
      <c r="E171" s="293">
        <v>49399</v>
      </c>
      <c r="F171" s="293">
        <v>49369</v>
      </c>
      <c r="G171" s="293">
        <v>49399</v>
      </c>
      <c r="H171" s="293">
        <v>49412</v>
      </c>
      <c r="I171" s="293">
        <v>49418</v>
      </c>
      <c r="J171" s="293">
        <v>49422</v>
      </c>
      <c r="K171" s="10">
        <v>49424</v>
      </c>
    </row>
    <row r="172" spans="2:11" x14ac:dyDescent="0.35">
      <c r="B172" s="336" t="s">
        <v>657</v>
      </c>
      <c r="D172" s="285"/>
      <c r="E172" s="293" t="s">
        <v>657</v>
      </c>
      <c r="F172" s="293">
        <v>49400</v>
      </c>
      <c r="G172" s="293">
        <v>49429</v>
      </c>
      <c r="H172" s="293">
        <v>49447</v>
      </c>
      <c r="I172" s="293" t="s">
        <v>657</v>
      </c>
      <c r="J172" s="293"/>
      <c r="K172" s="10" t="s">
        <v>657</v>
      </c>
    </row>
    <row r="173" spans="2:11" x14ac:dyDescent="0.35">
      <c r="B173" s="336" t="s">
        <v>657</v>
      </c>
      <c r="D173" s="285"/>
      <c r="E173" s="293" t="s">
        <v>657</v>
      </c>
      <c r="F173" s="293">
        <v>49430</v>
      </c>
      <c r="G173" s="293">
        <v>49460</v>
      </c>
      <c r="H173" s="293">
        <v>49475</v>
      </c>
      <c r="I173" s="293" t="s">
        <v>657</v>
      </c>
      <c r="J173" s="293"/>
      <c r="K173" s="10" t="s">
        <v>657</v>
      </c>
    </row>
    <row r="174" spans="2:11" x14ac:dyDescent="0.35">
      <c r="B174" s="336">
        <v>46</v>
      </c>
      <c r="D174" s="285">
        <v>49400</v>
      </c>
      <c r="E174" s="293">
        <v>49490</v>
      </c>
      <c r="F174" s="293">
        <v>49461</v>
      </c>
      <c r="G174" s="293">
        <v>49490</v>
      </c>
      <c r="H174" s="293">
        <v>49503</v>
      </c>
      <c r="I174" s="293">
        <v>49509</v>
      </c>
      <c r="J174" s="293">
        <v>49513</v>
      </c>
      <c r="K174" s="10">
        <v>49515</v>
      </c>
    </row>
    <row r="175" spans="2:11" x14ac:dyDescent="0.35">
      <c r="B175" s="336" t="s">
        <v>657</v>
      </c>
      <c r="D175" s="285"/>
      <c r="E175" s="293" t="s">
        <v>657</v>
      </c>
      <c r="F175" s="293">
        <v>49491</v>
      </c>
      <c r="G175" s="293">
        <v>49521</v>
      </c>
      <c r="H175" s="293">
        <v>49537</v>
      </c>
      <c r="I175" s="293" t="s">
        <v>657</v>
      </c>
      <c r="J175" s="293"/>
      <c r="K175" s="10" t="s">
        <v>657</v>
      </c>
    </row>
    <row r="176" spans="2:11" x14ac:dyDescent="0.35">
      <c r="B176" s="336" t="s">
        <v>657</v>
      </c>
      <c r="D176" s="285"/>
      <c r="E176" s="293" t="s">
        <v>657</v>
      </c>
      <c r="F176" s="293">
        <v>49522</v>
      </c>
      <c r="G176" s="293">
        <v>49552</v>
      </c>
      <c r="H176" s="293">
        <v>49566</v>
      </c>
      <c r="I176" s="293" t="s">
        <v>657</v>
      </c>
      <c r="J176" s="293"/>
      <c r="K176" s="10" t="s">
        <v>657</v>
      </c>
    </row>
    <row r="177" spans="2:11" x14ac:dyDescent="0.35">
      <c r="B177" s="336">
        <v>47</v>
      </c>
      <c r="D177" s="285">
        <v>49491</v>
      </c>
      <c r="E177" s="293">
        <v>49582</v>
      </c>
      <c r="F177" s="293">
        <v>49553</v>
      </c>
      <c r="G177" s="293">
        <v>49582</v>
      </c>
      <c r="H177" s="293">
        <v>49597</v>
      </c>
      <c r="I177" s="293">
        <v>49600</v>
      </c>
      <c r="J177" s="293">
        <v>49605</v>
      </c>
      <c r="K177" s="10">
        <v>49607</v>
      </c>
    </row>
    <row r="178" spans="2:11" x14ac:dyDescent="0.35">
      <c r="B178" s="336" t="s">
        <v>657</v>
      </c>
      <c r="D178" s="285"/>
      <c r="E178" s="293" t="s">
        <v>657</v>
      </c>
      <c r="F178" s="293">
        <v>49583</v>
      </c>
      <c r="G178" s="293">
        <v>49613</v>
      </c>
      <c r="H178" s="293">
        <v>49628</v>
      </c>
      <c r="I178" s="293" t="s">
        <v>657</v>
      </c>
      <c r="J178" s="293"/>
      <c r="K178" s="10" t="s">
        <v>657</v>
      </c>
    </row>
    <row r="179" spans="2:11" x14ac:dyDescent="0.35">
      <c r="B179" s="336" t="s">
        <v>657</v>
      </c>
      <c r="D179" s="285"/>
      <c r="E179" s="293" t="s">
        <v>657</v>
      </c>
      <c r="F179" s="293">
        <v>49614</v>
      </c>
      <c r="G179" s="293">
        <v>49643</v>
      </c>
      <c r="H179" s="293">
        <v>49657</v>
      </c>
      <c r="I179" s="293" t="s">
        <v>657</v>
      </c>
      <c r="J179" s="293"/>
      <c r="K179" s="10" t="s">
        <v>657</v>
      </c>
    </row>
    <row r="180" spans="2:11" x14ac:dyDescent="0.35">
      <c r="B180" s="336">
        <v>48</v>
      </c>
      <c r="D180" s="285">
        <v>49583</v>
      </c>
      <c r="E180" s="293">
        <v>49674</v>
      </c>
      <c r="F180" s="293">
        <v>49644</v>
      </c>
      <c r="G180" s="293">
        <v>49674</v>
      </c>
      <c r="H180" s="293">
        <v>49689</v>
      </c>
      <c r="I180" s="293">
        <v>49695</v>
      </c>
      <c r="J180" s="293">
        <v>49697</v>
      </c>
      <c r="K180" s="10">
        <v>49699</v>
      </c>
    </row>
    <row r="181" spans="2:11" x14ac:dyDescent="0.35">
      <c r="B181" s="336" t="s">
        <v>657</v>
      </c>
      <c r="D181" s="285"/>
      <c r="E181" s="293" t="s">
        <v>657</v>
      </c>
      <c r="F181" s="293">
        <v>49675</v>
      </c>
      <c r="G181" s="293">
        <v>49705</v>
      </c>
      <c r="H181" s="293">
        <v>49720</v>
      </c>
      <c r="I181" s="293" t="s">
        <v>657</v>
      </c>
      <c r="J181" s="293"/>
      <c r="K181" s="10" t="s">
        <v>657</v>
      </c>
    </row>
    <row r="182" spans="2:11" x14ac:dyDescent="0.35">
      <c r="B182" s="336" t="s">
        <v>657</v>
      </c>
      <c r="D182" s="285"/>
      <c r="E182" s="293" t="s">
        <v>657</v>
      </c>
      <c r="F182" s="293">
        <v>49706</v>
      </c>
      <c r="G182" s="293">
        <v>49734</v>
      </c>
      <c r="H182" s="293">
        <v>49748</v>
      </c>
      <c r="I182" s="293" t="s">
        <v>657</v>
      </c>
      <c r="J182" s="293"/>
      <c r="K182" s="10" t="s">
        <v>657</v>
      </c>
    </row>
    <row r="183" spans="2:11" x14ac:dyDescent="0.35">
      <c r="B183" s="336">
        <v>49</v>
      </c>
      <c r="D183" s="285">
        <v>49675</v>
      </c>
      <c r="E183" s="293">
        <v>49765</v>
      </c>
      <c r="F183" s="293">
        <v>49735</v>
      </c>
      <c r="G183" s="293">
        <v>49765</v>
      </c>
      <c r="H183" s="293">
        <v>49782</v>
      </c>
      <c r="I183" s="293">
        <v>49787</v>
      </c>
      <c r="J183" s="293">
        <v>49788</v>
      </c>
      <c r="K183" s="10">
        <v>49790</v>
      </c>
    </row>
    <row r="184" spans="2:11" x14ac:dyDescent="0.35">
      <c r="B184" s="336" t="s">
        <v>657</v>
      </c>
      <c r="D184" s="285"/>
      <c r="E184" s="293" t="s">
        <v>657</v>
      </c>
      <c r="F184" s="293">
        <v>49766</v>
      </c>
      <c r="G184" s="293">
        <v>49795</v>
      </c>
      <c r="H184" s="293">
        <v>49811</v>
      </c>
      <c r="I184" s="293" t="s">
        <v>657</v>
      </c>
      <c r="J184" s="293"/>
      <c r="K184" s="10" t="s">
        <v>657</v>
      </c>
    </row>
    <row r="185" spans="2:11" x14ac:dyDescent="0.35">
      <c r="B185" s="336" t="s">
        <v>657</v>
      </c>
      <c r="D185" s="285"/>
      <c r="E185" s="293" t="s">
        <v>657</v>
      </c>
      <c r="F185" s="293">
        <v>49796</v>
      </c>
      <c r="G185" s="293">
        <v>49826</v>
      </c>
      <c r="H185" s="293">
        <v>49842</v>
      </c>
      <c r="I185" s="293" t="s">
        <v>657</v>
      </c>
      <c r="J185" s="293"/>
      <c r="K185" s="10" t="s">
        <v>657</v>
      </c>
    </row>
    <row r="186" spans="2:11" x14ac:dyDescent="0.35">
      <c r="B186" s="336">
        <v>50</v>
      </c>
      <c r="D186" s="285">
        <v>49766</v>
      </c>
      <c r="E186" s="293">
        <v>49856</v>
      </c>
      <c r="F186" s="293">
        <v>49827</v>
      </c>
      <c r="G186" s="293">
        <v>49856</v>
      </c>
      <c r="H186" s="293">
        <v>49872</v>
      </c>
      <c r="I186" s="293">
        <v>49877</v>
      </c>
      <c r="J186" s="293">
        <v>49879</v>
      </c>
      <c r="K186" s="10">
        <v>49881</v>
      </c>
    </row>
    <row r="187" spans="2:11" x14ac:dyDescent="0.35">
      <c r="B187" s="336" t="s">
        <v>657</v>
      </c>
      <c r="D187" s="285"/>
      <c r="E187" s="293" t="s">
        <v>657</v>
      </c>
      <c r="F187" s="293">
        <v>49857</v>
      </c>
      <c r="G187" s="293">
        <v>49887</v>
      </c>
      <c r="H187" s="293">
        <v>49905</v>
      </c>
      <c r="I187" s="293" t="s">
        <v>657</v>
      </c>
      <c r="J187" s="293"/>
      <c r="K187" s="10" t="s">
        <v>657</v>
      </c>
    </row>
    <row r="188" spans="2:11" x14ac:dyDescent="0.35">
      <c r="B188" s="336" t="s">
        <v>657</v>
      </c>
      <c r="D188" s="285"/>
      <c r="E188" s="293" t="s">
        <v>657</v>
      </c>
      <c r="F188" s="293">
        <v>49888</v>
      </c>
      <c r="G188" s="293">
        <v>49918</v>
      </c>
      <c r="H188" s="293">
        <v>49933</v>
      </c>
      <c r="I188" s="293" t="s">
        <v>657</v>
      </c>
      <c r="J188" s="293"/>
      <c r="K188" s="10" t="s">
        <v>657</v>
      </c>
    </row>
    <row r="189" spans="2:11" x14ac:dyDescent="0.35">
      <c r="B189" s="336">
        <v>51</v>
      </c>
      <c r="D189" s="285">
        <v>49857</v>
      </c>
      <c r="E189" s="293">
        <v>49948</v>
      </c>
      <c r="F189" s="293">
        <v>49919</v>
      </c>
      <c r="G189" s="293">
        <v>49948</v>
      </c>
      <c r="H189" s="293">
        <v>49963</v>
      </c>
      <c r="I189" s="293">
        <v>49968</v>
      </c>
      <c r="J189" s="293">
        <v>49971</v>
      </c>
      <c r="K189" s="10">
        <v>49975</v>
      </c>
    </row>
    <row r="190" spans="2:11" x14ac:dyDescent="0.35">
      <c r="B190" s="336" t="s">
        <v>657</v>
      </c>
      <c r="D190" s="285"/>
      <c r="E190" s="293" t="s">
        <v>657</v>
      </c>
      <c r="F190" s="293">
        <v>49949</v>
      </c>
      <c r="G190" s="293">
        <v>49979</v>
      </c>
      <c r="H190" s="293">
        <v>49996</v>
      </c>
      <c r="I190" s="293" t="s">
        <v>657</v>
      </c>
      <c r="J190" s="293"/>
      <c r="K190" s="10" t="s">
        <v>657</v>
      </c>
    </row>
    <row r="191" spans="2:11" x14ac:dyDescent="0.35">
      <c r="B191" s="336" t="s">
        <v>657</v>
      </c>
      <c r="D191" s="285"/>
      <c r="E191" s="293" t="s">
        <v>657</v>
      </c>
      <c r="F191" s="293">
        <v>49980</v>
      </c>
      <c r="G191" s="293">
        <v>50009</v>
      </c>
      <c r="H191" s="293">
        <v>50024</v>
      </c>
      <c r="I191" s="293" t="s">
        <v>657</v>
      </c>
      <c r="J191" s="293"/>
      <c r="K191" s="10" t="s">
        <v>657</v>
      </c>
    </row>
    <row r="192" spans="2:11" x14ac:dyDescent="0.35">
      <c r="B192" s="336">
        <v>52</v>
      </c>
      <c r="D192" s="285">
        <v>49949</v>
      </c>
      <c r="E192" s="293">
        <v>50040</v>
      </c>
      <c r="F192" s="293">
        <v>50010</v>
      </c>
      <c r="G192" s="293">
        <v>50040</v>
      </c>
      <c r="H192" s="293">
        <v>50055</v>
      </c>
      <c r="I192" s="293">
        <v>50060</v>
      </c>
      <c r="J192" s="293">
        <v>50063</v>
      </c>
      <c r="K192" s="10">
        <v>50067</v>
      </c>
    </row>
    <row r="193" spans="2:11" x14ac:dyDescent="0.35">
      <c r="B193" s="336" t="s">
        <v>657</v>
      </c>
      <c r="D193" s="285"/>
      <c r="E193" s="293" t="s">
        <v>657</v>
      </c>
      <c r="F193" s="293">
        <v>50041</v>
      </c>
      <c r="G193" s="293">
        <v>50071</v>
      </c>
      <c r="H193" s="293">
        <v>50084</v>
      </c>
      <c r="I193" s="293" t="s">
        <v>657</v>
      </c>
      <c r="J193" s="293"/>
      <c r="K193" s="10" t="s">
        <v>657</v>
      </c>
    </row>
    <row r="194" spans="2:11" x14ac:dyDescent="0.35">
      <c r="B194" s="336" t="s">
        <v>657</v>
      </c>
      <c r="D194" s="285"/>
      <c r="E194" s="293" t="s">
        <v>657</v>
      </c>
      <c r="F194" s="293">
        <v>50072</v>
      </c>
      <c r="G194" s="293">
        <v>50099</v>
      </c>
      <c r="H194" s="293">
        <v>50112</v>
      </c>
      <c r="I194" s="293" t="s">
        <v>657</v>
      </c>
      <c r="J194" s="293"/>
      <c r="K194" s="10" t="s">
        <v>657</v>
      </c>
    </row>
    <row r="195" spans="2:11" x14ac:dyDescent="0.35">
      <c r="B195" s="336">
        <v>53</v>
      </c>
      <c r="D195" s="285">
        <v>50041</v>
      </c>
      <c r="E195" s="293">
        <v>50130</v>
      </c>
      <c r="F195" s="293">
        <v>50100</v>
      </c>
      <c r="G195" s="293">
        <v>50130</v>
      </c>
      <c r="H195" s="293">
        <v>50145</v>
      </c>
      <c r="I195" s="293">
        <v>50150</v>
      </c>
      <c r="J195" s="293">
        <v>50153</v>
      </c>
      <c r="K195" s="10">
        <v>50157</v>
      </c>
    </row>
    <row r="196" spans="2:11" x14ac:dyDescent="0.35">
      <c r="B196" s="336" t="s">
        <v>657</v>
      </c>
      <c r="D196" s="285"/>
      <c r="E196" s="293" t="s">
        <v>657</v>
      </c>
      <c r="F196" s="293">
        <v>50131</v>
      </c>
      <c r="G196" s="293">
        <v>50160</v>
      </c>
      <c r="H196" s="293">
        <v>50175</v>
      </c>
      <c r="I196" s="293" t="s">
        <v>657</v>
      </c>
      <c r="J196" s="293"/>
      <c r="K196" s="10" t="s">
        <v>657</v>
      </c>
    </row>
    <row r="197" spans="2:11" x14ac:dyDescent="0.35">
      <c r="B197" s="336" t="s">
        <v>657</v>
      </c>
      <c r="D197" s="285"/>
      <c r="E197" s="293" t="s">
        <v>657</v>
      </c>
      <c r="F197" s="293">
        <v>50161</v>
      </c>
      <c r="G197" s="293">
        <v>50191</v>
      </c>
      <c r="H197" s="293">
        <v>50206</v>
      </c>
      <c r="I197" s="293" t="s">
        <v>657</v>
      </c>
      <c r="J197" s="293"/>
      <c r="K197" s="10" t="s">
        <v>657</v>
      </c>
    </row>
    <row r="198" spans="2:11" x14ac:dyDescent="0.35">
      <c r="B198" s="336">
        <v>54</v>
      </c>
      <c r="D198" s="285">
        <v>50131</v>
      </c>
      <c r="E198" s="293">
        <v>50221</v>
      </c>
      <c r="F198" s="293">
        <v>50192</v>
      </c>
      <c r="G198" s="293">
        <v>50221</v>
      </c>
      <c r="H198" s="293">
        <v>50236</v>
      </c>
      <c r="I198" s="293">
        <v>50241</v>
      </c>
      <c r="J198" s="293">
        <v>50244</v>
      </c>
      <c r="K198" s="10">
        <v>50248</v>
      </c>
    </row>
    <row r="199" spans="2:11" x14ac:dyDescent="0.35">
      <c r="B199" s="336" t="s">
        <v>657</v>
      </c>
      <c r="D199" s="285"/>
      <c r="E199" s="293" t="s">
        <v>657</v>
      </c>
      <c r="F199" s="293">
        <v>50222</v>
      </c>
      <c r="G199" s="293">
        <v>50252</v>
      </c>
      <c r="H199" s="293">
        <v>50266</v>
      </c>
      <c r="I199" s="293" t="s">
        <v>657</v>
      </c>
      <c r="J199" s="293"/>
      <c r="K199" s="10" t="s">
        <v>657</v>
      </c>
    </row>
    <row r="200" spans="2:11" x14ac:dyDescent="0.35">
      <c r="B200" s="336" t="s">
        <v>657</v>
      </c>
      <c r="D200" s="285"/>
      <c r="E200" s="293" t="s">
        <v>657</v>
      </c>
      <c r="F200" s="293">
        <v>50253</v>
      </c>
      <c r="G200" s="293">
        <v>50283</v>
      </c>
      <c r="H200" s="293">
        <v>50298</v>
      </c>
      <c r="I200" s="293" t="s">
        <v>657</v>
      </c>
      <c r="J200" s="293"/>
      <c r="K200" s="10" t="s">
        <v>657</v>
      </c>
    </row>
    <row r="201" spans="2:11" x14ac:dyDescent="0.35">
      <c r="B201" s="336">
        <v>55</v>
      </c>
      <c r="D201" s="285">
        <v>50222</v>
      </c>
      <c r="E201" s="293">
        <v>50313</v>
      </c>
      <c r="F201" s="293">
        <v>50284</v>
      </c>
      <c r="G201" s="293">
        <v>50313</v>
      </c>
      <c r="H201" s="293">
        <v>50328</v>
      </c>
      <c r="I201" s="293">
        <v>50333</v>
      </c>
      <c r="J201" s="293">
        <v>50336</v>
      </c>
      <c r="K201" s="10">
        <v>50340</v>
      </c>
    </row>
    <row r="202" spans="2:11" x14ac:dyDescent="0.35">
      <c r="B202" s="336" t="s">
        <v>657</v>
      </c>
      <c r="D202" s="285"/>
      <c r="E202" s="293" t="s">
        <v>657</v>
      </c>
      <c r="F202" s="293">
        <v>50314</v>
      </c>
      <c r="G202" s="293">
        <v>50344</v>
      </c>
      <c r="H202" s="293">
        <v>50357</v>
      </c>
      <c r="I202" s="293" t="s">
        <v>657</v>
      </c>
      <c r="J202" s="293"/>
      <c r="K202" s="10" t="s">
        <v>657</v>
      </c>
    </row>
    <row r="203" spans="2:11" x14ac:dyDescent="0.35">
      <c r="B203" s="336" t="s">
        <v>657</v>
      </c>
      <c r="D203" s="285"/>
      <c r="E203" s="293" t="s">
        <v>657</v>
      </c>
      <c r="F203" s="293">
        <v>50345</v>
      </c>
      <c r="G203" s="293">
        <v>50374</v>
      </c>
      <c r="H203" s="293">
        <v>50389</v>
      </c>
      <c r="I203" s="293" t="s">
        <v>657</v>
      </c>
      <c r="J203" s="293"/>
      <c r="K203" s="10" t="s">
        <v>657</v>
      </c>
    </row>
    <row r="204" spans="2:11" x14ac:dyDescent="0.35">
      <c r="B204" s="336">
        <v>56</v>
      </c>
      <c r="D204" s="285">
        <v>50314</v>
      </c>
      <c r="E204" s="293">
        <v>50405</v>
      </c>
      <c r="F204" s="293">
        <v>50375</v>
      </c>
      <c r="G204" s="293">
        <v>50405</v>
      </c>
      <c r="H204" s="293">
        <v>50420</v>
      </c>
      <c r="I204" s="293">
        <v>50425</v>
      </c>
      <c r="J204" s="293">
        <v>50430</v>
      </c>
      <c r="K204" s="10">
        <v>50432</v>
      </c>
    </row>
    <row r="205" spans="2:11" x14ac:dyDescent="0.35">
      <c r="B205" s="336" t="s">
        <v>657</v>
      </c>
      <c r="D205" s="285"/>
      <c r="E205" s="293" t="s">
        <v>657</v>
      </c>
      <c r="F205" s="293">
        <v>50406</v>
      </c>
      <c r="G205" s="293">
        <v>50436</v>
      </c>
      <c r="H205" s="293">
        <v>50451</v>
      </c>
      <c r="I205" s="293" t="s">
        <v>657</v>
      </c>
      <c r="J205" s="293"/>
      <c r="K205" s="10" t="s">
        <v>657</v>
      </c>
    </row>
    <row r="206" spans="2:11" x14ac:dyDescent="0.35">
      <c r="B206" s="336" t="s">
        <v>657</v>
      </c>
      <c r="D206" s="285"/>
      <c r="E206" s="293" t="s">
        <v>657</v>
      </c>
      <c r="F206" s="293">
        <v>50437</v>
      </c>
      <c r="G206" s="293">
        <v>50464</v>
      </c>
      <c r="H206" s="293">
        <v>50479</v>
      </c>
      <c r="I206" s="293" t="s">
        <v>657</v>
      </c>
      <c r="J206" s="293"/>
      <c r="K206" s="10" t="s">
        <v>657</v>
      </c>
    </row>
    <row r="207" spans="2:11" x14ac:dyDescent="0.35">
      <c r="B207" s="336">
        <v>57</v>
      </c>
      <c r="D207" s="285">
        <v>50406</v>
      </c>
      <c r="E207" s="293">
        <v>50495</v>
      </c>
      <c r="F207" s="293">
        <v>50465</v>
      </c>
      <c r="G207" s="293">
        <v>50495</v>
      </c>
      <c r="H207" s="293">
        <v>50510</v>
      </c>
      <c r="I207" s="293">
        <v>50515</v>
      </c>
      <c r="J207" s="293">
        <v>50518</v>
      </c>
      <c r="K207" s="10">
        <v>50522</v>
      </c>
    </row>
    <row r="208" spans="2:11" x14ac:dyDescent="0.35">
      <c r="B208" s="336" t="s">
        <v>657</v>
      </c>
      <c r="D208" s="285"/>
      <c r="E208" s="293" t="s">
        <v>657</v>
      </c>
      <c r="F208" s="293">
        <v>50496</v>
      </c>
      <c r="G208" s="293">
        <v>50525</v>
      </c>
      <c r="H208" s="293">
        <v>50539</v>
      </c>
      <c r="I208" s="293" t="s">
        <v>657</v>
      </c>
      <c r="J208" s="293"/>
      <c r="K208" s="10" t="s">
        <v>657</v>
      </c>
    </row>
    <row r="209" spans="2:11" x14ac:dyDescent="0.35">
      <c r="B209" s="336" t="s">
        <v>657</v>
      </c>
      <c r="D209" s="285"/>
      <c r="E209" s="293" t="s">
        <v>657</v>
      </c>
      <c r="F209" s="293">
        <v>50526</v>
      </c>
      <c r="G209" s="293">
        <v>50556</v>
      </c>
      <c r="H209" s="293">
        <v>50571</v>
      </c>
      <c r="I209" s="293" t="s">
        <v>657</v>
      </c>
      <c r="J209" s="293"/>
      <c r="K209" s="10" t="s">
        <v>657</v>
      </c>
    </row>
    <row r="210" spans="2:11" x14ac:dyDescent="0.35">
      <c r="B210" s="336">
        <v>58</v>
      </c>
      <c r="D210" s="285">
        <v>50496</v>
      </c>
      <c r="E210" s="293">
        <v>50586</v>
      </c>
      <c r="F210" s="293">
        <v>50557</v>
      </c>
      <c r="G210" s="293">
        <v>50586</v>
      </c>
      <c r="H210" s="293">
        <v>50601</v>
      </c>
      <c r="I210" s="293">
        <v>50606</v>
      </c>
      <c r="J210" s="293">
        <v>50609</v>
      </c>
      <c r="K210" s="10">
        <v>50613</v>
      </c>
    </row>
    <row r="211" spans="2:11" x14ac:dyDescent="0.35">
      <c r="B211" s="336" t="s">
        <v>657</v>
      </c>
      <c r="D211" s="285"/>
      <c r="E211" s="293" t="s">
        <v>657</v>
      </c>
      <c r="F211" s="293">
        <v>50587</v>
      </c>
      <c r="G211" s="293">
        <v>50617</v>
      </c>
      <c r="H211" s="293">
        <v>50630</v>
      </c>
      <c r="I211" s="293" t="s">
        <v>657</v>
      </c>
      <c r="J211" s="293"/>
      <c r="K211" s="10" t="s">
        <v>657</v>
      </c>
    </row>
    <row r="212" spans="2:11" x14ac:dyDescent="0.35">
      <c r="B212" s="336" t="s">
        <v>657</v>
      </c>
      <c r="D212" s="285"/>
      <c r="E212" s="293" t="s">
        <v>657</v>
      </c>
      <c r="F212" s="293">
        <v>50618</v>
      </c>
      <c r="G212" s="293">
        <v>50648</v>
      </c>
      <c r="H212" s="293">
        <v>50663</v>
      </c>
      <c r="I212" s="293" t="s">
        <v>657</v>
      </c>
      <c r="J212" s="293"/>
      <c r="K212" s="10" t="s">
        <v>657</v>
      </c>
    </row>
    <row r="213" spans="2:11" x14ac:dyDescent="0.35">
      <c r="B213" s="336">
        <v>59</v>
      </c>
      <c r="D213" s="285">
        <v>50587</v>
      </c>
      <c r="E213" s="293">
        <v>50678</v>
      </c>
      <c r="F213" s="293">
        <v>50649</v>
      </c>
      <c r="G213" s="293">
        <v>50678</v>
      </c>
      <c r="H213" s="293">
        <v>50693</v>
      </c>
      <c r="I213" s="293">
        <v>50698</v>
      </c>
      <c r="J213" s="293">
        <v>50703</v>
      </c>
      <c r="K213" s="10">
        <v>50705</v>
      </c>
    </row>
    <row r="214" spans="2:11" x14ac:dyDescent="0.35">
      <c r="B214" s="336" t="s">
        <v>657</v>
      </c>
      <c r="D214" s="285"/>
      <c r="E214" s="293" t="s">
        <v>657</v>
      </c>
      <c r="F214" s="293">
        <v>50679</v>
      </c>
      <c r="G214" s="293">
        <v>50709</v>
      </c>
      <c r="H214" s="293">
        <v>50724</v>
      </c>
      <c r="I214" s="293" t="s">
        <v>657</v>
      </c>
      <c r="J214" s="293"/>
      <c r="K214" s="10" t="s">
        <v>657</v>
      </c>
    </row>
    <row r="215" spans="2:11" x14ac:dyDescent="0.35">
      <c r="B215" s="336" t="s">
        <v>657</v>
      </c>
      <c r="D215" s="285"/>
      <c r="E215" s="293" t="s">
        <v>657</v>
      </c>
      <c r="F215" s="293">
        <v>50710</v>
      </c>
      <c r="G215" s="293">
        <v>50739</v>
      </c>
      <c r="H215" s="293">
        <v>50754</v>
      </c>
      <c r="I215" s="293" t="s">
        <v>657</v>
      </c>
      <c r="J215" s="293"/>
      <c r="K215" s="10" t="s">
        <v>657</v>
      </c>
    </row>
    <row r="216" spans="2:11" x14ac:dyDescent="0.35">
      <c r="B216" s="336">
        <v>60</v>
      </c>
      <c r="D216" s="285">
        <v>50679</v>
      </c>
      <c r="E216" s="293">
        <v>50770</v>
      </c>
      <c r="F216" s="293">
        <v>50740</v>
      </c>
      <c r="G216" s="293">
        <v>50770</v>
      </c>
      <c r="H216" s="293">
        <v>50784</v>
      </c>
      <c r="I216" s="293">
        <v>50790</v>
      </c>
      <c r="J216" s="293">
        <v>50794</v>
      </c>
      <c r="K216" s="10">
        <v>50796</v>
      </c>
    </row>
    <row r="217" spans="2:11" x14ac:dyDescent="0.35">
      <c r="B217" s="336" t="s">
        <v>657</v>
      </c>
      <c r="D217" s="285"/>
      <c r="E217" s="293" t="s">
        <v>657</v>
      </c>
      <c r="F217" s="293">
        <v>50771</v>
      </c>
      <c r="G217" s="293">
        <v>50801</v>
      </c>
      <c r="H217" s="293">
        <v>50816</v>
      </c>
      <c r="I217" s="293" t="s">
        <v>657</v>
      </c>
      <c r="J217" s="293"/>
      <c r="K217" s="10" t="s">
        <v>657</v>
      </c>
    </row>
    <row r="218" spans="2:11" x14ac:dyDescent="0.35">
      <c r="B218" s="336" t="s">
        <v>657</v>
      </c>
      <c r="D218" s="285"/>
      <c r="E218" s="293" t="s">
        <v>657</v>
      </c>
      <c r="F218" s="293">
        <v>50802</v>
      </c>
      <c r="G218" s="293">
        <v>50829</v>
      </c>
      <c r="H218" s="293">
        <v>50844</v>
      </c>
      <c r="I218" s="293" t="s">
        <v>657</v>
      </c>
      <c r="J218" s="293"/>
      <c r="K218" s="10" t="s">
        <v>657</v>
      </c>
    </row>
    <row r="219" spans="2:11" x14ac:dyDescent="0.35">
      <c r="B219" s="336">
        <v>61</v>
      </c>
      <c r="D219" s="285">
        <v>50771</v>
      </c>
      <c r="E219" s="293">
        <v>50860</v>
      </c>
      <c r="F219" s="293">
        <v>50830</v>
      </c>
      <c r="G219" s="293">
        <v>50860</v>
      </c>
      <c r="H219" s="293">
        <v>50875</v>
      </c>
      <c r="I219" s="293">
        <v>50880</v>
      </c>
      <c r="J219" s="293">
        <v>50885</v>
      </c>
      <c r="K219" s="10">
        <v>50887</v>
      </c>
    </row>
    <row r="220" spans="2:11" x14ac:dyDescent="0.35">
      <c r="B220" s="336" t="s">
        <v>657</v>
      </c>
      <c r="D220" s="285"/>
      <c r="E220" s="293" t="s">
        <v>657</v>
      </c>
      <c r="F220" s="293">
        <v>50861</v>
      </c>
      <c r="G220" s="293">
        <v>50890</v>
      </c>
      <c r="H220" s="293">
        <v>50903</v>
      </c>
      <c r="I220" s="293" t="s">
        <v>657</v>
      </c>
      <c r="J220" s="293"/>
      <c r="K220" s="10" t="s">
        <v>657</v>
      </c>
    </row>
    <row r="221" spans="2:11" x14ac:dyDescent="0.35">
      <c r="B221" s="336" t="s">
        <v>657</v>
      </c>
      <c r="D221" s="285"/>
      <c r="E221" s="293" t="s">
        <v>657</v>
      </c>
      <c r="F221" s="293">
        <v>50891</v>
      </c>
      <c r="G221" s="293">
        <v>50921</v>
      </c>
      <c r="H221" s="293">
        <v>50936</v>
      </c>
      <c r="I221" s="293" t="s">
        <v>657</v>
      </c>
      <c r="J221" s="293"/>
      <c r="K221" s="10" t="s">
        <v>657</v>
      </c>
    </row>
    <row r="222" spans="2:11" x14ac:dyDescent="0.35">
      <c r="B222" s="336">
        <v>62</v>
      </c>
      <c r="D222" s="285">
        <v>50861</v>
      </c>
      <c r="E222" s="293">
        <v>50951</v>
      </c>
      <c r="F222" s="293">
        <v>50922</v>
      </c>
      <c r="G222" s="293">
        <v>50951</v>
      </c>
      <c r="H222" s="293">
        <v>50966</v>
      </c>
      <c r="I222" s="293">
        <v>50971</v>
      </c>
      <c r="J222" s="293">
        <v>50976</v>
      </c>
      <c r="K222" s="10">
        <v>50978</v>
      </c>
    </row>
    <row r="223" spans="2:11" x14ac:dyDescent="0.35">
      <c r="B223" s="336" t="s">
        <v>657</v>
      </c>
      <c r="D223" s="285"/>
      <c r="E223" s="293" t="s">
        <v>657</v>
      </c>
      <c r="F223" s="293">
        <v>50952</v>
      </c>
      <c r="G223" s="293">
        <v>50982</v>
      </c>
      <c r="H223" s="293">
        <v>50997</v>
      </c>
      <c r="I223" s="293" t="s">
        <v>657</v>
      </c>
      <c r="J223" s="293"/>
      <c r="K223" s="10" t="s">
        <v>657</v>
      </c>
    </row>
    <row r="224" spans="2:11" x14ac:dyDescent="0.35">
      <c r="B224" s="336" t="s">
        <v>657</v>
      </c>
      <c r="D224" s="285"/>
      <c r="E224" s="293" t="s">
        <v>657</v>
      </c>
      <c r="F224" s="293">
        <v>50983</v>
      </c>
      <c r="G224" s="293">
        <v>51013</v>
      </c>
      <c r="H224" s="293">
        <v>51028</v>
      </c>
      <c r="I224" s="293" t="s">
        <v>657</v>
      </c>
      <c r="J224" s="293"/>
      <c r="K224" s="10" t="s">
        <v>657</v>
      </c>
    </row>
    <row r="225" spans="2:11" x14ac:dyDescent="0.35">
      <c r="B225" s="336">
        <v>63</v>
      </c>
      <c r="D225" s="285">
        <v>50952</v>
      </c>
      <c r="E225" s="293">
        <v>51043</v>
      </c>
      <c r="F225" s="293">
        <v>51014</v>
      </c>
      <c r="G225" s="293">
        <v>51043</v>
      </c>
      <c r="H225" s="293">
        <v>51057</v>
      </c>
      <c r="I225" s="293">
        <v>51063</v>
      </c>
      <c r="J225" s="293">
        <v>51067</v>
      </c>
      <c r="K225" s="10">
        <v>51069</v>
      </c>
    </row>
    <row r="226" spans="2:11" x14ac:dyDescent="0.35">
      <c r="B226" s="336" t="s">
        <v>657</v>
      </c>
      <c r="D226" s="285"/>
      <c r="E226" s="293" t="s">
        <v>657</v>
      </c>
      <c r="F226" s="293">
        <v>51044</v>
      </c>
      <c r="G226" s="293">
        <v>51074</v>
      </c>
      <c r="H226" s="293">
        <v>51089</v>
      </c>
      <c r="I226" s="293" t="s">
        <v>657</v>
      </c>
      <c r="J226" s="293"/>
      <c r="K226" s="10" t="s">
        <v>657</v>
      </c>
    </row>
    <row r="227" spans="2:11" x14ac:dyDescent="0.35">
      <c r="B227" s="336" t="s">
        <v>657</v>
      </c>
      <c r="D227" s="285"/>
      <c r="E227" s="293" t="s">
        <v>657</v>
      </c>
      <c r="F227" s="293">
        <v>51075</v>
      </c>
      <c r="G227" s="293">
        <v>51104</v>
      </c>
      <c r="H227" s="293">
        <v>51119</v>
      </c>
      <c r="I227" s="293" t="s">
        <v>657</v>
      </c>
      <c r="J227" s="293"/>
      <c r="K227" s="10" t="s">
        <v>657</v>
      </c>
    </row>
    <row r="228" spans="2:11" x14ac:dyDescent="0.35">
      <c r="B228" s="336">
        <v>64</v>
      </c>
      <c r="D228" s="285">
        <v>51044</v>
      </c>
      <c r="E228" s="293">
        <v>51135</v>
      </c>
      <c r="F228" s="293">
        <v>51105</v>
      </c>
      <c r="G228" s="293">
        <v>51135</v>
      </c>
      <c r="H228" s="293">
        <v>51148</v>
      </c>
      <c r="I228" s="293">
        <v>51154</v>
      </c>
      <c r="J228" s="293">
        <v>51158</v>
      </c>
      <c r="K228" s="10">
        <v>51160</v>
      </c>
    </row>
    <row r="229" spans="2:11" x14ac:dyDescent="0.35">
      <c r="B229" s="336" t="s">
        <v>657</v>
      </c>
      <c r="D229" s="285"/>
      <c r="E229" s="293" t="s">
        <v>657</v>
      </c>
      <c r="F229" s="293">
        <v>51136</v>
      </c>
      <c r="G229" s="293">
        <v>51166</v>
      </c>
      <c r="H229" s="293">
        <v>51181</v>
      </c>
      <c r="I229" s="293" t="s">
        <v>657</v>
      </c>
      <c r="J229" s="293"/>
      <c r="K229" s="10" t="s">
        <v>657</v>
      </c>
    </row>
    <row r="230" spans="2:11" x14ac:dyDescent="0.35">
      <c r="B230" s="336" t="s">
        <v>657</v>
      </c>
      <c r="D230" s="285"/>
      <c r="E230" s="293" t="s">
        <v>657</v>
      </c>
      <c r="F230" s="293">
        <v>51167</v>
      </c>
      <c r="G230" s="293">
        <v>51195</v>
      </c>
      <c r="H230" s="293">
        <v>51210</v>
      </c>
      <c r="I230" s="293" t="s">
        <v>657</v>
      </c>
      <c r="J230" s="293"/>
      <c r="K230" s="10" t="s">
        <v>657</v>
      </c>
    </row>
    <row r="231" spans="2:11" x14ac:dyDescent="0.35">
      <c r="B231" s="336">
        <v>65</v>
      </c>
      <c r="D231" s="285">
        <v>51136</v>
      </c>
      <c r="E231" s="293">
        <v>51226</v>
      </c>
      <c r="F231" s="293">
        <v>51196</v>
      </c>
      <c r="G231" s="293">
        <v>51226</v>
      </c>
      <c r="H231" s="293">
        <v>51239</v>
      </c>
      <c r="I231" s="293">
        <v>51245</v>
      </c>
      <c r="J231" s="293">
        <v>51249</v>
      </c>
      <c r="K231" s="10">
        <v>51251</v>
      </c>
    </row>
    <row r="232" spans="2:11" x14ac:dyDescent="0.35">
      <c r="B232" s="336" t="s">
        <v>657</v>
      </c>
      <c r="D232" s="285"/>
      <c r="E232" s="293" t="s">
        <v>657</v>
      </c>
      <c r="F232" s="293">
        <v>51227</v>
      </c>
      <c r="G232" s="293">
        <v>51256</v>
      </c>
      <c r="H232" s="293">
        <v>51271</v>
      </c>
      <c r="I232" s="293" t="s">
        <v>657</v>
      </c>
      <c r="J232" s="293"/>
      <c r="K232" s="10" t="s">
        <v>657</v>
      </c>
    </row>
    <row r="233" spans="2:11" x14ac:dyDescent="0.35">
      <c r="B233" s="336" t="s">
        <v>657</v>
      </c>
      <c r="D233" s="285"/>
      <c r="E233" s="293" t="s">
        <v>657</v>
      </c>
      <c r="F233" s="293">
        <v>51257</v>
      </c>
      <c r="G233" s="293">
        <v>51287</v>
      </c>
      <c r="H233" s="293">
        <v>51302</v>
      </c>
      <c r="I233" s="293" t="s">
        <v>657</v>
      </c>
      <c r="J233" s="293"/>
      <c r="K233" s="10" t="s">
        <v>657</v>
      </c>
    </row>
    <row r="234" spans="2:11" x14ac:dyDescent="0.35">
      <c r="B234" s="336">
        <v>66</v>
      </c>
      <c r="D234" s="285">
        <v>51227</v>
      </c>
      <c r="E234" s="293">
        <v>51317</v>
      </c>
      <c r="F234" s="293">
        <v>51288</v>
      </c>
      <c r="G234" s="293">
        <v>51317</v>
      </c>
      <c r="H234" s="293">
        <v>51330</v>
      </c>
      <c r="I234" s="293">
        <v>51336</v>
      </c>
      <c r="J234" s="293">
        <v>51340</v>
      </c>
      <c r="K234" s="10">
        <v>51342</v>
      </c>
    </row>
    <row r="235" spans="2:11" x14ac:dyDescent="0.35">
      <c r="B235" s="336" t="s">
        <v>657</v>
      </c>
      <c r="D235" s="285"/>
      <c r="E235" s="293" t="s">
        <v>657</v>
      </c>
      <c r="F235" s="293">
        <v>51318</v>
      </c>
      <c r="G235" s="293">
        <v>51348</v>
      </c>
      <c r="H235" s="293">
        <v>51363</v>
      </c>
      <c r="I235" s="293" t="s">
        <v>657</v>
      </c>
      <c r="J235" s="293"/>
      <c r="K235" s="10" t="s">
        <v>657</v>
      </c>
    </row>
    <row r="236" spans="2:11" x14ac:dyDescent="0.35">
      <c r="B236" s="336" t="s">
        <v>657</v>
      </c>
      <c r="D236" s="285"/>
      <c r="E236" s="293" t="s">
        <v>657</v>
      </c>
      <c r="F236" s="293">
        <v>51349</v>
      </c>
      <c r="G236" s="293">
        <v>51379</v>
      </c>
      <c r="H236" s="293">
        <v>51393</v>
      </c>
      <c r="I236" s="293" t="s">
        <v>657</v>
      </c>
      <c r="J236" s="293"/>
      <c r="K236" s="10" t="s">
        <v>657</v>
      </c>
    </row>
    <row r="237" spans="2:11" x14ac:dyDescent="0.35">
      <c r="B237" s="336">
        <v>67</v>
      </c>
      <c r="D237" s="285">
        <v>51318</v>
      </c>
      <c r="E237" s="293">
        <v>51409</v>
      </c>
      <c r="F237" s="293">
        <v>51380</v>
      </c>
      <c r="G237" s="293">
        <v>51409</v>
      </c>
      <c r="H237" s="293">
        <v>51424</v>
      </c>
      <c r="I237" s="293">
        <v>51427</v>
      </c>
      <c r="J237" s="293">
        <v>51432</v>
      </c>
      <c r="K237" s="10">
        <v>51434</v>
      </c>
    </row>
    <row r="238" spans="2:11" x14ac:dyDescent="0.35">
      <c r="B238" s="336" t="s">
        <v>657</v>
      </c>
      <c r="D238" s="285"/>
      <c r="E238" s="293" t="s">
        <v>657</v>
      </c>
      <c r="F238" s="293">
        <v>51410</v>
      </c>
      <c r="G238" s="293">
        <v>51440</v>
      </c>
      <c r="H238" s="293">
        <v>51455</v>
      </c>
      <c r="I238" s="293" t="s">
        <v>657</v>
      </c>
      <c r="J238" s="293"/>
      <c r="K238" s="10" t="s">
        <v>657</v>
      </c>
    </row>
    <row r="239" spans="2:11" x14ac:dyDescent="0.35">
      <c r="B239" s="336" t="s">
        <v>657</v>
      </c>
      <c r="D239" s="285"/>
      <c r="E239" s="293" t="s">
        <v>657</v>
      </c>
      <c r="F239" s="293">
        <v>51441</v>
      </c>
      <c r="G239" s="293">
        <v>51470</v>
      </c>
      <c r="H239" s="293">
        <v>51484</v>
      </c>
      <c r="I239" s="293" t="s">
        <v>657</v>
      </c>
      <c r="J239" s="293"/>
      <c r="K239" s="10" t="s">
        <v>657</v>
      </c>
    </row>
    <row r="240" spans="2:11" x14ac:dyDescent="0.35">
      <c r="B240" s="336">
        <v>68</v>
      </c>
      <c r="D240" s="285">
        <v>51410</v>
      </c>
      <c r="E240" s="293">
        <v>51501</v>
      </c>
      <c r="F240" s="293">
        <v>51471</v>
      </c>
      <c r="G240" s="293">
        <v>51501</v>
      </c>
      <c r="H240" s="293">
        <v>51516</v>
      </c>
      <c r="I240" s="293">
        <v>51519</v>
      </c>
      <c r="J240" s="293">
        <v>51524</v>
      </c>
      <c r="K240" s="10">
        <v>51526</v>
      </c>
    </row>
    <row r="241" spans="2:11" x14ac:dyDescent="0.35">
      <c r="B241" s="336" t="s">
        <v>657</v>
      </c>
      <c r="D241" s="285"/>
      <c r="E241" s="293" t="s">
        <v>657</v>
      </c>
      <c r="F241" s="293">
        <v>51502</v>
      </c>
      <c r="G241" s="293">
        <v>51532</v>
      </c>
      <c r="H241" s="293">
        <v>51547</v>
      </c>
      <c r="I241" s="293" t="s">
        <v>657</v>
      </c>
      <c r="J241" s="293"/>
      <c r="K241" s="10" t="s">
        <v>657</v>
      </c>
    </row>
    <row r="242" spans="2:11" x14ac:dyDescent="0.35">
      <c r="B242" s="336" t="s">
        <v>657</v>
      </c>
      <c r="D242" s="285"/>
      <c r="E242" s="293" t="s">
        <v>657</v>
      </c>
      <c r="F242" s="293">
        <v>51533</v>
      </c>
      <c r="G242" s="293">
        <v>51560</v>
      </c>
      <c r="H242" s="293">
        <v>51575</v>
      </c>
      <c r="I242" s="293" t="s">
        <v>657</v>
      </c>
      <c r="J242" s="293"/>
      <c r="K242" s="10" t="s">
        <v>657</v>
      </c>
    </row>
    <row r="243" spans="2:11" x14ac:dyDescent="0.35">
      <c r="B243" s="336">
        <v>69</v>
      </c>
      <c r="D243" s="285">
        <v>51502</v>
      </c>
      <c r="E243" s="293">
        <v>51591</v>
      </c>
      <c r="F243" s="293">
        <v>51561</v>
      </c>
      <c r="G243" s="293">
        <v>51591</v>
      </c>
      <c r="H243" s="293">
        <v>51606</v>
      </c>
      <c r="I243" s="293">
        <v>51609</v>
      </c>
      <c r="J243" s="293">
        <v>51614</v>
      </c>
      <c r="K243" s="10">
        <v>51616</v>
      </c>
    </row>
    <row r="244" spans="2:11" x14ac:dyDescent="0.35">
      <c r="B244" s="336" t="s">
        <v>657</v>
      </c>
      <c r="D244" s="285"/>
      <c r="E244" s="293" t="s">
        <v>657</v>
      </c>
      <c r="F244" s="293">
        <v>51592</v>
      </c>
      <c r="G244" s="293">
        <v>51621</v>
      </c>
      <c r="H244" s="293">
        <v>51636</v>
      </c>
      <c r="I244" s="293" t="s">
        <v>657</v>
      </c>
      <c r="J244" s="293"/>
      <c r="K244" s="10" t="s">
        <v>657</v>
      </c>
    </row>
    <row r="245" spans="2:11" x14ac:dyDescent="0.35">
      <c r="B245" s="336" t="s">
        <v>657</v>
      </c>
      <c r="D245" s="285"/>
      <c r="E245" s="293" t="s">
        <v>657</v>
      </c>
      <c r="F245" s="293">
        <v>51622</v>
      </c>
      <c r="G245" s="293">
        <v>51652</v>
      </c>
      <c r="H245" s="293">
        <v>51666</v>
      </c>
      <c r="I245" s="293" t="s">
        <v>657</v>
      </c>
      <c r="J245" s="293"/>
      <c r="K245" s="10" t="s">
        <v>657</v>
      </c>
    </row>
    <row r="246" spans="2:11" x14ac:dyDescent="0.35">
      <c r="B246" s="336">
        <v>70</v>
      </c>
      <c r="D246" s="285">
        <v>51592</v>
      </c>
      <c r="E246" s="293">
        <v>51682</v>
      </c>
      <c r="F246" s="293">
        <v>51653</v>
      </c>
      <c r="G246" s="293">
        <v>51682</v>
      </c>
      <c r="H246" s="293">
        <v>51697</v>
      </c>
      <c r="I246" s="293">
        <v>51700</v>
      </c>
      <c r="J246" s="293">
        <v>51705</v>
      </c>
      <c r="K246" s="10">
        <v>51707</v>
      </c>
    </row>
    <row r="247" spans="2:11" x14ac:dyDescent="0.35">
      <c r="B247" s="336" t="s">
        <v>657</v>
      </c>
      <c r="D247" s="285"/>
      <c r="E247" s="293" t="s">
        <v>657</v>
      </c>
      <c r="F247" s="293">
        <v>51683</v>
      </c>
      <c r="G247" s="293">
        <v>51713</v>
      </c>
      <c r="H247" s="293">
        <v>51728</v>
      </c>
      <c r="I247" s="293" t="s">
        <v>657</v>
      </c>
      <c r="J247" s="293"/>
      <c r="K247" s="10" t="s">
        <v>657</v>
      </c>
    </row>
    <row r="248" spans="2:11" x14ac:dyDescent="0.35">
      <c r="B248" s="336" t="s">
        <v>657</v>
      </c>
      <c r="D248" s="285"/>
      <c r="E248" s="293" t="s">
        <v>657</v>
      </c>
      <c r="F248" s="293">
        <v>51714</v>
      </c>
      <c r="G248" s="293">
        <v>51744</v>
      </c>
      <c r="H248" s="293">
        <v>51757</v>
      </c>
      <c r="I248" s="293" t="s">
        <v>657</v>
      </c>
      <c r="J248" s="293"/>
      <c r="K248" s="10" t="s">
        <v>657</v>
      </c>
    </row>
    <row r="249" spans="2:11" x14ac:dyDescent="0.35">
      <c r="B249" s="336">
        <v>71</v>
      </c>
      <c r="D249" s="285">
        <v>51683</v>
      </c>
      <c r="E249" s="293">
        <v>51774</v>
      </c>
      <c r="F249" s="293">
        <v>51745</v>
      </c>
      <c r="G249" s="293">
        <v>51774</v>
      </c>
      <c r="H249" s="293">
        <v>51789</v>
      </c>
      <c r="I249" s="293">
        <v>51792</v>
      </c>
      <c r="J249" s="293">
        <v>51797</v>
      </c>
      <c r="K249" s="10">
        <v>51799</v>
      </c>
    </row>
    <row r="250" spans="2:11" x14ac:dyDescent="0.35">
      <c r="B250" s="336" t="s">
        <v>657</v>
      </c>
      <c r="D250" s="285"/>
      <c r="E250" s="293" t="s">
        <v>657</v>
      </c>
      <c r="F250" s="293">
        <v>51775</v>
      </c>
      <c r="G250" s="293">
        <v>51805</v>
      </c>
      <c r="H250" s="293">
        <v>51820</v>
      </c>
      <c r="I250" s="293" t="s">
        <v>657</v>
      </c>
      <c r="J250" s="293"/>
      <c r="K250" s="10" t="s">
        <v>657</v>
      </c>
    </row>
    <row r="251" spans="2:11" x14ac:dyDescent="0.35">
      <c r="B251" s="336" t="s">
        <v>657</v>
      </c>
      <c r="D251" s="285"/>
      <c r="E251" s="293" t="s">
        <v>657</v>
      </c>
      <c r="F251" s="293">
        <v>51806</v>
      </c>
      <c r="G251" s="293">
        <v>51835</v>
      </c>
      <c r="H251" s="293">
        <v>51848</v>
      </c>
      <c r="I251" s="293" t="s">
        <v>657</v>
      </c>
      <c r="J251" s="293"/>
      <c r="K251" s="10" t="s">
        <v>657</v>
      </c>
    </row>
    <row r="252" spans="2:11" x14ac:dyDescent="0.35">
      <c r="B252" s="336">
        <v>72</v>
      </c>
      <c r="D252" s="285">
        <v>51775</v>
      </c>
      <c r="E252" s="293">
        <v>51866</v>
      </c>
      <c r="F252" s="293">
        <v>51836</v>
      </c>
      <c r="G252" s="293">
        <v>51866</v>
      </c>
      <c r="H252" s="293">
        <v>51881</v>
      </c>
      <c r="I252" s="293">
        <v>51886</v>
      </c>
      <c r="J252" s="293">
        <v>51889</v>
      </c>
      <c r="K252" s="10">
        <v>51893</v>
      </c>
    </row>
    <row r="253" spans="2:11" x14ac:dyDescent="0.35">
      <c r="B253" s="336" t="s">
        <v>657</v>
      </c>
      <c r="D253" s="285"/>
      <c r="E253" s="293" t="s">
        <v>657</v>
      </c>
      <c r="F253" s="293">
        <v>51867</v>
      </c>
      <c r="G253" s="293">
        <v>51897</v>
      </c>
      <c r="H253" s="293">
        <v>51911</v>
      </c>
      <c r="I253" s="293" t="s">
        <v>657</v>
      </c>
      <c r="J253" s="293"/>
      <c r="K253" s="10" t="s">
        <v>657</v>
      </c>
    </row>
    <row r="254" spans="2:11" x14ac:dyDescent="0.35">
      <c r="B254" s="336" t="s">
        <v>657</v>
      </c>
      <c r="D254" s="285"/>
      <c r="E254" s="293" t="s">
        <v>657</v>
      </c>
      <c r="F254" s="293">
        <v>51898</v>
      </c>
      <c r="G254" s="293">
        <v>51925</v>
      </c>
      <c r="H254" s="293">
        <v>51939</v>
      </c>
      <c r="I254" s="293" t="s">
        <v>657</v>
      </c>
      <c r="J254" s="293"/>
      <c r="K254" s="10" t="s">
        <v>657</v>
      </c>
    </row>
    <row r="255" spans="2:11" x14ac:dyDescent="0.35">
      <c r="B255" s="336">
        <v>73</v>
      </c>
      <c r="D255" s="285">
        <v>51867</v>
      </c>
      <c r="E255" s="293">
        <v>51956</v>
      </c>
      <c r="F255" s="293">
        <v>51926</v>
      </c>
      <c r="G255" s="293">
        <v>51956</v>
      </c>
      <c r="H255" s="293">
        <v>51971</v>
      </c>
      <c r="I255" s="293">
        <v>51974</v>
      </c>
      <c r="J255" s="293">
        <v>51979</v>
      </c>
      <c r="K255" s="10">
        <v>51981</v>
      </c>
    </row>
    <row r="256" spans="2:11" x14ac:dyDescent="0.35">
      <c r="B256" s="336" t="s">
        <v>657</v>
      </c>
      <c r="D256" s="285"/>
      <c r="E256" s="293" t="s">
        <v>657</v>
      </c>
      <c r="F256" s="293">
        <v>51957</v>
      </c>
      <c r="G256" s="293">
        <v>51986</v>
      </c>
      <c r="H256" s="293">
        <v>52001</v>
      </c>
      <c r="I256" s="293" t="s">
        <v>657</v>
      </c>
      <c r="J256" s="293"/>
      <c r="K256" s="10" t="s">
        <v>657</v>
      </c>
    </row>
    <row r="257" spans="2:11" x14ac:dyDescent="0.35">
      <c r="B257" s="336" t="s">
        <v>657</v>
      </c>
      <c r="D257" s="285"/>
      <c r="E257" s="293" t="s">
        <v>657</v>
      </c>
      <c r="F257" s="293">
        <v>51987</v>
      </c>
      <c r="G257" s="293">
        <v>52017</v>
      </c>
      <c r="H257" s="293">
        <v>52030</v>
      </c>
      <c r="I257" s="293" t="s">
        <v>657</v>
      </c>
      <c r="J257" s="293"/>
      <c r="K257" s="10" t="s">
        <v>657</v>
      </c>
    </row>
    <row r="258" spans="2:11" x14ac:dyDescent="0.35">
      <c r="B258" s="336">
        <v>74</v>
      </c>
      <c r="D258" s="285">
        <v>51957</v>
      </c>
      <c r="E258" s="293">
        <v>52047</v>
      </c>
      <c r="F258" s="293">
        <v>52018</v>
      </c>
      <c r="G258" s="293">
        <v>52047</v>
      </c>
      <c r="H258" s="293">
        <v>52062</v>
      </c>
      <c r="I258" s="293">
        <v>52065</v>
      </c>
      <c r="J258" s="293">
        <v>52070</v>
      </c>
      <c r="K258" s="10">
        <v>52072</v>
      </c>
    </row>
    <row r="259" spans="2:11" x14ac:dyDescent="0.35">
      <c r="B259" s="336" t="s">
        <v>657</v>
      </c>
      <c r="D259" s="285"/>
      <c r="E259" s="293" t="s">
        <v>657</v>
      </c>
      <c r="F259" s="293">
        <v>52048</v>
      </c>
      <c r="G259" s="293">
        <v>52078</v>
      </c>
      <c r="H259" s="293">
        <v>52093</v>
      </c>
      <c r="I259" s="293" t="s">
        <v>657</v>
      </c>
      <c r="J259" s="293"/>
      <c r="K259" s="10" t="s">
        <v>657</v>
      </c>
    </row>
    <row r="260" spans="2:11" x14ac:dyDescent="0.35">
      <c r="B260" s="336" t="s">
        <v>657</v>
      </c>
      <c r="D260" s="285"/>
      <c r="E260" s="293" t="s">
        <v>657</v>
      </c>
      <c r="F260" s="293">
        <v>52079</v>
      </c>
      <c r="G260" s="293">
        <v>52109</v>
      </c>
      <c r="H260" s="293">
        <v>52124</v>
      </c>
      <c r="I260" s="293" t="s">
        <v>657</v>
      </c>
      <c r="J260" s="293"/>
      <c r="K260" s="10" t="s">
        <v>657</v>
      </c>
    </row>
    <row r="261" spans="2:11" x14ac:dyDescent="0.35">
      <c r="B261" s="336">
        <v>75</v>
      </c>
      <c r="D261" s="285">
        <v>52048</v>
      </c>
      <c r="E261" s="293">
        <v>52139</v>
      </c>
      <c r="F261" s="293">
        <v>52110</v>
      </c>
      <c r="G261" s="293">
        <v>52139</v>
      </c>
      <c r="H261" s="293">
        <v>52154</v>
      </c>
      <c r="I261" s="293">
        <v>52159</v>
      </c>
      <c r="J261" s="293">
        <v>52162</v>
      </c>
      <c r="K261" s="10">
        <v>52166</v>
      </c>
    </row>
    <row r="262" spans="2:11" x14ac:dyDescent="0.35">
      <c r="B262" s="336" t="s">
        <v>657</v>
      </c>
      <c r="D262" s="285"/>
      <c r="E262" s="293" t="s">
        <v>657</v>
      </c>
      <c r="F262" s="293">
        <v>52140</v>
      </c>
      <c r="G262" s="293">
        <v>52170</v>
      </c>
      <c r="H262" s="293">
        <v>52184</v>
      </c>
      <c r="I262" s="293" t="s">
        <v>657</v>
      </c>
      <c r="J262" s="293"/>
      <c r="K262" s="10" t="s">
        <v>657</v>
      </c>
    </row>
    <row r="263" spans="2:11" x14ac:dyDescent="0.35">
      <c r="B263" s="336" t="s">
        <v>657</v>
      </c>
      <c r="D263" s="285"/>
      <c r="E263" s="293" t="s">
        <v>657</v>
      </c>
      <c r="F263" s="293">
        <v>52171</v>
      </c>
      <c r="G263" s="293">
        <v>52200</v>
      </c>
      <c r="H263" s="293">
        <v>52215</v>
      </c>
      <c r="I263" s="293" t="s">
        <v>657</v>
      </c>
      <c r="J263" s="293"/>
      <c r="K263" s="10" t="s">
        <v>657</v>
      </c>
    </row>
    <row r="264" spans="2:11" x14ac:dyDescent="0.35">
      <c r="B264" s="336">
        <v>76</v>
      </c>
      <c r="D264" s="285">
        <v>52140</v>
      </c>
      <c r="E264" s="293">
        <v>52231</v>
      </c>
      <c r="F264" s="293">
        <v>52201</v>
      </c>
      <c r="G264" s="293">
        <v>52231</v>
      </c>
      <c r="H264" s="293">
        <v>52246</v>
      </c>
      <c r="I264" s="293">
        <v>52251</v>
      </c>
      <c r="J264" s="293">
        <v>52254</v>
      </c>
      <c r="K264" s="10">
        <v>52258</v>
      </c>
    </row>
    <row r="265" spans="2:11" x14ac:dyDescent="0.35">
      <c r="B265" s="336" t="s">
        <v>657</v>
      </c>
      <c r="D265" s="285"/>
      <c r="E265" s="293" t="s">
        <v>657</v>
      </c>
      <c r="F265" s="293">
        <v>52232</v>
      </c>
      <c r="G265" s="293">
        <v>52262</v>
      </c>
      <c r="H265" s="293">
        <v>52275</v>
      </c>
      <c r="I265" s="293" t="s">
        <v>657</v>
      </c>
      <c r="J265" s="293"/>
      <c r="K265" s="10" t="s">
        <v>657</v>
      </c>
    </row>
    <row r="266" spans="2:11" x14ac:dyDescent="0.35">
      <c r="B266" s="336" t="s">
        <v>657</v>
      </c>
      <c r="D266" s="285"/>
      <c r="E266" s="293" t="s">
        <v>657</v>
      </c>
      <c r="F266" s="293">
        <v>52263</v>
      </c>
      <c r="G266" s="293">
        <v>52290</v>
      </c>
      <c r="H266" s="293">
        <v>52303</v>
      </c>
      <c r="I266" s="293" t="s">
        <v>657</v>
      </c>
      <c r="J266" s="293"/>
      <c r="K266" s="10" t="s">
        <v>657</v>
      </c>
    </row>
    <row r="267" spans="2:11" x14ac:dyDescent="0.35">
      <c r="B267" s="336">
        <v>77</v>
      </c>
      <c r="D267" s="285">
        <v>52232</v>
      </c>
      <c r="E267" s="293">
        <v>52321</v>
      </c>
      <c r="F267" s="293">
        <v>52291</v>
      </c>
      <c r="G267" s="293">
        <v>52321</v>
      </c>
      <c r="H267" s="293">
        <v>52336</v>
      </c>
      <c r="I267" s="293">
        <v>52341</v>
      </c>
      <c r="J267" s="293">
        <v>52344</v>
      </c>
      <c r="K267" s="10">
        <v>52348</v>
      </c>
    </row>
    <row r="268" spans="2:11" x14ac:dyDescent="0.35">
      <c r="B268" s="336" t="s">
        <v>657</v>
      </c>
      <c r="D268" s="285"/>
      <c r="E268" s="293" t="s">
        <v>657</v>
      </c>
      <c r="F268" s="293">
        <v>52322</v>
      </c>
      <c r="G268" s="293">
        <v>52351</v>
      </c>
      <c r="H268" s="293">
        <v>52366</v>
      </c>
      <c r="I268" s="293" t="s">
        <v>657</v>
      </c>
      <c r="J268" s="293"/>
      <c r="K268" s="10" t="s">
        <v>657</v>
      </c>
    </row>
    <row r="269" spans="2:11" x14ac:dyDescent="0.35">
      <c r="B269" s="336" t="s">
        <v>657</v>
      </c>
      <c r="D269" s="285"/>
      <c r="E269" s="293" t="s">
        <v>657</v>
      </c>
      <c r="F269" s="293">
        <v>52352</v>
      </c>
      <c r="G269" s="293">
        <v>52382</v>
      </c>
      <c r="H269" s="293">
        <v>52397</v>
      </c>
      <c r="I269" s="293" t="s">
        <v>657</v>
      </c>
      <c r="J269" s="293"/>
      <c r="K269" s="10" t="s">
        <v>657</v>
      </c>
    </row>
    <row r="270" spans="2:11" x14ac:dyDescent="0.35">
      <c r="B270" s="336">
        <v>78</v>
      </c>
      <c r="D270" s="285">
        <v>52322</v>
      </c>
      <c r="E270" s="293">
        <v>52412</v>
      </c>
      <c r="F270" s="293">
        <v>52383</v>
      </c>
      <c r="G270" s="293">
        <v>52412</v>
      </c>
      <c r="H270" s="293">
        <v>52427</v>
      </c>
      <c r="I270" s="293">
        <v>52432</v>
      </c>
      <c r="J270" s="293">
        <v>52435</v>
      </c>
      <c r="K270" s="10">
        <v>52439</v>
      </c>
    </row>
    <row r="271" spans="2:11" x14ac:dyDescent="0.35">
      <c r="B271" s="336" t="s">
        <v>657</v>
      </c>
      <c r="D271" s="285"/>
      <c r="E271" s="293" t="s">
        <v>657</v>
      </c>
      <c r="F271" s="293">
        <v>52413</v>
      </c>
      <c r="G271" s="293">
        <v>52443</v>
      </c>
      <c r="H271" s="293">
        <v>52457</v>
      </c>
      <c r="I271" s="293" t="s">
        <v>657</v>
      </c>
      <c r="J271" s="293"/>
      <c r="K271" s="10" t="s">
        <v>657</v>
      </c>
    </row>
    <row r="272" spans="2:11" x14ac:dyDescent="0.35">
      <c r="B272" s="336" t="s">
        <v>657</v>
      </c>
      <c r="D272" s="285"/>
      <c r="E272" s="293" t="s">
        <v>657</v>
      </c>
      <c r="F272" s="293">
        <v>52444</v>
      </c>
      <c r="G272" s="293">
        <v>52474</v>
      </c>
      <c r="H272" s="293">
        <v>52489</v>
      </c>
      <c r="I272" s="293" t="s">
        <v>657</v>
      </c>
      <c r="J272" s="293"/>
      <c r="K272" s="10" t="s">
        <v>657</v>
      </c>
    </row>
    <row r="273" spans="2:11" x14ac:dyDescent="0.35">
      <c r="B273" s="336">
        <v>79</v>
      </c>
      <c r="D273" s="285">
        <v>52413</v>
      </c>
      <c r="E273" s="293">
        <v>52504</v>
      </c>
      <c r="F273" s="293">
        <v>52475</v>
      </c>
      <c r="G273" s="293">
        <v>52504</v>
      </c>
      <c r="H273" s="293">
        <v>52519</v>
      </c>
      <c r="I273" s="293">
        <v>52524</v>
      </c>
      <c r="J273" s="293">
        <v>52527</v>
      </c>
      <c r="K273" s="10">
        <v>52531</v>
      </c>
    </row>
    <row r="274" spans="2:11" x14ac:dyDescent="0.35">
      <c r="B274" s="336" t="s">
        <v>657</v>
      </c>
      <c r="D274" s="285"/>
      <c r="E274" s="293" t="s">
        <v>657</v>
      </c>
      <c r="F274" s="293">
        <v>52505</v>
      </c>
      <c r="G274" s="293">
        <v>52535</v>
      </c>
      <c r="H274" s="293">
        <v>52548</v>
      </c>
      <c r="I274" s="293" t="s">
        <v>657</v>
      </c>
      <c r="J274" s="293"/>
      <c r="K274" s="10" t="s">
        <v>657</v>
      </c>
    </row>
    <row r="275" spans="2:11" x14ac:dyDescent="0.35">
      <c r="B275" s="336" t="s">
        <v>657</v>
      </c>
      <c r="D275" s="285"/>
      <c r="E275" s="293" t="s">
        <v>657</v>
      </c>
      <c r="F275" s="293">
        <v>52536</v>
      </c>
      <c r="G275" s="293">
        <v>52565</v>
      </c>
      <c r="H275" s="293">
        <v>52580</v>
      </c>
      <c r="I275" s="293" t="s">
        <v>657</v>
      </c>
      <c r="J275" s="293"/>
      <c r="K275" s="10" t="s">
        <v>657</v>
      </c>
    </row>
    <row r="276" spans="2:11" x14ac:dyDescent="0.35">
      <c r="B276" s="336">
        <v>80</v>
      </c>
      <c r="D276" s="285">
        <v>52505</v>
      </c>
      <c r="E276" s="293">
        <v>52596</v>
      </c>
      <c r="F276" s="293">
        <v>52566</v>
      </c>
      <c r="G276" s="293">
        <v>52596</v>
      </c>
      <c r="H276" s="293">
        <v>52611</v>
      </c>
      <c r="I276" s="293">
        <v>52616</v>
      </c>
      <c r="J276" s="293">
        <v>52621</v>
      </c>
      <c r="K276" s="10">
        <v>52623</v>
      </c>
    </row>
    <row r="277" spans="2:11" x14ac:dyDescent="0.35">
      <c r="B277" s="336" t="s">
        <v>657</v>
      </c>
      <c r="D277" s="285"/>
      <c r="E277" s="293" t="s">
        <v>657</v>
      </c>
      <c r="F277" s="293">
        <v>52597</v>
      </c>
      <c r="G277" s="293">
        <v>52627</v>
      </c>
      <c r="H277" s="293">
        <v>52642</v>
      </c>
      <c r="I277" s="293" t="s">
        <v>657</v>
      </c>
      <c r="J277" s="293"/>
      <c r="K277" s="10" t="s">
        <v>657</v>
      </c>
    </row>
    <row r="278" spans="2:11" x14ac:dyDescent="0.35">
      <c r="B278" s="336" t="s">
        <v>657</v>
      </c>
      <c r="D278" s="285"/>
      <c r="E278" s="293" t="s">
        <v>657</v>
      </c>
      <c r="F278" s="293">
        <v>52628</v>
      </c>
      <c r="G278" s="293">
        <v>52656</v>
      </c>
      <c r="H278" s="293">
        <v>52671</v>
      </c>
      <c r="I278" s="293" t="s">
        <v>657</v>
      </c>
      <c r="J278" s="293"/>
      <c r="K278" s="10" t="s">
        <v>657</v>
      </c>
    </row>
    <row r="279" spans="2:11" x14ac:dyDescent="0.35">
      <c r="B279" s="336">
        <v>81</v>
      </c>
      <c r="D279" s="285">
        <v>52597</v>
      </c>
      <c r="E279" s="293">
        <v>52687</v>
      </c>
      <c r="F279" s="293">
        <v>52657</v>
      </c>
      <c r="G279" s="293">
        <v>52687</v>
      </c>
      <c r="H279" s="293">
        <v>52702</v>
      </c>
      <c r="I279" s="293">
        <v>52707</v>
      </c>
      <c r="J279" s="293">
        <v>52712</v>
      </c>
      <c r="K279" s="10">
        <v>52714</v>
      </c>
    </row>
    <row r="280" spans="2:11" x14ac:dyDescent="0.35">
      <c r="B280" s="336" t="s">
        <v>657</v>
      </c>
      <c r="D280" s="285"/>
      <c r="E280" s="293" t="s">
        <v>657</v>
      </c>
      <c r="F280" s="293">
        <v>52688</v>
      </c>
      <c r="G280" s="293">
        <v>52717</v>
      </c>
      <c r="H280" s="293">
        <v>52730</v>
      </c>
      <c r="I280" s="293" t="s">
        <v>657</v>
      </c>
      <c r="J280" s="293"/>
      <c r="K280" s="10" t="s">
        <v>657</v>
      </c>
    </row>
    <row r="281" spans="2:11" x14ac:dyDescent="0.35">
      <c r="B281" s="336" t="s">
        <v>657</v>
      </c>
      <c r="D281" s="285"/>
      <c r="E281" s="293" t="s">
        <v>657</v>
      </c>
      <c r="F281" s="293">
        <v>52718</v>
      </c>
      <c r="G281" s="293">
        <v>52748</v>
      </c>
      <c r="H281" s="293">
        <v>52763</v>
      </c>
      <c r="I281" s="293" t="s">
        <v>657</v>
      </c>
      <c r="J281" s="293"/>
      <c r="K281" s="10" t="s">
        <v>657</v>
      </c>
    </row>
    <row r="282" spans="2:11" x14ac:dyDescent="0.35">
      <c r="B282" s="336">
        <v>82</v>
      </c>
      <c r="D282" s="285">
        <v>52688</v>
      </c>
      <c r="E282" s="293">
        <v>52778</v>
      </c>
      <c r="F282" s="293">
        <v>52749</v>
      </c>
      <c r="G282" s="293">
        <v>52778</v>
      </c>
      <c r="H282" s="293">
        <v>52793</v>
      </c>
      <c r="I282" s="293">
        <v>52798</v>
      </c>
      <c r="J282" s="293">
        <v>52803</v>
      </c>
      <c r="K282" s="10">
        <v>52805</v>
      </c>
    </row>
    <row r="283" spans="2:11" x14ac:dyDescent="0.35">
      <c r="B283" s="336" t="s">
        <v>657</v>
      </c>
      <c r="D283" s="285"/>
      <c r="E283" s="293" t="s">
        <v>657</v>
      </c>
      <c r="F283" s="293">
        <v>52779</v>
      </c>
      <c r="G283" s="293">
        <v>52809</v>
      </c>
      <c r="H283" s="293">
        <v>52824</v>
      </c>
      <c r="I283" s="293" t="s">
        <v>657</v>
      </c>
      <c r="J283" s="293"/>
      <c r="K283" s="10" t="s">
        <v>657</v>
      </c>
    </row>
    <row r="284" spans="2:11" x14ac:dyDescent="0.35">
      <c r="B284" s="336" t="s">
        <v>657</v>
      </c>
      <c r="D284" s="285"/>
      <c r="E284" s="293" t="s">
        <v>657</v>
      </c>
      <c r="F284" s="293">
        <v>52810</v>
      </c>
      <c r="G284" s="293">
        <v>52840</v>
      </c>
      <c r="H284" s="293">
        <v>52855</v>
      </c>
      <c r="I284" s="293" t="s">
        <v>657</v>
      </c>
      <c r="J284" s="293"/>
      <c r="K284" s="10" t="s">
        <v>657</v>
      </c>
    </row>
    <row r="285" spans="2:11" x14ac:dyDescent="0.35">
      <c r="B285" s="336">
        <v>83</v>
      </c>
      <c r="D285" s="285">
        <v>52779</v>
      </c>
      <c r="E285" s="293">
        <v>52870</v>
      </c>
      <c r="F285" s="293">
        <v>52841</v>
      </c>
      <c r="G285" s="293">
        <v>52870</v>
      </c>
      <c r="H285" s="293">
        <v>52884</v>
      </c>
      <c r="I285" s="293">
        <v>52890</v>
      </c>
      <c r="J285" s="293">
        <v>52894</v>
      </c>
      <c r="K285" s="10">
        <v>52896</v>
      </c>
    </row>
    <row r="286" spans="2:11" x14ac:dyDescent="0.35">
      <c r="B286" s="336" t="s">
        <v>657</v>
      </c>
      <c r="D286" s="285"/>
      <c r="E286" s="293" t="s">
        <v>657</v>
      </c>
      <c r="F286" s="293">
        <v>52871</v>
      </c>
      <c r="G286" s="293">
        <v>52901</v>
      </c>
      <c r="H286" s="293">
        <v>52916</v>
      </c>
      <c r="I286" s="293" t="s">
        <v>657</v>
      </c>
      <c r="J286" s="293"/>
      <c r="K286" s="10" t="s">
        <v>657</v>
      </c>
    </row>
    <row r="287" spans="2:11" x14ac:dyDescent="0.35">
      <c r="B287" s="336" t="s">
        <v>657</v>
      </c>
      <c r="D287" s="285"/>
      <c r="E287" s="293" t="s">
        <v>657</v>
      </c>
      <c r="F287" s="293">
        <v>52902</v>
      </c>
      <c r="G287" s="293">
        <v>52931</v>
      </c>
      <c r="H287" s="293">
        <v>52946</v>
      </c>
      <c r="I287" s="293" t="s">
        <v>657</v>
      </c>
      <c r="J287" s="293"/>
      <c r="K287" s="10" t="s">
        <v>657</v>
      </c>
    </row>
    <row r="288" spans="2:11" x14ac:dyDescent="0.35">
      <c r="B288" s="336">
        <v>84</v>
      </c>
      <c r="D288" s="285">
        <v>52871</v>
      </c>
      <c r="E288" s="293">
        <v>52962</v>
      </c>
      <c r="F288" s="293">
        <v>52932</v>
      </c>
      <c r="G288" s="293">
        <v>52962</v>
      </c>
      <c r="H288" s="293">
        <v>52975</v>
      </c>
      <c r="I288" s="293">
        <v>52981</v>
      </c>
      <c r="J288" s="293">
        <v>52985</v>
      </c>
      <c r="K288" s="10">
        <v>52987</v>
      </c>
    </row>
    <row r="289" spans="2:11" x14ac:dyDescent="0.35">
      <c r="B289" s="336" t="s">
        <v>657</v>
      </c>
      <c r="D289" s="285"/>
      <c r="E289" s="293" t="s">
        <v>657</v>
      </c>
      <c r="F289" s="293">
        <v>52963</v>
      </c>
      <c r="G289" s="293">
        <v>52993</v>
      </c>
      <c r="H289" s="293">
        <v>53008</v>
      </c>
      <c r="I289" s="293" t="s">
        <v>657</v>
      </c>
      <c r="J289" s="293"/>
      <c r="K289" s="10" t="s">
        <v>657</v>
      </c>
    </row>
    <row r="290" spans="2:11" x14ac:dyDescent="0.35">
      <c r="B290" s="336" t="s">
        <v>657</v>
      </c>
      <c r="D290" s="285"/>
      <c r="E290" s="293" t="s">
        <v>657</v>
      </c>
      <c r="F290" s="293">
        <v>52994</v>
      </c>
      <c r="G290" s="293">
        <v>53021</v>
      </c>
      <c r="H290" s="293">
        <v>53036</v>
      </c>
      <c r="I290" s="293" t="s">
        <v>657</v>
      </c>
      <c r="J290" s="293"/>
      <c r="K290" s="10" t="s">
        <v>657</v>
      </c>
    </row>
    <row r="291" spans="2:11" x14ac:dyDescent="0.35">
      <c r="B291" s="336">
        <v>85</v>
      </c>
      <c r="D291" s="285">
        <v>52963</v>
      </c>
      <c r="E291" s="293">
        <v>53052</v>
      </c>
      <c r="F291" s="293">
        <v>53022</v>
      </c>
      <c r="G291" s="293">
        <v>53052</v>
      </c>
      <c r="H291" s="293">
        <v>53066</v>
      </c>
      <c r="I291" s="293">
        <v>53072</v>
      </c>
      <c r="J291" s="293">
        <v>53076</v>
      </c>
      <c r="K291" s="10">
        <v>53078</v>
      </c>
    </row>
    <row r="292" spans="2:11" x14ac:dyDescent="0.35">
      <c r="B292" s="336" t="s">
        <v>657</v>
      </c>
      <c r="D292" s="285"/>
      <c r="E292" s="293" t="s">
        <v>657</v>
      </c>
      <c r="F292" s="293">
        <v>53053</v>
      </c>
      <c r="G292" s="293">
        <v>53082</v>
      </c>
      <c r="H292" s="293">
        <v>53097</v>
      </c>
      <c r="I292" s="293" t="s">
        <v>657</v>
      </c>
      <c r="J292" s="293"/>
      <c r="K292" s="10" t="s">
        <v>657</v>
      </c>
    </row>
    <row r="293" spans="2:11" x14ac:dyDescent="0.35">
      <c r="B293" s="336" t="s">
        <v>657</v>
      </c>
      <c r="D293" s="285"/>
      <c r="E293" s="293" t="s">
        <v>657</v>
      </c>
      <c r="F293" s="293">
        <v>53083</v>
      </c>
      <c r="G293" s="293">
        <v>53113</v>
      </c>
      <c r="H293" s="293">
        <v>53128</v>
      </c>
      <c r="I293" s="293" t="s">
        <v>657</v>
      </c>
      <c r="J293" s="293"/>
      <c r="K293" s="10" t="s">
        <v>657</v>
      </c>
    </row>
    <row r="294" spans="2:11" x14ac:dyDescent="0.35">
      <c r="B294" s="336">
        <v>86</v>
      </c>
      <c r="D294" s="285">
        <v>53053</v>
      </c>
      <c r="E294" s="293">
        <v>53143</v>
      </c>
      <c r="F294" s="293">
        <v>53114</v>
      </c>
      <c r="G294" s="293">
        <v>53143</v>
      </c>
      <c r="H294" s="293">
        <v>53157</v>
      </c>
      <c r="I294" s="293">
        <v>53163</v>
      </c>
      <c r="J294" s="293">
        <v>53167</v>
      </c>
      <c r="K294" s="10">
        <v>53169</v>
      </c>
    </row>
    <row r="295" spans="2:11" x14ac:dyDescent="0.35">
      <c r="B295" s="336" t="s">
        <v>657</v>
      </c>
      <c r="D295" s="285"/>
      <c r="E295" s="293" t="s">
        <v>657</v>
      </c>
      <c r="F295" s="293">
        <v>53144</v>
      </c>
      <c r="G295" s="293">
        <v>53174</v>
      </c>
      <c r="H295" s="293">
        <v>53189</v>
      </c>
      <c r="I295" s="293" t="s">
        <v>657</v>
      </c>
      <c r="J295" s="293"/>
      <c r="K295" s="10" t="s">
        <v>657</v>
      </c>
    </row>
    <row r="296" spans="2:11" x14ac:dyDescent="0.35">
      <c r="B296" s="336" t="s">
        <v>657</v>
      </c>
      <c r="D296" s="285"/>
      <c r="E296" s="293" t="s">
        <v>657</v>
      </c>
      <c r="F296" s="293">
        <v>53175</v>
      </c>
      <c r="G296" s="293">
        <v>53205</v>
      </c>
      <c r="H296" s="293">
        <v>53220</v>
      </c>
      <c r="I296" s="293" t="s">
        <v>657</v>
      </c>
      <c r="J296" s="293"/>
      <c r="K296" s="10" t="s">
        <v>657</v>
      </c>
    </row>
    <row r="297" spans="2:11" x14ac:dyDescent="0.35">
      <c r="B297" s="336">
        <v>87</v>
      </c>
      <c r="D297" s="285">
        <v>53144</v>
      </c>
      <c r="E297" s="293">
        <v>53235</v>
      </c>
      <c r="F297" s="293">
        <v>53206</v>
      </c>
      <c r="G297" s="293">
        <v>53235</v>
      </c>
      <c r="H297" s="293">
        <v>53248</v>
      </c>
      <c r="I297" s="293">
        <v>53254</v>
      </c>
      <c r="J297" s="293">
        <v>53258</v>
      </c>
      <c r="K297" s="10">
        <v>53260</v>
      </c>
    </row>
    <row r="298" spans="2:11" x14ac:dyDescent="0.35">
      <c r="B298" s="336" t="s">
        <v>657</v>
      </c>
      <c r="D298" s="285"/>
      <c r="E298" s="293" t="s">
        <v>657</v>
      </c>
      <c r="F298" s="293">
        <v>53236</v>
      </c>
      <c r="G298" s="293">
        <v>53266</v>
      </c>
      <c r="H298" s="293">
        <v>53281</v>
      </c>
      <c r="I298" s="293" t="s">
        <v>657</v>
      </c>
      <c r="J298" s="293"/>
      <c r="K298" s="10" t="s">
        <v>657</v>
      </c>
    </row>
    <row r="299" spans="2:11" x14ac:dyDescent="0.35">
      <c r="B299" s="336" t="s">
        <v>657</v>
      </c>
      <c r="D299" s="285"/>
      <c r="E299" s="293" t="s">
        <v>657</v>
      </c>
      <c r="F299" s="293">
        <v>53267</v>
      </c>
      <c r="G299" s="293">
        <v>53296</v>
      </c>
      <c r="H299" s="293">
        <v>53311</v>
      </c>
      <c r="I299" s="293" t="s">
        <v>657</v>
      </c>
      <c r="J299" s="293"/>
      <c r="K299" s="10" t="s">
        <v>657</v>
      </c>
    </row>
    <row r="300" spans="2:11" x14ac:dyDescent="0.35">
      <c r="B300" s="336">
        <v>88</v>
      </c>
      <c r="D300" s="285">
        <v>53236</v>
      </c>
      <c r="E300" s="293">
        <v>53327</v>
      </c>
      <c r="F300" s="293">
        <v>53297</v>
      </c>
      <c r="G300" s="293">
        <v>53327</v>
      </c>
      <c r="H300" s="293">
        <v>53342</v>
      </c>
      <c r="I300" s="293">
        <v>53345</v>
      </c>
      <c r="J300" s="293">
        <v>53350</v>
      </c>
      <c r="K300" s="10">
        <v>53352</v>
      </c>
    </row>
    <row r="301" spans="2:11" x14ac:dyDescent="0.35">
      <c r="B301" s="336" t="s">
        <v>657</v>
      </c>
      <c r="D301" s="285"/>
      <c r="E301" s="293" t="s">
        <v>657</v>
      </c>
      <c r="F301" s="293">
        <v>53328</v>
      </c>
      <c r="G301" s="293">
        <v>53358</v>
      </c>
      <c r="H301" s="293">
        <v>53373</v>
      </c>
      <c r="I301" s="293" t="s">
        <v>657</v>
      </c>
      <c r="J301" s="293"/>
      <c r="K301" s="10" t="s">
        <v>657</v>
      </c>
    </row>
    <row r="302" spans="2:11" x14ac:dyDescent="0.35">
      <c r="B302" s="336" t="s">
        <v>657</v>
      </c>
      <c r="D302" s="285"/>
      <c r="E302" s="293" t="s">
        <v>657</v>
      </c>
      <c r="F302" s="293">
        <v>53359</v>
      </c>
      <c r="G302" s="293">
        <v>53386</v>
      </c>
      <c r="H302" s="293">
        <v>53401</v>
      </c>
      <c r="I302" s="293" t="s">
        <v>657</v>
      </c>
      <c r="J302" s="293"/>
      <c r="K302" s="10" t="s">
        <v>657</v>
      </c>
    </row>
    <row r="303" spans="2:11" x14ac:dyDescent="0.35">
      <c r="B303" s="336">
        <v>89</v>
      </c>
      <c r="D303" s="285">
        <v>53328</v>
      </c>
      <c r="E303" s="293">
        <v>53417</v>
      </c>
      <c r="F303" s="293">
        <v>53387</v>
      </c>
      <c r="G303" s="293">
        <v>53417</v>
      </c>
      <c r="H303" s="293">
        <v>53430</v>
      </c>
      <c r="I303" s="293">
        <v>53436</v>
      </c>
      <c r="J303" s="293">
        <v>53440</v>
      </c>
      <c r="K303" s="10">
        <v>53442</v>
      </c>
    </row>
    <row r="304" spans="2:11" x14ac:dyDescent="0.35">
      <c r="B304" s="336" t="s">
        <v>657</v>
      </c>
      <c r="D304" s="285"/>
      <c r="E304" s="293" t="s">
        <v>657</v>
      </c>
      <c r="F304" s="293">
        <v>53418</v>
      </c>
      <c r="G304" s="293">
        <v>53447</v>
      </c>
      <c r="H304" s="293">
        <v>53462</v>
      </c>
      <c r="I304" s="293" t="s">
        <v>657</v>
      </c>
      <c r="J304" s="293"/>
      <c r="K304" s="10" t="s">
        <v>657</v>
      </c>
    </row>
    <row r="305" spans="2:11" x14ac:dyDescent="0.35">
      <c r="B305" s="336" t="s">
        <v>657</v>
      </c>
      <c r="D305" s="285"/>
      <c r="E305" s="293" t="s">
        <v>657</v>
      </c>
      <c r="F305" s="293">
        <v>53448</v>
      </c>
      <c r="G305" s="293">
        <v>53478</v>
      </c>
      <c r="H305" s="293">
        <v>53493</v>
      </c>
      <c r="I305" s="293" t="s">
        <v>657</v>
      </c>
      <c r="J305" s="293"/>
      <c r="K305" s="10" t="s">
        <v>657</v>
      </c>
    </row>
    <row r="306" spans="2:11" x14ac:dyDescent="0.35">
      <c r="B306" s="336">
        <v>90</v>
      </c>
      <c r="D306" s="285">
        <v>53418</v>
      </c>
      <c r="E306" s="293">
        <v>53508</v>
      </c>
      <c r="F306" s="293">
        <v>53479</v>
      </c>
      <c r="G306" s="293">
        <v>53508</v>
      </c>
      <c r="H306" s="293">
        <v>53521</v>
      </c>
      <c r="I306" s="293">
        <v>53527</v>
      </c>
      <c r="J306" s="293">
        <v>53531</v>
      </c>
      <c r="K306" s="10">
        <v>53533</v>
      </c>
    </row>
    <row r="307" spans="2:11" x14ac:dyDescent="0.35">
      <c r="B307" s="336" t="s">
        <v>657</v>
      </c>
      <c r="D307" s="285"/>
      <c r="E307" s="293" t="s">
        <v>657</v>
      </c>
      <c r="F307" s="293">
        <v>53509</v>
      </c>
      <c r="G307" s="293">
        <v>53539</v>
      </c>
      <c r="H307" s="293">
        <v>53554</v>
      </c>
      <c r="I307" s="293" t="s">
        <v>657</v>
      </c>
      <c r="J307" s="293"/>
      <c r="K307" s="10" t="s">
        <v>657</v>
      </c>
    </row>
    <row r="308" spans="2:11" x14ac:dyDescent="0.35">
      <c r="B308" s="336" t="s">
        <v>657</v>
      </c>
      <c r="D308" s="285"/>
      <c r="E308" s="293" t="s">
        <v>657</v>
      </c>
      <c r="F308" s="293">
        <v>53540</v>
      </c>
      <c r="G308" s="293">
        <v>53570</v>
      </c>
      <c r="H308" s="293">
        <v>53584</v>
      </c>
      <c r="I308" s="293" t="s">
        <v>657</v>
      </c>
      <c r="J308" s="293"/>
      <c r="K308" s="10" t="s">
        <v>657</v>
      </c>
    </row>
    <row r="309" spans="2:11" x14ac:dyDescent="0.35">
      <c r="B309" s="336">
        <v>91</v>
      </c>
      <c r="D309" s="285">
        <v>53509</v>
      </c>
      <c r="E309" s="293">
        <v>53600</v>
      </c>
      <c r="F309" s="293">
        <v>53571</v>
      </c>
      <c r="G309" s="293">
        <v>53600</v>
      </c>
      <c r="H309" s="293">
        <v>53615</v>
      </c>
      <c r="I309" s="293">
        <v>53618</v>
      </c>
      <c r="J309" s="293">
        <v>53623</v>
      </c>
      <c r="K309" s="10">
        <v>53625</v>
      </c>
    </row>
    <row r="310" spans="2:11" x14ac:dyDescent="0.35">
      <c r="B310" s="336" t="s">
        <v>657</v>
      </c>
      <c r="D310" s="285"/>
      <c r="E310" s="293" t="s">
        <v>657</v>
      </c>
      <c r="F310" s="293">
        <v>53601</v>
      </c>
      <c r="G310" s="293">
        <v>53631</v>
      </c>
      <c r="H310" s="293">
        <v>53646</v>
      </c>
      <c r="I310" s="293" t="s">
        <v>657</v>
      </c>
      <c r="J310" s="293"/>
      <c r="K310" s="10" t="s">
        <v>657</v>
      </c>
    </row>
    <row r="311" spans="2:11" x14ac:dyDescent="0.35">
      <c r="B311" s="336" t="s">
        <v>657</v>
      </c>
      <c r="D311" s="285"/>
      <c r="E311" s="293" t="s">
        <v>657</v>
      </c>
      <c r="F311" s="293">
        <v>53632</v>
      </c>
      <c r="G311" s="293">
        <v>53661</v>
      </c>
      <c r="H311" s="293">
        <v>53675</v>
      </c>
      <c r="I311" s="293" t="s">
        <v>657</v>
      </c>
      <c r="J311" s="293"/>
      <c r="K311" s="10" t="s">
        <v>657</v>
      </c>
    </row>
    <row r="312" spans="2:11" x14ac:dyDescent="0.35">
      <c r="B312" s="336">
        <v>92</v>
      </c>
      <c r="D312" s="285">
        <v>53601</v>
      </c>
      <c r="E312" s="293">
        <v>53692</v>
      </c>
      <c r="F312" s="293">
        <v>53662</v>
      </c>
      <c r="G312" s="293">
        <v>53692</v>
      </c>
      <c r="H312" s="293">
        <v>53707</v>
      </c>
      <c r="I312" s="293">
        <v>53710</v>
      </c>
      <c r="J312" s="293">
        <v>53715</v>
      </c>
      <c r="K312" s="10">
        <v>53717</v>
      </c>
    </row>
    <row r="313" spans="2:11" x14ac:dyDescent="0.35">
      <c r="B313" s="336" t="s">
        <v>657</v>
      </c>
      <c r="D313" s="285"/>
      <c r="E313" s="293" t="s">
        <v>657</v>
      </c>
      <c r="F313" s="293">
        <v>53693</v>
      </c>
      <c r="G313" s="293">
        <v>53723</v>
      </c>
      <c r="H313" s="293">
        <v>53738</v>
      </c>
      <c r="I313" s="293" t="s">
        <v>657</v>
      </c>
      <c r="J313" s="293"/>
      <c r="K313" s="10" t="s">
        <v>657</v>
      </c>
    </row>
    <row r="314" spans="2:11" x14ac:dyDescent="0.35">
      <c r="B314" s="336" t="s">
        <v>657</v>
      </c>
      <c r="D314" s="285"/>
      <c r="E314" s="293" t="s">
        <v>657</v>
      </c>
      <c r="F314" s="293">
        <v>53724</v>
      </c>
      <c r="G314" s="293">
        <v>53751</v>
      </c>
      <c r="H314" s="293">
        <v>53766</v>
      </c>
      <c r="I314" s="293" t="s">
        <v>657</v>
      </c>
      <c r="J314" s="293"/>
      <c r="K314" s="10" t="s">
        <v>657</v>
      </c>
    </row>
    <row r="315" spans="2:11" x14ac:dyDescent="0.35">
      <c r="B315" s="336">
        <v>93</v>
      </c>
      <c r="D315" s="285">
        <v>53693</v>
      </c>
      <c r="E315" s="293">
        <v>53782</v>
      </c>
      <c r="F315" s="293">
        <v>53752</v>
      </c>
      <c r="G315" s="293">
        <v>53782</v>
      </c>
      <c r="H315" s="293">
        <v>53797</v>
      </c>
      <c r="I315" s="293">
        <v>53800</v>
      </c>
      <c r="J315" s="293">
        <v>53805</v>
      </c>
      <c r="K315" s="10">
        <v>53807</v>
      </c>
    </row>
    <row r="316" spans="2:11" x14ac:dyDescent="0.35">
      <c r="B316" s="336" t="s">
        <v>657</v>
      </c>
      <c r="D316" s="285"/>
      <c r="E316" s="293" t="s">
        <v>657</v>
      </c>
      <c r="F316" s="293">
        <v>53783</v>
      </c>
      <c r="G316" s="293">
        <v>53812</v>
      </c>
      <c r="H316" s="293">
        <v>53827</v>
      </c>
      <c r="I316" s="293" t="s">
        <v>657</v>
      </c>
      <c r="J316" s="293"/>
      <c r="K316" s="10" t="s">
        <v>657</v>
      </c>
    </row>
    <row r="317" spans="2:11" x14ac:dyDescent="0.35">
      <c r="B317" s="336" t="s">
        <v>657</v>
      </c>
      <c r="D317" s="285"/>
      <c r="E317" s="293" t="s">
        <v>657</v>
      </c>
      <c r="F317" s="293">
        <v>53813</v>
      </c>
      <c r="G317" s="293">
        <v>53843</v>
      </c>
      <c r="H317" s="293">
        <v>53857</v>
      </c>
      <c r="I317" s="293" t="s">
        <v>657</v>
      </c>
      <c r="J317" s="293"/>
      <c r="K317" s="10" t="s">
        <v>657</v>
      </c>
    </row>
    <row r="318" spans="2:11" x14ac:dyDescent="0.35">
      <c r="B318" s="336">
        <v>94</v>
      </c>
      <c r="D318" s="285">
        <v>53783</v>
      </c>
      <c r="E318" s="293">
        <v>53873</v>
      </c>
      <c r="F318" s="293">
        <v>53844</v>
      </c>
      <c r="G318" s="293">
        <v>53873</v>
      </c>
      <c r="H318" s="293">
        <v>53888</v>
      </c>
      <c r="I318" s="293">
        <v>53891</v>
      </c>
      <c r="J318" s="293">
        <v>53896</v>
      </c>
      <c r="K318" s="10">
        <v>53898</v>
      </c>
    </row>
    <row r="319" spans="2:11" x14ac:dyDescent="0.35">
      <c r="B319" s="336" t="s">
        <v>657</v>
      </c>
      <c r="D319" s="285"/>
      <c r="E319" s="293" t="s">
        <v>657</v>
      </c>
      <c r="F319" s="293">
        <v>53874</v>
      </c>
      <c r="G319" s="293">
        <v>53904</v>
      </c>
      <c r="H319" s="293">
        <v>53919</v>
      </c>
      <c r="I319" s="293" t="s">
        <v>657</v>
      </c>
      <c r="J319" s="293"/>
      <c r="K319" s="10" t="s">
        <v>657</v>
      </c>
    </row>
    <row r="320" spans="2:11" x14ac:dyDescent="0.35">
      <c r="B320" s="336" t="s">
        <v>657</v>
      </c>
      <c r="D320" s="285"/>
      <c r="E320" s="293" t="s">
        <v>657</v>
      </c>
      <c r="F320" s="293">
        <v>53905</v>
      </c>
      <c r="G320" s="293">
        <v>53935</v>
      </c>
      <c r="H320" s="293">
        <v>53948</v>
      </c>
      <c r="I320" s="293" t="s">
        <v>657</v>
      </c>
      <c r="J320" s="293"/>
      <c r="K320" s="10" t="s">
        <v>657</v>
      </c>
    </row>
    <row r="321" spans="2:11" x14ac:dyDescent="0.35">
      <c r="B321" s="336">
        <v>95</v>
      </c>
      <c r="D321" s="285">
        <v>53874</v>
      </c>
      <c r="E321" s="293">
        <v>53965</v>
      </c>
      <c r="F321" s="293">
        <v>53936</v>
      </c>
      <c r="G321" s="293">
        <v>53965</v>
      </c>
      <c r="H321" s="293">
        <v>53980</v>
      </c>
      <c r="I321" s="293">
        <v>53983</v>
      </c>
      <c r="J321" s="293">
        <v>53988</v>
      </c>
      <c r="K321" s="10">
        <v>53990</v>
      </c>
    </row>
    <row r="322" spans="2:11" x14ac:dyDescent="0.35">
      <c r="B322" s="336" t="s">
        <v>657</v>
      </c>
      <c r="D322" s="285"/>
      <c r="E322" s="293" t="s">
        <v>657</v>
      </c>
      <c r="F322" s="293">
        <v>53966</v>
      </c>
      <c r="G322" s="293">
        <v>53996</v>
      </c>
      <c r="H322" s="293">
        <v>54011</v>
      </c>
      <c r="I322" s="293" t="s">
        <v>657</v>
      </c>
      <c r="J322" s="293"/>
      <c r="K322" s="10" t="s">
        <v>657</v>
      </c>
    </row>
    <row r="323" spans="2:11" x14ac:dyDescent="0.35">
      <c r="B323" s="336" t="s">
        <v>657</v>
      </c>
      <c r="D323" s="285"/>
      <c r="E323" s="293" t="s">
        <v>657</v>
      </c>
      <c r="F323" s="293">
        <v>53997</v>
      </c>
      <c r="G323" s="293">
        <v>54026</v>
      </c>
      <c r="H323" s="293">
        <v>54039</v>
      </c>
      <c r="I323" s="293" t="s">
        <v>657</v>
      </c>
      <c r="J323" s="293"/>
      <c r="K323" s="10" t="s">
        <v>657</v>
      </c>
    </row>
    <row r="324" spans="2:11" x14ac:dyDescent="0.35">
      <c r="B324" s="336">
        <v>96</v>
      </c>
      <c r="D324" s="285">
        <v>53966</v>
      </c>
      <c r="E324" s="293">
        <v>54057</v>
      </c>
      <c r="F324" s="293">
        <v>54027</v>
      </c>
      <c r="G324" s="293">
        <v>54057</v>
      </c>
      <c r="H324" s="293">
        <v>54072</v>
      </c>
      <c r="I324" s="293">
        <v>54077</v>
      </c>
      <c r="J324" s="293">
        <v>54080</v>
      </c>
      <c r="K324" s="10">
        <v>54084</v>
      </c>
    </row>
    <row r="325" spans="2:11" x14ac:dyDescent="0.35">
      <c r="B325" s="336" t="s">
        <v>657</v>
      </c>
      <c r="D325" s="285"/>
      <c r="E325" s="293" t="s">
        <v>657</v>
      </c>
      <c r="F325" s="293">
        <v>54058</v>
      </c>
      <c r="G325" s="293">
        <v>54088</v>
      </c>
      <c r="H325" s="293">
        <v>54102</v>
      </c>
      <c r="I325" s="293" t="s">
        <v>657</v>
      </c>
      <c r="J325" s="293"/>
      <c r="K325" s="10" t="s">
        <v>657</v>
      </c>
    </row>
    <row r="326" spans="2:11" x14ac:dyDescent="0.35">
      <c r="B326" s="336" t="s">
        <v>657</v>
      </c>
      <c r="D326" s="285"/>
      <c r="E326" s="293" t="s">
        <v>657</v>
      </c>
      <c r="F326" s="293">
        <v>54089</v>
      </c>
      <c r="G326" s="293">
        <v>54117</v>
      </c>
      <c r="H326" s="293">
        <v>54130</v>
      </c>
      <c r="I326" s="293" t="s">
        <v>657</v>
      </c>
      <c r="J326" s="293"/>
      <c r="K326" s="10" t="s">
        <v>657</v>
      </c>
    </row>
    <row r="327" spans="2:11" x14ac:dyDescent="0.35">
      <c r="B327" s="336">
        <v>97</v>
      </c>
      <c r="D327" s="285">
        <v>54058</v>
      </c>
      <c r="E327" s="293">
        <v>54148</v>
      </c>
      <c r="F327" s="293">
        <v>54118</v>
      </c>
      <c r="G327" s="293">
        <v>54148</v>
      </c>
      <c r="H327" s="293">
        <v>54163</v>
      </c>
      <c r="I327" s="293">
        <v>54168</v>
      </c>
      <c r="J327" s="293">
        <v>54171</v>
      </c>
      <c r="K327" s="10">
        <v>54175</v>
      </c>
    </row>
    <row r="328" spans="2:11" x14ac:dyDescent="0.35">
      <c r="B328" s="336" t="s">
        <v>657</v>
      </c>
      <c r="D328" s="285"/>
      <c r="E328" s="293" t="s">
        <v>657</v>
      </c>
      <c r="F328" s="293">
        <v>54149</v>
      </c>
      <c r="G328" s="293">
        <v>54178</v>
      </c>
      <c r="H328" s="293">
        <v>54193</v>
      </c>
      <c r="I328" s="293" t="s">
        <v>657</v>
      </c>
      <c r="J328" s="293"/>
      <c r="K328" s="10" t="s">
        <v>657</v>
      </c>
    </row>
    <row r="329" spans="2:11" x14ac:dyDescent="0.35">
      <c r="B329" s="336" t="s">
        <v>657</v>
      </c>
      <c r="D329" s="285"/>
      <c r="E329" s="293" t="s">
        <v>657</v>
      </c>
      <c r="F329" s="293">
        <v>54179</v>
      </c>
      <c r="G329" s="293">
        <v>54209</v>
      </c>
      <c r="H329" s="293">
        <v>54224</v>
      </c>
      <c r="I329" s="293" t="s">
        <v>657</v>
      </c>
      <c r="J329" s="293"/>
      <c r="K329" s="10" t="s">
        <v>657</v>
      </c>
    </row>
    <row r="330" spans="2:11" x14ac:dyDescent="0.35">
      <c r="B330" s="336">
        <v>98</v>
      </c>
      <c r="D330" s="285">
        <v>54149</v>
      </c>
      <c r="E330" s="293">
        <v>54239</v>
      </c>
      <c r="F330" s="293">
        <v>54210</v>
      </c>
      <c r="G330" s="293">
        <v>54239</v>
      </c>
      <c r="H330" s="293">
        <v>54254</v>
      </c>
      <c r="I330" s="293">
        <v>54259</v>
      </c>
      <c r="J330" s="293">
        <v>54262</v>
      </c>
      <c r="K330" s="10">
        <v>54266</v>
      </c>
    </row>
    <row r="331" spans="2:11" x14ac:dyDescent="0.35">
      <c r="B331" s="336" t="s">
        <v>657</v>
      </c>
      <c r="D331" s="285"/>
      <c r="E331" s="293" t="s">
        <v>657</v>
      </c>
      <c r="F331" s="293">
        <v>54240</v>
      </c>
      <c r="G331" s="293">
        <v>54270</v>
      </c>
      <c r="H331" s="293">
        <v>54284</v>
      </c>
      <c r="I331" s="293" t="s">
        <v>657</v>
      </c>
      <c r="J331" s="293"/>
      <c r="K331" s="10" t="s">
        <v>657</v>
      </c>
    </row>
    <row r="332" spans="2:11" x14ac:dyDescent="0.35">
      <c r="B332" s="336" t="s">
        <v>657</v>
      </c>
      <c r="D332" s="285"/>
      <c r="E332" s="293" t="s">
        <v>657</v>
      </c>
      <c r="F332" s="293">
        <v>54271</v>
      </c>
      <c r="G332" s="293">
        <v>54301</v>
      </c>
      <c r="H332" s="293">
        <v>54316</v>
      </c>
      <c r="I332" s="293" t="s">
        <v>657</v>
      </c>
      <c r="J332" s="293"/>
      <c r="K332" s="10" t="s">
        <v>657</v>
      </c>
    </row>
    <row r="333" spans="2:11" x14ac:dyDescent="0.35">
      <c r="B333" s="336">
        <v>99</v>
      </c>
      <c r="D333" s="285">
        <v>54240</v>
      </c>
      <c r="E333" s="293">
        <v>54331</v>
      </c>
      <c r="F333" s="293">
        <v>54302</v>
      </c>
      <c r="G333" s="293">
        <v>54331</v>
      </c>
      <c r="H333" s="293">
        <v>54346</v>
      </c>
      <c r="I333" s="293">
        <v>54351</v>
      </c>
      <c r="J333" s="293">
        <v>54354</v>
      </c>
      <c r="K333" s="10">
        <v>54358</v>
      </c>
    </row>
    <row r="334" spans="2:11" x14ac:dyDescent="0.35">
      <c r="B334" s="336" t="s">
        <v>657</v>
      </c>
      <c r="D334" s="285"/>
      <c r="E334" s="293" t="s">
        <v>657</v>
      </c>
      <c r="F334" s="293">
        <v>54332</v>
      </c>
      <c r="G334" s="293">
        <v>54362</v>
      </c>
      <c r="H334" s="293">
        <v>54375</v>
      </c>
      <c r="I334" s="293" t="s">
        <v>657</v>
      </c>
      <c r="J334" s="293"/>
      <c r="K334" s="10" t="s">
        <v>657</v>
      </c>
    </row>
    <row r="335" spans="2:11" x14ac:dyDescent="0.35">
      <c r="B335" s="336" t="s">
        <v>657</v>
      </c>
      <c r="D335" s="285"/>
      <c r="E335" s="293" t="s">
        <v>657</v>
      </c>
      <c r="F335" s="293">
        <v>54363</v>
      </c>
      <c r="G335" s="293">
        <v>54392</v>
      </c>
      <c r="H335" s="293">
        <v>54407</v>
      </c>
      <c r="I335" s="293" t="s">
        <v>657</v>
      </c>
      <c r="J335" s="293"/>
      <c r="K335" s="10" t="s">
        <v>657</v>
      </c>
    </row>
    <row r="336" spans="2:11" x14ac:dyDescent="0.35">
      <c r="B336" s="336">
        <v>100</v>
      </c>
      <c r="D336" s="285">
        <v>54332</v>
      </c>
      <c r="E336" s="293">
        <v>54423</v>
      </c>
      <c r="F336" s="293">
        <v>54393</v>
      </c>
      <c r="G336" s="293">
        <v>54423</v>
      </c>
      <c r="H336" s="293">
        <v>54438</v>
      </c>
      <c r="I336" s="293">
        <v>54443</v>
      </c>
      <c r="J336" s="293">
        <v>54448</v>
      </c>
      <c r="K336" s="10">
        <v>54450</v>
      </c>
    </row>
    <row r="337" spans="2:11" x14ac:dyDescent="0.35">
      <c r="B337" s="336" t="s">
        <v>657</v>
      </c>
      <c r="D337" s="285"/>
      <c r="E337" s="293" t="s">
        <v>657</v>
      </c>
      <c r="F337" s="293">
        <v>54424</v>
      </c>
      <c r="G337" s="293">
        <v>54454</v>
      </c>
      <c r="H337" s="293">
        <v>54469</v>
      </c>
      <c r="I337" s="293" t="s">
        <v>657</v>
      </c>
      <c r="J337" s="293"/>
      <c r="K337" s="10" t="s">
        <v>657</v>
      </c>
    </row>
    <row r="338" spans="2:11" x14ac:dyDescent="0.35">
      <c r="B338" s="336" t="s">
        <v>657</v>
      </c>
      <c r="D338" s="285"/>
      <c r="E338" s="293" t="s">
        <v>657</v>
      </c>
      <c r="F338" s="293">
        <v>54455</v>
      </c>
      <c r="G338" s="293">
        <v>54482</v>
      </c>
      <c r="H338" s="293">
        <v>54497</v>
      </c>
      <c r="I338" s="293" t="s">
        <v>657</v>
      </c>
      <c r="J338" s="293"/>
      <c r="K338" s="10" t="s">
        <v>657</v>
      </c>
    </row>
    <row r="339" spans="2:11" x14ac:dyDescent="0.35">
      <c r="B339" s="336">
        <v>101</v>
      </c>
      <c r="D339" s="285">
        <v>54424</v>
      </c>
      <c r="E339" s="293">
        <v>54513</v>
      </c>
      <c r="F339" s="293">
        <v>54483</v>
      </c>
      <c r="G339" s="293">
        <v>54513</v>
      </c>
      <c r="H339" s="293">
        <v>54528</v>
      </c>
      <c r="I339" s="293">
        <v>54533</v>
      </c>
      <c r="J339" s="293">
        <v>54536</v>
      </c>
      <c r="K339" s="10">
        <v>54540</v>
      </c>
    </row>
    <row r="340" spans="2:11" x14ac:dyDescent="0.35">
      <c r="B340" s="336" t="s">
        <v>657</v>
      </c>
      <c r="D340" s="285"/>
      <c r="E340" s="293" t="s">
        <v>657</v>
      </c>
      <c r="F340" s="293">
        <v>54514</v>
      </c>
      <c r="G340" s="293">
        <v>54543</v>
      </c>
      <c r="H340" s="293">
        <v>54557</v>
      </c>
      <c r="I340" s="293" t="s">
        <v>657</v>
      </c>
      <c r="J340" s="293"/>
      <c r="K340" s="10" t="s">
        <v>657</v>
      </c>
    </row>
    <row r="341" spans="2:11" x14ac:dyDescent="0.35">
      <c r="B341" s="336" t="s">
        <v>657</v>
      </c>
      <c r="D341" s="285"/>
      <c r="E341" s="293" t="s">
        <v>657</v>
      </c>
      <c r="F341" s="293">
        <v>54544</v>
      </c>
      <c r="G341" s="293">
        <v>54574</v>
      </c>
      <c r="H341" s="293">
        <v>54589</v>
      </c>
      <c r="I341" s="293" t="s">
        <v>657</v>
      </c>
      <c r="J341" s="293"/>
      <c r="K341" s="10" t="s">
        <v>657</v>
      </c>
    </row>
    <row r="342" spans="2:11" x14ac:dyDescent="0.35">
      <c r="B342" s="336">
        <v>102</v>
      </c>
      <c r="D342" s="285">
        <v>54514</v>
      </c>
      <c r="E342" s="293">
        <v>54604</v>
      </c>
      <c r="F342" s="293">
        <v>54575</v>
      </c>
      <c r="G342" s="293">
        <v>54604</v>
      </c>
      <c r="H342" s="293">
        <v>54619</v>
      </c>
      <c r="I342" s="293">
        <v>54624</v>
      </c>
      <c r="J342" s="293">
        <v>54627</v>
      </c>
      <c r="K342" s="10">
        <v>54631</v>
      </c>
    </row>
    <row r="343" spans="2:11" x14ac:dyDescent="0.35">
      <c r="B343" s="336" t="s">
        <v>657</v>
      </c>
      <c r="D343" s="285"/>
      <c r="E343" s="293" t="s">
        <v>657</v>
      </c>
      <c r="F343" s="293">
        <v>54605</v>
      </c>
      <c r="G343" s="293">
        <v>54635</v>
      </c>
      <c r="H343" s="293">
        <v>54648</v>
      </c>
      <c r="I343" s="293" t="s">
        <v>657</v>
      </c>
      <c r="J343" s="293"/>
      <c r="K343" s="10" t="s">
        <v>657</v>
      </c>
    </row>
    <row r="344" spans="2:11" x14ac:dyDescent="0.35">
      <c r="B344" s="336" t="s">
        <v>657</v>
      </c>
      <c r="D344" s="285"/>
      <c r="E344" s="293" t="s">
        <v>657</v>
      </c>
      <c r="F344" s="293">
        <v>54636</v>
      </c>
      <c r="G344" s="293">
        <v>54666</v>
      </c>
      <c r="H344" s="293">
        <v>54681</v>
      </c>
      <c r="I344" s="293" t="s">
        <v>657</v>
      </c>
      <c r="J344" s="293"/>
      <c r="K344" s="10" t="s">
        <v>657</v>
      </c>
    </row>
    <row r="345" spans="2:11" x14ac:dyDescent="0.35">
      <c r="B345" s="336">
        <v>103</v>
      </c>
      <c r="D345" s="285">
        <v>54605</v>
      </c>
      <c r="E345" s="293">
        <v>54696</v>
      </c>
      <c r="F345" s="293">
        <v>54667</v>
      </c>
      <c r="G345" s="293">
        <v>54696</v>
      </c>
      <c r="H345" s="293">
        <v>54711</v>
      </c>
      <c r="I345" s="293">
        <v>54716</v>
      </c>
      <c r="J345" s="293">
        <v>54721</v>
      </c>
      <c r="K345" s="10">
        <v>54723</v>
      </c>
    </row>
    <row r="346" spans="2:11" x14ac:dyDescent="0.35">
      <c r="B346" s="336" t="s">
        <v>657</v>
      </c>
      <c r="D346" s="285"/>
      <c r="E346" s="293" t="s">
        <v>657</v>
      </c>
      <c r="F346" s="293">
        <v>54697</v>
      </c>
      <c r="G346" s="293">
        <v>54727</v>
      </c>
      <c r="H346" s="293">
        <v>54742</v>
      </c>
      <c r="I346" s="293" t="s">
        <v>657</v>
      </c>
      <c r="J346" s="293"/>
      <c r="K346" s="10" t="s">
        <v>657</v>
      </c>
    </row>
    <row r="347" spans="2:11" x14ac:dyDescent="0.35">
      <c r="B347" s="336" t="s">
        <v>657</v>
      </c>
      <c r="D347" s="285"/>
      <c r="E347" s="293" t="s">
        <v>657</v>
      </c>
      <c r="F347" s="293">
        <v>54728</v>
      </c>
      <c r="G347" s="293">
        <v>54757</v>
      </c>
      <c r="H347" s="293">
        <v>54772</v>
      </c>
      <c r="I347" s="293" t="s">
        <v>657</v>
      </c>
      <c r="J347" s="293"/>
      <c r="K347" s="10" t="s">
        <v>657</v>
      </c>
    </row>
    <row r="348" spans="2:11" x14ac:dyDescent="0.35">
      <c r="B348" s="336">
        <v>104</v>
      </c>
      <c r="D348" s="285">
        <v>54697</v>
      </c>
      <c r="E348" s="293">
        <v>54788</v>
      </c>
      <c r="F348" s="293">
        <v>54758</v>
      </c>
      <c r="G348" s="293">
        <v>54788</v>
      </c>
      <c r="H348" s="293">
        <v>54802</v>
      </c>
      <c r="I348" s="293">
        <v>54808</v>
      </c>
      <c r="J348" s="293">
        <v>54812</v>
      </c>
      <c r="K348" s="10">
        <v>54814</v>
      </c>
    </row>
    <row r="349" spans="2:11" x14ac:dyDescent="0.35">
      <c r="B349" s="336" t="s">
        <v>657</v>
      </c>
      <c r="D349" s="285"/>
      <c r="E349" s="293" t="s">
        <v>657</v>
      </c>
      <c r="F349" s="293">
        <v>54789</v>
      </c>
      <c r="G349" s="293">
        <v>54819</v>
      </c>
      <c r="H349" s="293">
        <v>54834</v>
      </c>
      <c r="I349" s="293" t="s">
        <v>657</v>
      </c>
      <c r="J349" s="293"/>
      <c r="K349" s="10" t="s">
        <v>657</v>
      </c>
    </row>
    <row r="350" spans="2:11" x14ac:dyDescent="0.35">
      <c r="B350" s="336" t="s">
        <v>657</v>
      </c>
      <c r="D350" s="285"/>
      <c r="E350" s="293" t="s">
        <v>657</v>
      </c>
      <c r="F350" s="293">
        <v>54820</v>
      </c>
      <c r="G350" s="293">
        <v>54847</v>
      </c>
      <c r="H350" s="293">
        <v>54862</v>
      </c>
      <c r="I350" s="293" t="s">
        <v>657</v>
      </c>
      <c r="J350" s="293"/>
      <c r="K350" s="10" t="s">
        <v>657</v>
      </c>
    </row>
    <row r="351" spans="2:11" x14ac:dyDescent="0.35">
      <c r="B351" s="336">
        <v>105</v>
      </c>
      <c r="D351" s="285">
        <v>54789</v>
      </c>
      <c r="E351" s="293">
        <v>54878</v>
      </c>
      <c r="F351" s="293">
        <v>54848</v>
      </c>
      <c r="G351" s="293">
        <v>54878</v>
      </c>
      <c r="H351" s="293">
        <v>54893</v>
      </c>
      <c r="I351" s="293">
        <v>54898</v>
      </c>
      <c r="J351" s="293">
        <v>54903</v>
      </c>
      <c r="K351" s="10">
        <v>54905</v>
      </c>
    </row>
    <row r="352" spans="2:11" x14ac:dyDescent="0.35">
      <c r="B352" s="336" t="s">
        <v>657</v>
      </c>
      <c r="D352" s="285"/>
      <c r="E352" s="293" t="s">
        <v>657</v>
      </c>
      <c r="F352" s="293">
        <v>54879</v>
      </c>
      <c r="G352" s="293">
        <v>54908</v>
      </c>
      <c r="H352" s="293">
        <v>54921</v>
      </c>
      <c r="I352" s="293" t="s">
        <v>657</v>
      </c>
      <c r="J352" s="293"/>
      <c r="K352" s="10" t="s">
        <v>657</v>
      </c>
    </row>
    <row r="353" spans="2:11" x14ac:dyDescent="0.35">
      <c r="B353" s="336" t="s">
        <v>657</v>
      </c>
      <c r="D353" s="285"/>
      <c r="E353" s="293" t="s">
        <v>657</v>
      </c>
      <c r="F353" s="293">
        <v>54909</v>
      </c>
      <c r="G353" s="293">
        <v>54939</v>
      </c>
      <c r="H353" s="293">
        <v>54954</v>
      </c>
      <c r="I353" s="293" t="s">
        <v>657</v>
      </c>
      <c r="J353" s="293"/>
      <c r="K353" s="10" t="s">
        <v>657</v>
      </c>
    </row>
    <row r="354" spans="2:11" x14ac:dyDescent="0.35">
      <c r="B354" s="336">
        <v>106</v>
      </c>
      <c r="D354" s="285">
        <v>54879</v>
      </c>
      <c r="E354" s="293">
        <v>54969</v>
      </c>
      <c r="F354" s="293">
        <v>54940</v>
      </c>
      <c r="G354" s="293">
        <v>54969</v>
      </c>
      <c r="H354" s="293">
        <v>54984</v>
      </c>
      <c r="I354" s="293">
        <v>54989</v>
      </c>
      <c r="J354" s="293">
        <v>54994</v>
      </c>
      <c r="K354" s="10">
        <v>54996</v>
      </c>
    </row>
    <row r="355" spans="2:11" x14ac:dyDescent="0.35">
      <c r="B355" s="336" t="s">
        <v>657</v>
      </c>
      <c r="D355" s="285"/>
      <c r="E355" s="293" t="s">
        <v>657</v>
      </c>
      <c r="F355" s="293">
        <v>54970</v>
      </c>
      <c r="G355" s="293">
        <v>55000</v>
      </c>
      <c r="H355" s="293">
        <v>55015</v>
      </c>
      <c r="I355" s="293" t="s">
        <v>657</v>
      </c>
      <c r="J355" s="293"/>
      <c r="K355" s="10" t="s">
        <v>657</v>
      </c>
    </row>
    <row r="356" spans="2:11" x14ac:dyDescent="0.35">
      <c r="B356" s="336" t="s">
        <v>657</v>
      </c>
      <c r="D356" s="285"/>
      <c r="E356" s="293" t="s">
        <v>657</v>
      </c>
      <c r="F356" s="293">
        <v>55001</v>
      </c>
      <c r="G356" s="293">
        <v>55031</v>
      </c>
      <c r="H356" s="293">
        <v>55046</v>
      </c>
      <c r="I356" s="293" t="s">
        <v>657</v>
      </c>
      <c r="J356" s="293"/>
      <c r="K356" s="10" t="s">
        <v>657</v>
      </c>
    </row>
    <row r="357" spans="2:11" x14ac:dyDescent="0.35">
      <c r="B357" s="336">
        <v>107</v>
      </c>
      <c r="D357" s="285">
        <v>54970</v>
      </c>
      <c r="E357" s="293">
        <v>55061</v>
      </c>
      <c r="F357" s="293">
        <v>55032</v>
      </c>
      <c r="G357" s="293">
        <v>55061</v>
      </c>
      <c r="H357" s="293">
        <v>55075</v>
      </c>
      <c r="I357" s="293">
        <v>55081</v>
      </c>
      <c r="J357" s="293">
        <v>55085</v>
      </c>
      <c r="K357" s="10">
        <v>55087</v>
      </c>
    </row>
    <row r="358" spans="2:11" x14ac:dyDescent="0.35">
      <c r="B358" s="336" t="s">
        <v>657</v>
      </c>
      <c r="D358" s="285"/>
      <c r="E358" s="293" t="s">
        <v>657</v>
      </c>
      <c r="F358" s="293">
        <v>55062</v>
      </c>
      <c r="G358" s="293">
        <v>55092</v>
      </c>
      <c r="H358" s="293">
        <v>55107</v>
      </c>
      <c r="I358" s="293" t="s">
        <v>657</v>
      </c>
      <c r="J358" s="293"/>
      <c r="K358" s="10" t="s">
        <v>657</v>
      </c>
    </row>
    <row r="359" spans="2:11" x14ac:dyDescent="0.35">
      <c r="B359" s="336" t="s">
        <v>657</v>
      </c>
      <c r="D359" s="285"/>
      <c r="E359" s="293" t="s">
        <v>657</v>
      </c>
      <c r="F359" s="293">
        <v>55093</v>
      </c>
      <c r="G359" s="293">
        <v>55122</v>
      </c>
      <c r="H359" s="293">
        <v>55137</v>
      </c>
      <c r="I359" s="293" t="s">
        <v>657</v>
      </c>
      <c r="J359" s="293"/>
      <c r="K359" s="10" t="s">
        <v>657</v>
      </c>
    </row>
    <row r="360" spans="2:11" x14ac:dyDescent="0.35">
      <c r="B360" s="336">
        <v>108</v>
      </c>
      <c r="D360" s="285">
        <v>55062</v>
      </c>
      <c r="E360" s="293">
        <v>55153</v>
      </c>
      <c r="F360" s="293">
        <v>55123</v>
      </c>
      <c r="G360" s="293">
        <v>55153</v>
      </c>
      <c r="H360" s="293">
        <v>55166</v>
      </c>
      <c r="I360" s="293">
        <v>55172</v>
      </c>
      <c r="J360" s="293">
        <v>55176</v>
      </c>
      <c r="K360" s="10">
        <v>55178</v>
      </c>
    </row>
    <row r="361" spans="2:11" x14ac:dyDescent="0.35">
      <c r="B361" s="336" t="s">
        <v>657</v>
      </c>
      <c r="D361" s="285"/>
      <c r="E361" s="293" t="s">
        <v>657</v>
      </c>
      <c r="F361" s="293">
        <v>55154</v>
      </c>
      <c r="G361" s="293">
        <v>55184</v>
      </c>
      <c r="H361" s="293">
        <v>55199</v>
      </c>
      <c r="I361" s="293" t="s">
        <v>657</v>
      </c>
      <c r="J361" s="293"/>
      <c r="K361" s="10" t="s">
        <v>657</v>
      </c>
    </row>
    <row r="362" spans="2:11" x14ac:dyDescent="0.35">
      <c r="B362" s="336" t="s">
        <v>657</v>
      </c>
      <c r="D362" s="285"/>
      <c r="E362" s="293" t="s">
        <v>657</v>
      </c>
      <c r="F362" s="293">
        <v>55185</v>
      </c>
      <c r="G362" s="293">
        <v>55212</v>
      </c>
      <c r="H362" s="293">
        <v>55227</v>
      </c>
      <c r="I362" s="293" t="s">
        <v>657</v>
      </c>
      <c r="J362" s="293"/>
      <c r="K362" s="10" t="s">
        <v>657</v>
      </c>
    </row>
    <row r="363" spans="2:11" x14ac:dyDescent="0.35">
      <c r="B363" s="336">
        <v>109</v>
      </c>
      <c r="D363" s="285">
        <v>55154</v>
      </c>
      <c r="E363" s="293">
        <v>55243</v>
      </c>
      <c r="F363" s="293">
        <v>55213</v>
      </c>
      <c r="G363" s="293">
        <v>55243</v>
      </c>
      <c r="H363" s="293">
        <v>55257</v>
      </c>
      <c r="I363" s="293">
        <v>55263</v>
      </c>
      <c r="J363" s="293">
        <v>55267</v>
      </c>
      <c r="K363" s="10">
        <v>55269</v>
      </c>
    </row>
    <row r="364" spans="2:11" x14ac:dyDescent="0.35">
      <c r="B364" s="336" t="s">
        <v>657</v>
      </c>
      <c r="D364" s="285"/>
      <c r="E364" s="293" t="s">
        <v>657</v>
      </c>
      <c r="F364" s="293">
        <v>55244</v>
      </c>
      <c r="G364" s="293">
        <v>55273</v>
      </c>
      <c r="H364" s="293">
        <v>55288</v>
      </c>
      <c r="I364" s="293" t="s">
        <v>657</v>
      </c>
      <c r="J364" s="293"/>
      <c r="K364" s="10" t="s">
        <v>657</v>
      </c>
    </row>
    <row r="365" spans="2:11" x14ac:dyDescent="0.35">
      <c r="B365" s="336" t="s">
        <v>657</v>
      </c>
      <c r="D365" s="285"/>
      <c r="E365" s="293" t="s">
        <v>657</v>
      </c>
      <c r="F365" s="293">
        <v>55274</v>
      </c>
      <c r="G365" s="293">
        <v>55304</v>
      </c>
      <c r="H365" s="293">
        <v>55319</v>
      </c>
      <c r="I365" s="293" t="s">
        <v>657</v>
      </c>
      <c r="J365" s="293"/>
      <c r="K365" s="10" t="s">
        <v>657</v>
      </c>
    </row>
    <row r="366" spans="2:11" x14ac:dyDescent="0.35">
      <c r="B366" s="336">
        <v>110</v>
      </c>
      <c r="D366" s="285">
        <v>55244</v>
      </c>
      <c r="E366" s="293">
        <v>55334</v>
      </c>
      <c r="F366" s="293">
        <v>55305</v>
      </c>
      <c r="G366" s="293">
        <v>55334</v>
      </c>
      <c r="H366" s="293">
        <v>55348</v>
      </c>
      <c r="I366" s="293">
        <v>55354</v>
      </c>
      <c r="J366" s="293">
        <v>55358</v>
      </c>
      <c r="K366" s="10">
        <v>55360</v>
      </c>
    </row>
    <row r="367" spans="2:11" x14ac:dyDescent="0.35">
      <c r="B367" s="336" t="s">
        <v>657</v>
      </c>
      <c r="D367" s="285"/>
      <c r="E367" s="293" t="s">
        <v>657</v>
      </c>
      <c r="F367" s="293">
        <v>55335</v>
      </c>
      <c r="G367" s="293">
        <v>55365</v>
      </c>
      <c r="H367" s="293">
        <v>55380</v>
      </c>
      <c r="I367" s="293" t="s">
        <v>657</v>
      </c>
      <c r="J367" s="293"/>
      <c r="K367" s="10" t="s">
        <v>657</v>
      </c>
    </row>
    <row r="368" spans="2:11" x14ac:dyDescent="0.35">
      <c r="B368" s="336" t="s">
        <v>657</v>
      </c>
      <c r="D368" s="285"/>
      <c r="E368" s="293" t="s">
        <v>657</v>
      </c>
      <c r="F368" s="293">
        <v>55366</v>
      </c>
      <c r="G368" s="293">
        <v>55396</v>
      </c>
      <c r="H368" s="293">
        <v>55411</v>
      </c>
      <c r="I368" s="293" t="s">
        <v>657</v>
      </c>
      <c r="J368" s="293"/>
      <c r="K368" s="10" t="s">
        <v>657</v>
      </c>
    </row>
    <row r="369" spans="2:11" x14ac:dyDescent="0.35">
      <c r="B369" s="336">
        <v>111</v>
      </c>
      <c r="D369" s="285">
        <v>55335</v>
      </c>
      <c r="E369" s="293">
        <v>55426</v>
      </c>
      <c r="F369" s="293">
        <v>55397</v>
      </c>
      <c r="G369" s="293">
        <v>55426</v>
      </c>
      <c r="H369" s="293">
        <v>55439</v>
      </c>
      <c r="I369" s="293">
        <v>55445</v>
      </c>
      <c r="J369" s="293">
        <v>55449</v>
      </c>
      <c r="K369" s="10">
        <v>55451</v>
      </c>
    </row>
    <row r="370" spans="2:11" ht="15" thickBot="1" x14ac:dyDescent="0.4">
      <c r="B370" s="832"/>
      <c r="C370" s="814"/>
      <c r="D370" s="833"/>
      <c r="E370" s="834"/>
      <c r="F370" s="835">
        <v>55427</v>
      </c>
      <c r="G370" s="834"/>
      <c r="H370" s="834"/>
      <c r="I370" s="834"/>
      <c r="J370" s="834" t="s">
        <v>657</v>
      </c>
      <c r="K370" s="836" t="s">
        <v>657</v>
      </c>
    </row>
  </sheetData>
  <mergeCells count="20">
    <mergeCell ref="D30:E30"/>
    <mergeCell ref="D20:E20"/>
    <mergeCell ref="D21:E21"/>
    <mergeCell ref="D22:E22"/>
    <mergeCell ref="D18:E18"/>
    <mergeCell ref="D25:E25"/>
    <mergeCell ref="D19:E19"/>
    <mergeCell ref="D23:E23"/>
    <mergeCell ref="D24:E24"/>
    <mergeCell ref="D28:E28"/>
    <mergeCell ref="D29:E29"/>
    <mergeCell ref="D26:E26"/>
    <mergeCell ref="D27:E27"/>
    <mergeCell ref="H27:I27"/>
    <mergeCell ref="B7:I7"/>
    <mergeCell ref="D14:E14"/>
    <mergeCell ref="D16:E16"/>
    <mergeCell ref="D17:E17"/>
    <mergeCell ref="D12:E12"/>
    <mergeCell ref="D15:E15"/>
  </mergeCells>
  <phoneticPr fontId="111" type="noConversion"/>
  <dataValidations count="1">
    <dataValidation type="list" allowBlank="1" showInputMessage="1" showErrorMessage="1" sqref="D9" xr:uid="{061288BB-E98D-4F18-AD8B-724D082DF995}">
      <formula1>$B$36:$B$75</formula1>
    </dataValidation>
  </dataValidations>
  <pageMargins left="0.7" right="0.7" top="0.75" bottom="0.75" header="0.3" footer="0.3"/>
  <pageSetup scale="2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249977111117893"/>
  </sheetPr>
  <dimension ref="A2:N79"/>
  <sheetViews>
    <sheetView workbookViewId="0">
      <selection activeCell="C37" sqref="C37"/>
    </sheetView>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1.453125" style="26" customWidth="1"/>
    <col min="6" max="6" width="31.453125" style="26" customWidth="1"/>
    <col min="7" max="7" width="4.81640625" style="26" customWidth="1"/>
    <col min="8" max="8" width="10.1796875" style="26" bestFit="1" customWidth="1"/>
    <col min="9" max="9" width="4.54296875" style="26" customWidth="1"/>
    <col min="10" max="10" width="12.453125" style="26" bestFit="1" customWidth="1"/>
    <col min="11" max="11" width="13.453125" style="26" customWidth="1"/>
    <col min="12" max="12" width="7.453125" style="26" bestFit="1" customWidth="1"/>
    <col min="13" max="13" width="19.81640625" style="26" bestFit="1"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2" spans="3:13" ht="14.5" x14ac:dyDescent="0.25">
      <c r="F2" s="25" t="s">
        <v>108</v>
      </c>
      <c r="G2" s="27"/>
      <c r="H2" s="101"/>
    </row>
    <row r="3" spans="3:13" s="27" customFormat="1" ht="13.5" customHeight="1" x14ac:dyDescent="0.25">
      <c r="C3" s="148"/>
      <c r="D3" s="148"/>
      <c r="E3" s="148"/>
      <c r="F3" s="25" t="s">
        <v>107</v>
      </c>
      <c r="H3" s="101"/>
    </row>
    <row r="4" spans="3:13" s="27" customFormat="1" ht="14.5" x14ac:dyDescent="0.25">
      <c r="E4" s="148"/>
      <c r="F4" s="25" t="s">
        <v>87</v>
      </c>
      <c r="H4" s="101"/>
    </row>
    <row r="5" spans="3:13" s="27" customFormat="1" x14ac:dyDescent="0.25">
      <c r="E5" s="148"/>
      <c r="F5" s="148"/>
      <c r="G5" s="148"/>
    </row>
    <row r="6" spans="3:13" s="27" customFormat="1" x14ac:dyDescent="0.25">
      <c r="E6" s="148"/>
      <c r="F6" s="148"/>
      <c r="G6" s="148"/>
    </row>
    <row r="7" spans="3:13" s="27" customFormat="1" ht="13.5" customHeight="1" x14ac:dyDescent="0.25">
      <c r="G7" s="148"/>
    </row>
    <row r="8" spans="3:13" ht="15.5" x14ac:dyDescent="0.25">
      <c r="C8" s="1038" t="s">
        <v>86</v>
      </c>
      <c r="D8" s="1039"/>
      <c r="E8" s="1039"/>
      <c r="F8" s="1040"/>
      <c r="G8" s="156"/>
      <c r="I8" s="31"/>
    </row>
    <row r="9" spans="3:13" ht="16.5" x14ac:dyDescent="0.35">
      <c r="C9" s="28"/>
      <c r="D9" s="28"/>
      <c r="E9" s="29"/>
      <c r="F9" s="30"/>
      <c r="G9" s="148"/>
      <c r="H9" s="31"/>
      <c r="I9" s="31"/>
    </row>
    <row r="10" spans="3:13" ht="9.75" customHeight="1" thickBot="1" x14ac:dyDescent="0.3">
      <c r="H10" s="31"/>
      <c r="M10" s="35"/>
    </row>
    <row r="11" spans="3:13" s="38" customFormat="1" ht="14" thickTop="1" thickBot="1" x14ac:dyDescent="0.3">
      <c r="C11" s="208" t="s">
        <v>125</v>
      </c>
      <c r="F11" s="165"/>
    </row>
    <row r="12" spans="3:13" s="38" customFormat="1" ht="13.5" thickTop="1" x14ac:dyDescent="0.25">
      <c r="F12" s="166"/>
    </row>
    <row r="13" spans="3:13" ht="13.5" x14ac:dyDescent="0.25">
      <c r="C13" s="210"/>
      <c r="D13" s="41"/>
      <c r="E13" s="42"/>
      <c r="F13" s="165"/>
      <c r="G13" s="42"/>
      <c r="H13" s="43"/>
      <c r="I13" s="41"/>
    </row>
    <row r="14" spans="3:13" ht="13.5" x14ac:dyDescent="0.35">
      <c r="C14" s="211"/>
      <c r="D14" s="45"/>
      <c r="E14" s="47"/>
      <c r="F14" s="165"/>
      <c r="G14" s="48"/>
      <c r="H14" s="49"/>
      <c r="I14" s="50"/>
    </row>
    <row r="15" spans="3:13" ht="13.5" x14ac:dyDescent="0.35">
      <c r="C15" s="212"/>
      <c r="D15" s="45"/>
      <c r="E15" s="47"/>
      <c r="F15" s="165"/>
      <c r="G15" s="48"/>
      <c r="H15" s="49"/>
      <c r="I15" s="50"/>
    </row>
    <row r="16" spans="3:13" ht="13" thickBot="1" x14ac:dyDescent="0.3">
      <c r="E16" s="51"/>
      <c r="F16" s="51"/>
      <c r="G16" s="51"/>
      <c r="H16" s="51"/>
    </row>
    <row r="17" spans="3:11" s="52" customFormat="1" ht="14" thickTop="1" thickBot="1" x14ac:dyDescent="0.3">
      <c r="C17" s="209" t="s">
        <v>126</v>
      </c>
      <c r="E17" s="53"/>
      <c r="F17" s="165"/>
      <c r="G17" s="53"/>
      <c r="H17" s="54"/>
    </row>
    <row r="18" spans="3:11" s="56" customFormat="1" ht="7.5" customHeight="1" thickTop="1" x14ac:dyDescent="0.3">
      <c r="C18" s="55"/>
      <c r="E18" s="57"/>
      <c r="F18" s="57"/>
      <c r="G18" s="57"/>
      <c r="H18" s="57"/>
    </row>
    <row r="19" spans="3:11" s="62" customFormat="1" ht="13" x14ac:dyDescent="0.3">
      <c r="C19" s="210"/>
      <c r="D19" s="58"/>
      <c r="E19" s="60"/>
      <c r="F19" s="165"/>
      <c r="G19" s="61"/>
      <c r="H19" s="60"/>
    </row>
    <row r="20" spans="3:11" s="62" customFormat="1" ht="13" x14ac:dyDescent="0.3">
      <c r="C20" s="211"/>
      <c r="D20" s="58"/>
      <c r="E20" s="60"/>
      <c r="F20" s="165"/>
      <c r="G20" s="61"/>
      <c r="H20" s="60"/>
    </row>
    <row r="21" spans="3:11" s="62" customFormat="1" ht="13" x14ac:dyDescent="0.3">
      <c r="C21" s="211"/>
      <c r="D21" s="58"/>
      <c r="E21" s="60"/>
      <c r="F21" s="165"/>
      <c r="G21" s="61"/>
      <c r="H21" s="60"/>
    </row>
    <row r="22" spans="3:11" s="62" customFormat="1" ht="13" x14ac:dyDescent="0.3">
      <c r="C22" s="212"/>
      <c r="D22" s="58"/>
      <c r="E22" s="60"/>
      <c r="F22" s="165"/>
      <c r="G22" s="61"/>
      <c r="H22" s="60"/>
    </row>
    <row r="23" spans="3:11" s="56" customFormat="1" ht="15" thickBot="1" x14ac:dyDescent="0.4">
      <c r="D23" s="66"/>
      <c r="E23" s="68"/>
      <c r="F23" s="67"/>
      <c r="G23" s="69"/>
      <c r="H23" s="67"/>
      <c r="K23" s="62"/>
    </row>
    <row r="24" spans="3:11" s="52" customFormat="1" ht="15.5" thickTop="1" thickBot="1" x14ac:dyDescent="0.3">
      <c r="C24" s="209"/>
      <c r="E24" s="70"/>
      <c r="F24" s="165"/>
      <c r="G24" s="70"/>
      <c r="H24" s="71"/>
      <c r="K24" s="62"/>
    </row>
    <row r="25" spans="3:11" s="56" customFormat="1" ht="6.75" customHeight="1" thickTop="1" x14ac:dyDescent="0.35">
      <c r="C25" s="72"/>
      <c r="E25" s="68"/>
      <c r="F25" s="68"/>
      <c r="G25" s="69"/>
      <c r="H25" s="67"/>
      <c r="K25" s="62"/>
    </row>
    <row r="26" spans="3:11" s="56" customFormat="1" ht="14.5" x14ac:dyDescent="0.35">
      <c r="C26" s="213"/>
      <c r="E26" s="73"/>
      <c r="F26" s="165"/>
      <c r="G26" s="61"/>
      <c r="H26" s="73"/>
      <c r="K26" s="62"/>
    </row>
    <row r="27" spans="3:11" s="56" customFormat="1" ht="7.5" customHeight="1" thickBot="1" x14ac:dyDescent="0.4">
      <c r="C27" s="74"/>
      <c r="E27" s="73"/>
      <c r="F27" s="73"/>
      <c r="G27" s="61"/>
      <c r="H27" s="73"/>
      <c r="K27" s="62"/>
    </row>
    <row r="28" spans="3:11" s="56" customFormat="1" ht="15.5" thickTop="1" thickBot="1" x14ac:dyDescent="0.4">
      <c r="C28" s="208" t="s">
        <v>127</v>
      </c>
      <c r="E28" s="73"/>
      <c r="F28" s="165"/>
      <c r="G28" s="61"/>
      <c r="H28" s="73"/>
      <c r="K28" s="62"/>
    </row>
    <row r="29" spans="3:11" s="56" customFormat="1" ht="3.75" customHeight="1" thickTop="1" x14ac:dyDescent="0.35">
      <c r="C29" s="74"/>
      <c r="E29" s="73"/>
      <c r="F29" s="73"/>
      <c r="G29" s="61"/>
      <c r="H29" s="73"/>
      <c r="K29" s="62"/>
    </row>
    <row r="30" spans="3:11" s="56" customFormat="1" ht="14.5" x14ac:dyDescent="0.35">
      <c r="C30" s="210"/>
      <c r="E30" s="73"/>
      <c r="F30" s="165"/>
      <c r="G30" s="61"/>
      <c r="H30" s="73"/>
      <c r="K30" s="62"/>
    </row>
    <row r="31" spans="3:11" s="56" customFormat="1" ht="14.5" x14ac:dyDescent="0.35">
      <c r="C31" s="214"/>
      <c r="E31" s="73"/>
      <c r="F31" s="165"/>
      <c r="G31" s="61"/>
      <c r="H31" s="73"/>
      <c r="K31" s="62"/>
    </row>
    <row r="32" spans="3:11" s="56" customFormat="1" ht="15" thickBot="1" x14ac:dyDescent="0.4">
      <c r="C32" s="75"/>
      <c r="D32" s="66"/>
      <c r="E32" s="73"/>
      <c r="F32" s="73"/>
      <c r="G32" s="61"/>
      <c r="H32" s="73"/>
      <c r="K32" s="62"/>
    </row>
    <row r="33" spans="1:14" s="52" customFormat="1" ht="14" thickTop="1" thickBot="1" x14ac:dyDescent="0.3">
      <c r="C33" s="208" t="s">
        <v>128</v>
      </c>
      <c r="E33" s="76"/>
      <c r="F33" s="165"/>
      <c r="G33" s="70"/>
      <c r="H33" s="76"/>
      <c r="I33" s="77"/>
      <c r="K33" s="62"/>
    </row>
    <row r="34" spans="1:14" s="56" customFormat="1" ht="15" thickTop="1" x14ac:dyDescent="0.35">
      <c r="E34" s="67"/>
      <c r="F34" s="67"/>
      <c r="G34" s="67"/>
      <c r="H34" s="67"/>
      <c r="I34" s="78"/>
      <c r="K34" s="62"/>
    </row>
    <row r="35" spans="1:14" s="56" customFormat="1" ht="14.5" x14ac:dyDescent="0.35">
      <c r="C35" s="210"/>
      <c r="E35" s="79"/>
      <c r="F35" s="165"/>
      <c r="G35" s="81"/>
      <c r="H35" s="73"/>
      <c r="I35" s="82"/>
      <c r="K35" s="62"/>
    </row>
    <row r="36" spans="1:14" s="56" customFormat="1" ht="14.5" x14ac:dyDescent="0.35">
      <c r="C36" s="211"/>
      <c r="D36" s="79"/>
      <c r="E36" s="79"/>
      <c r="F36" s="165"/>
      <c r="G36" s="81"/>
      <c r="H36" s="73"/>
      <c r="I36" s="79"/>
      <c r="K36" s="62"/>
    </row>
    <row r="37" spans="1:14" s="56" customFormat="1" ht="14.5" x14ac:dyDescent="0.35">
      <c r="C37" s="212"/>
      <c r="F37" s="165"/>
      <c r="H37" s="73"/>
    </row>
    <row r="38" spans="1:14" s="56" customFormat="1" ht="7.5" customHeight="1" thickBot="1" x14ac:dyDescent="0.3">
      <c r="C38" s="75"/>
      <c r="H38" s="84"/>
      <c r="J38" s="32"/>
      <c r="K38" s="85"/>
      <c r="L38" s="86"/>
    </row>
    <row r="39" spans="1:14" s="56" customFormat="1" ht="15.75" customHeight="1" thickTop="1" thickBot="1" x14ac:dyDescent="0.35">
      <c r="C39" s="208" t="s">
        <v>129</v>
      </c>
      <c r="D39" s="52"/>
      <c r="E39" s="76"/>
      <c r="F39" s="179"/>
      <c r="H39" s="84"/>
      <c r="J39" s="32"/>
      <c r="K39" s="85"/>
      <c r="L39" s="86"/>
    </row>
    <row r="40" spans="1:14" s="56" customFormat="1" ht="7.5" customHeight="1" thickTop="1" x14ac:dyDescent="0.35">
      <c r="E40" s="67"/>
      <c r="F40" s="67"/>
      <c r="H40" s="84"/>
      <c r="J40" s="32"/>
      <c r="K40" s="85"/>
      <c r="L40" s="86"/>
    </row>
    <row r="41" spans="1:14" s="56" customFormat="1" ht="15" customHeight="1" x14ac:dyDescent="0.3">
      <c r="C41" s="213"/>
      <c r="E41" s="79"/>
      <c r="F41" s="179"/>
      <c r="H41" s="84"/>
      <c r="J41" s="32"/>
      <c r="K41" s="85"/>
      <c r="L41" s="86"/>
    </row>
    <row r="42" spans="1:14" s="56" customFormat="1" ht="7.5" customHeight="1" thickBot="1" x14ac:dyDescent="0.3">
      <c r="A42" s="32"/>
      <c r="B42" s="32"/>
      <c r="C42" s="32"/>
      <c r="D42" s="32"/>
      <c r="E42" s="32"/>
      <c r="F42" s="32"/>
      <c r="G42" s="32"/>
      <c r="H42" s="32"/>
      <c r="I42" s="32"/>
      <c r="J42" s="32"/>
      <c r="K42" s="85"/>
      <c r="L42" s="86"/>
    </row>
    <row r="43" spans="1:14" s="56" customFormat="1" ht="14" thickTop="1" thickBot="1" x14ac:dyDescent="0.3">
      <c r="C43" s="208" t="s">
        <v>99</v>
      </c>
      <c r="D43" s="52"/>
      <c r="E43" s="76"/>
      <c r="F43" s="165"/>
      <c r="J43" s="91"/>
      <c r="K43" s="92"/>
      <c r="L43" s="93"/>
      <c r="M43" s="94"/>
      <c r="N43" s="95"/>
    </row>
    <row r="44" spans="1:14" s="56" customFormat="1" ht="6.75" customHeight="1" thickTop="1" x14ac:dyDescent="0.35">
      <c r="E44" s="67"/>
      <c r="F44" s="67"/>
      <c r="J44" s="91"/>
      <c r="K44" s="91"/>
      <c r="L44" s="94"/>
      <c r="M44" s="94"/>
      <c r="N44" s="95"/>
    </row>
    <row r="45" spans="1:14" s="56" customFormat="1" ht="13" x14ac:dyDescent="0.25">
      <c r="C45" s="213"/>
      <c r="E45" s="79"/>
      <c r="F45" s="165"/>
      <c r="J45" s="91"/>
      <c r="K45" s="96"/>
      <c r="L45" s="96"/>
      <c r="M45" s="93"/>
    </row>
    <row r="46" spans="1:14" s="56" customFormat="1" x14ac:dyDescent="0.25">
      <c r="C46" s="26"/>
      <c r="E46" s="97"/>
      <c r="F46" s="97"/>
      <c r="J46" s="91"/>
      <c r="K46" s="96"/>
      <c r="L46" s="96"/>
      <c r="M46" s="93"/>
      <c r="N46" s="95"/>
    </row>
    <row r="47" spans="1:14" s="56" customFormat="1" ht="15.5" x14ac:dyDescent="0.25">
      <c r="F47" s="30"/>
      <c r="J47" s="91"/>
      <c r="K47" s="96"/>
      <c r="L47" s="96"/>
      <c r="M47" s="93"/>
      <c r="N47" s="95"/>
    </row>
    <row r="48" spans="1:14" s="56" customFormat="1" ht="15.5" x14ac:dyDescent="0.25">
      <c r="C48" s="1041"/>
      <c r="D48" s="1041"/>
      <c r="F48" s="30"/>
      <c r="J48" s="91"/>
      <c r="K48" s="96"/>
      <c r="L48" s="96"/>
      <c r="M48" s="93"/>
      <c r="N48" s="95"/>
    </row>
    <row r="49" spans="6:14" s="56" customFormat="1" ht="15.5" x14ac:dyDescent="0.25">
      <c r="F49" s="30"/>
      <c r="G49" s="26"/>
      <c r="H49" s="26"/>
      <c r="J49" s="91"/>
      <c r="K49" s="96"/>
      <c r="L49" s="96"/>
      <c r="M49" s="93"/>
      <c r="N49" s="95"/>
    </row>
    <row r="50" spans="6:14" s="56" customFormat="1" ht="15.5" x14ac:dyDescent="0.25">
      <c r="F50" s="30"/>
      <c r="G50" s="98"/>
      <c r="H50" s="98"/>
      <c r="I50" s="26"/>
      <c r="J50" s="91"/>
      <c r="K50" s="96"/>
      <c r="L50" s="96"/>
      <c r="M50" s="93"/>
      <c r="N50" s="95"/>
    </row>
    <row r="51" spans="6:14" ht="15.5" x14ac:dyDescent="0.25">
      <c r="F51" s="30"/>
      <c r="G51" s="98"/>
      <c r="H51" s="98"/>
      <c r="J51" s="91"/>
      <c r="K51" s="96"/>
      <c r="L51" s="96"/>
      <c r="M51" s="93"/>
      <c r="N51" s="100"/>
    </row>
    <row r="52" spans="6:14" ht="15.5" x14ac:dyDescent="0.25">
      <c r="F52" s="30"/>
      <c r="G52" s="98"/>
      <c r="H52" s="98"/>
      <c r="J52" s="91"/>
      <c r="K52" s="96"/>
      <c r="L52" s="96"/>
      <c r="M52" s="93"/>
      <c r="N52" s="100"/>
    </row>
    <row r="53" spans="6:14" ht="15.5" x14ac:dyDescent="0.25">
      <c r="F53" s="30"/>
      <c r="J53" s="91"/>
      <c r="K53" s="96"/>
      <c r="L53" s="96"/>
      <c r="M53" s="93"/>
      <c r="N53" s="100"/>
    </row>
    <row r="54" spans="6:14" ht="15.5" x14ac:dyDescent="0.25">
      <c r="F54" s="30"/>
      <c r="J54" s="91"/>
      <c r="K54" s="96"/>
      <c r="L54" s="96"/>
      <c r="M54" s="93"/>
      <c r="N54" s="100"/>
    </row>
    <row r="55" spans="6:14" ht="15.5" x14ac:dyDescent="0.25">
      <c r="F55" s="30"/>
      <c r="J55" s="91"/>
      <c r="K55" s="96"/>
      <c r="L55" s="96"/>
      <c r="M55" s="93"/>
      <c r="N55" s="100"/>
    </row>
    <row r="56" spans="6:14" x14ac:dyDescent="0.25">
      <c r="F56" s="99"/>
      <c r="J56" s="91"/>
      <c r="K56" s="96"/>
      <c r="L56" s="96"/>
      <c r="M56" s="93"/>
      <c r="N56" s="100"/>
    </row>
    <row r="57" spans="6:14" x14ac:dyDescent="0.25">
      <c r="F57" s="99"/>
      <c r="J57" s="91"/>
      <c r="K57" s="96"/>
      <c r="L57" s="96"/>
      <c r="M57" s="93"/>
      <c r="N57" s="100"/>
    </row>
    <row r="58" spans="6:14" x14ac:dyDescent="0.25">
      <c r="J58" s="91"/>
      <c r="K58" s="96"/>
      <c r="L58" s="96"/>
      <c r="M58" s="93"/>
      <c r="N58" s="100"/>
    </row>
    <row r="59" spans="6:14" x14ac:dyDescent="0.25">
      <c r="J59" s="91"/>
      <c r="K59" s="96"/>
      <c r="L59" s="96"/>
      <c r="M59" s="93"/>
      <c r="N59" s="100"/>
    </row>
    <row r="60" spans="6:14" x14ac:dyDescent="0.25">
      <c r="J60" s="91"/>
      <c r="K60" s="96"/>
      <c r="L60" s="96"/>
      <c r="M60" s="93"/>
      <c r="N60" s="100"/>
    </row>
    <row r="61" spans="6:14" x14ac:dyDescent="0.25">
      <c r="J61" s="91"/>
      <c r="K61" s="96"/>
      <c r="L61" s="96"/>
      <c r="M61" s="93"/>
      <c r="N61" s="100"/>
    </row>
    <row r="62" spans="6:14" x14ac:dyDescent="0.25">
      <c r="J62" s="91"/>
      <c r="K62" s="96"/>
      <c r="L62" s="96"/>
      <c r="M62" s="93"/>
      <c r="N62" s="100"/>
    </row>
    <row r="63" spans="6:14" x14ac:dyDescent="0.25">
      <c r="J63" s="91"/>
      <c r="K63" s="96"/>
      <c r="L63" s="96"/>
      <c r="M63" s="93"/>
      <c r="N63" s="100"/>
    </row>
    <row r="64" spans="6:14" x14ac:dyDescent="0.25">
      <c r="J64" s="91"/>
      <c r="K64" s="96"/>
      <c r="L64" s="96"/>
      <c r="M64" s="93"/>
      <c r="N64" s="100"/>
    </row>
    <row r="65" spans="10:14" x14ac:dyDescent="0.25">
      <c r="J65" s="91"/>
      <c r="K65" s="96"/>
      <c r="L65" s="96"/>
      <c r="M65" s="93"/>
      <c r="N65" s="100"/>
    </row>
    <row r="66" spans="10:14" x14ac:dyDescent="0.25">
      <c r="J66" s="91"/>
      <c r="K66" s="96"/>
      <c r="L66" s="96"/>
      <c r="M66" s="93"/>
      <c r="N66" s="100"/>
    </row>
    <row r="67" spans="10:14" x14ac:dyDescent="0.25">
      <c r="J67" s="91"/>
      <c r="K67" s="96"/>
      <c r="L67" s="96"/>
      <c r="M67" s="93"/>
      <c r="N67" s="100"/>
    </row>
    <row r="68" spans="10:14" x14ac:dyDescent="0.25">
      <c r="J68" s="91"/>
      <c r="K68" s="96"/>
      <c r="L68" s="96"/>
      <c r="M68" s="93"/>
      <c r="N68" s="100"/>
    </row>
    <row r="69" spans="10:14" x14ac:dyDescent="0.25">
      <c r="J69" s="91"/>
      <c r="K69" s="96"/>
      <c r="L69" s="96"/>
      <c r="M69" s="93"/>
      <c r="N69" s="100"/>
    </row>
    <row r="70" spans="10:14" x14ac:dyDescent="0.25">
      <c r="J70" s="91"/>
      <c r="K70" s="96"/>
      <c r="L70" s="96"/>
      <c r="M70" s="93"/>
      <c r="N70" s="100"/>
    </row>
    <row r="71" spans="10:14" x14ac:dyDescent="0.25">
      <c r="J71" s="91"/>
      <c r="K71" s="96"/>
      <c r="L71" s="96"/>
      <c r="M71" s="93"/>
      <c r="N71" s="100"/>
    </row>
    <row r="72" spans="10:14" x14ac:dyDescent="0.25">
      <c r="J72" s="91"/>
      <c r="K72" s="96"/>
      <c r="L72" s="96"/>
      <c r="M72" s="93"/>
      <c r="N72" s="100"/>
    </row>
    <row r="73" spans="10:14" x14ac:dyDescent="0.25">
      <c r="J73" s="91"/>
      <c r="K73" s="96"/>
      <c r="L73" s="96"/>
      <c r="M73" s="93"/>
      <c r="N73" s="100"/>
    </row>
    <row r="74" spans="10:14" x14ac:dyDescent="0.25">
      <c r="J74" s="91"/>
      <c r="K74" s="96"/>
      <c r="L74" s="96"/>
      <c r="M74" s="93"/>
      <c r="N74" s="100"/>
    </row>
    <row r="75" spans="10:14" x14ac:dyDescent="0.25">
      <c r="J75" s="91"/>
      <c r="K75" s="96"/>
      <c r="L75" s="96"/>
      <c r="M75" s="93"/>
      <c r="N75" s="100"/>
    </row>
    <row r="76" spans="10:14" x14ac:dyDescent="0.25">
      <c r="J76" s="91"/>
      <c r="K76" s="96"/>
      <c r="L76" s="96"/>
      <c r="M76" s="93"/>
      <c r="N76" s="100"/>
    </row>
    <row r="77" spans="10:14" x14ac:dyDescent="0.25">
      <c r="J77" s="91"/>
      <c r="K77" s="96"/>
      <c r="L77" s="96"/>
      <c r="M77" s="93"/>
      <c r="N77" s="100"/>
    </row>
    <row r="78" spans="10:14" x14ac:dyDescent="0.25">
      <c r="J78" s="91"/>
      <c r="K78" s="96"/>
      <c r="L78" s="96"/>
      <c r="M78" s="93"/>
      <c r="N78" s="100"/>
    </row>
    <row r="79" spans="10:14" x14ac:dyDescent="0.25">
      <c r="J79" s="91"/>
      <c r="K79" s="96"/>
      <c r="L79" s="96"/>
      <c r="M79" s="93"/>
      <c r="N79" s="100"/>
    </row>
  </sheetData>
  <mergeCells count="2">
    <mergeCell ref="C8:F8"/>
    <mergeCell ref="C48:D48"/>
  </mergeCells>
  <conditionalFormatting sqref="F11 F13:F15 F19:F22 F45">
    <cfRule type="cellIs" dxfId="74" priority="39" operator="equal">
      <formula>"KO"</formula>
    </cfRule>
    <cfRule type="cellIs" dxfId="73" priority="40" operator="equal">
      <formula>"OK"</formula>
    </cfRule>
  </conditionalFormatting>
  <conditionalFormatting sqref="F17">
    <cfRule type="cellIs" dxfId="72" priority="33" operator="equal">
      <formula>"KO"</formula>
    </cfRule>
    <cfRule type="cellIs" dxfId="71" priority="34" operator="equal">
      <formula>"OK"</formula>
    </cfRule>
  </conditionalFormatting>
  <conditionalFormatting sqref="F24">
    <cfRule type="cellIs" dxfId="70" priority="31" operator="equal">
      <formula>"KO"</formula>
    </cfRule>
    <cfRule type="cellIs" dxfId="69" priority="32" operator="equal">
      <formula>"OK"</formula>
    </cfRule>
  </conditionalFormatting>
  <conditionalFormatting sqref="F26">
    <cfRule type="cellIs" dxfId="68" priority="29" operator="equal">
      <formula>"KO"</formula>
    </cfRule>
    <cfRule type="cellIs" dxfId="67" priority="30" operator="equal">
      <formula>"OK"</formula>
    </cfRule>
  </conditionalFormatting>
  <conditionalFormatting sqref="F28">
    <cfRule type="cellIs" dxfId="66" priority="19" operator="equal">
      <formula>"KO"</formula>
    </cfRule>
    <cfRule type="cellIs" dxfId="65" priority="20" operator="equal">
      <formula>"OK"</formula>
    </cfRule>
  </conditionalFormatting>
  <conditionalFormatting sqref="F30:F31">
    <cfRule type="cellIs" dxfId="64" priority="17" operator="equal">
      <formula>"KO"</formula>
    </cfRule>
    <cfRule type="cellIs" dxfId="63" priority="18" operator="equal">
      <formula>"OK"</formula>
    </cfRule>
  </conditionalFormatting>
  <conditionalFormatting sqref="F33">
    <cfRule type="cellIs" dxfId="62" priority="21" operator="equal">
      <formula>"KO"</formula>
    </cfRule>
    <cfRule type="cellIs" dxfId="61" priority="22" operator="equal">
      <formula>"OK"</formula>
    </cfRule>
  </conditionalFormatting>
  <conditionalFormatting sqref="F35:F37">
    <cfRule type="cellIs" dxfId="60" priority="23" operator="equal">
      <formula>"KO"</formula>
    </cfRule>
    <cfRule type="cellIs" dxfId="59" priority="24" operator="equal">
      <formula>"OK"</formula>
    </cfRule>
  </conditionalFormatting>
  <conditionalFormatting sqref="F39">
    <cfRule type="cellIs" dxfId="58" priority="5" operator="equal">
      <formula>"Yes"</formula>
    </cfRule>
    <cfRule type="cellIs" dxfId="57" priority="6" operator="equal">
      <formula>"No"</formula>
    </cfRule>
  </conditionalFormatting>
  <conditionalFormatting sqref="F41">
    <cfRule type="cellIs" dxfId="56" priority="3" operator="equal">
      <formula>"Yes"</formula>
    </cfRule>
    <cfRule type="cellIs" dxfId="55" priority="4" operator="equal">
      <formula>"No"</formula>
    </cfRule>
  </conditionalFormatting>
  <conditionalFormatting sqref="F43">
    <cfRule type="cellIs" dxfId="54" priority="1" operator="equal">
      <formula>"KO"</formula>
    </cfRule>
    <cfRule type="cellIs" dxfId="53" priority="2" operator="equal">
      <formula>"OK"</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0" tint="-0.249977111117893"/>
  </sheetPr>
  <dimension ref="C3:N82"/>
  <sheetViews>
    <sheetView showGridLines="0" zoomScale="80" zoomScaleNormal="80" workbookViewId="0">
      <selection activeCell="L36" sqref="L36"/>
    </sheetView>
  </sheetViews>
  <sheetFormatPr defaultColWidth="11.453125" defaultRowHeight="12.5" x14ac:dyDescent="0.25"/>
  <cols>
    <col min="1" max="1" width="3.54296875" style="26" customWidth="1"/>
    <col min="2" max="2" width="2.453125" style="26" customWidth="1"/>
    <col min="3" max="3" width="99.81640625" style="26" bestFit="1" customWidth="1"/>
    <col min="4" max="4" width="30.453125" style="26" customWidth="1"/>
    <col min="5" max="5" width="1.453125" style="26" customWidth="1"/>
    <col min="6" max="6" width="29.453125" style="26" customWidth="1"/>
    <col min="7" max="7" width="1.1796875" style="26" customWidth="1"/>
    <col min="8" max="8" width="4.54296875" style="26" customWidth="1"/>
    <col min="9" max="9" width="12.453125" style="26" bestFit="1" customWidth="1"/>
    <col min="10" max="10" width="13.453125" style="26" customWidth="1"/>
    <col min="11" max="11" width="7.453125" style="26" bestFit="1" customWidth="1"/>
    <col min="12" max="12" width="19.81640625" style="26" bestFit="1" customWidth="1"/>
    <col min="13" max="247" width="11.453125" style="26"/>
    <col min="248" max="248" width="2.453125" style="26" customWidth="1"/>
    <col min="249" max="249" width="49" style="26" customWidth="1"/>
    <col min="250" max="250" width="16.81640625" style="26" customWidth="1"/>
    <col min="251" max="251" width="1.1796875" style="26" customWidth="1"/>
    <col min="252" max="252" width="20.54296875" style="26" customWidth="1"/>
    <col min="253" max="253" width="17.54296875" style="26" customWidth="1"/>
    <col min="254" max="254" width="18.1796875" style="26" customWidth="1"/>
    <col min="255" max="255" width="17.1796875" style="26" customWidth="1"/>
    <col min="256" max="256" width="22.453125" style="26" bestFit="1" customWidth="1"/>
    <col min="257" max="257" width="22.1796875" style="26" customWidth="1"/>
    <col min="258" max="258" width="17.81640625" style="26" customWidth="1"/>
    <col min="259" max="259" width="22.453125" style="26" customWidth="1"/>
    <col min="260" max="260" width="10.1796875" style="26" bestFit="1" customWidth="1"/>
    <col min="261" max="261" width="13.453125" style="26" customWidth="1"/>
    <col min="262" max="262" width="7.453125" style="26" bestFit="1" customWidth="1"/>
    <col min="263" max="263" width="15.453125" style="26" bestFit="1" customWidth="1"/>
    <col min="264" max="264" width="7.453125" style="26" bestFit="1" customWidth="1"/>
    <col min="265" max="265" width="19.54296875" style="26" bestFit="1" customWidth="1"/>
    <col min="266" max="266" width="7.453125" style="26" bestFit="1" customWidth="1"/>
    <col min="267" max="267" width="26.81640625" style="26" bestFit="1" customWidth="1"/>
    <col min="268" max="268" width="19.81640625" style="26" bestFit="1" customWidth="1"/>
    <col min="269" max="503" width="11.453125" style="26"/>
    <col min="504" max="504" width="2.453125" style="26" customWidth="1"/>
    <col min="505" max="505" width="49" style="26" customWidth="1"/>
    <col min="506" max="506" width="16.81640625" style="26" customWidth="1"/>
    <col min="507" max="507" width="1.1796875" style="26" customWidth="1"/>
    <col min="508" max="508" width="20.54296875" style="26" customWidth="1"/>
    <col min="509" max="509" width="17.54296875" style="26" customWidth="1"/>
    <col min="510" max="510" width="18.1796875" style="26" customWidth="1"/>
    <col min="511" max="511" width="17.1796875" style="26" customWidth="1"/>
    <col min="512" max="512" width="22.453125" style="26" bestFit="1" customWidth="1"/>
    <col min="513" max="513" width="22.1796875" style="26" customWidth="1"/>
    <col min="514" max="514" width="17.81640625" style="26" customWidth="1"/>
    <col min="515" max="515" width="22.453125" style="26" customWidth="1"/>
    <col min="516" max="516" width="10.1796875" style="26" bestFit="1" customWidth="1"/>
    <col min="517" max="517" width="13.453125" style="26" customWidth="1"/>
    <col min="518" max="518" width="7.453125" style="26" bestFit="1" customWidth="1"/>
    <col min="519" max="519" width="15.453125" style="26" bestFit="1" customWidth="1"/>
    <col min="520" max="520" width="7.453125" style="26" bestFit="1" customWidth="1"/>
    <col min="521" max="521" width="19.54296875" style="26" bestFit="1" customWidth="1"/>
    <col min="522" max="522" width="7.453125" style="26" bestFit="1" customWidth="1"/>
    <col min="523" max="523" width="26.81640625" style="26" bestFit="1" customWidth="1"/>
    <col min="524" max="524" width="19.81640625" style="26" bestFit="1" customWidth="1"/>
    <col min="525" max="759" width="11.453125" style="26"/>
    <col min="760" max="760" width="2.453125" style="26" customWidth="1"/>
    <col min="761" max="761" width="49" style="26" customWidth="1"/>
    <col min="762" max="762" width="16.81640625" style="26" customWidth="1"/>
    <col min="763" max="763" width="1.1796875" style="26" customWidth="1"/>
    <col min="764" max="764" width="20.54296875" style="26" customWidth="1"/>
    <col min="765" max="765" width="17.54296875" style="26" customWidth="1"/>
    <col min="766" max="766" width="18.1796875" style="26" customWidth="1"/>
    <col min="767" max="767" width="17.1796875" style="26" customWidth="1"/>
    <col min="768" max="768" width="22.453125" style="26" bestFit="1" customWidth="1"/>
    <col min="769" max="769" width="22.1796875" style="26" customWidth="1"/>
    <col min="770" max="770" width="17.81640625" style="26" customWidth="1"/>
    <col min="771" max="771" width="22.453125" style="26" customWidth="1"/>
    <col min="772" max="772" width="10.1796875" style="26" bestFit="1" customWidth="1"/>
    <col min="773" max="773" width="13.453125" style="26" customWidth="1"/>
    <col min="774" max="774" width="7.453125" style="26" bestFit="1" customWidth="1"/>
    <col min="775" max="775" width="15.453125" style="26" bestFit="1" customWidth="1"/>
    <col min="776" max="776" width="7.453125" style="26" bestFit="1" customWidth="1"/>
    <col min="777" max="777" width="19.54296875" style="26" bestFit="1" customWidth="1"/>
    <col min="778" max="778" width="7.453125" style="26" bestFit="1" customWidth="1"/>
    <col min="779" max="779" width="26.81640625" style="26" bestFit="1" customWidth="1"/>
    <col min="780" max="780" width="19.81640625" style="26" bestFit="1" customWidth="1"/>
    <col min="781" max="1015" width="11.453125" style="26"/>
    <col min="1016" max="1016" width="2.453125" style="26" customWidth="1"/>
    <col min="1017" max="1017" width="49" style="26" customWidth="1"/>
    <col min="1018" max="1018" width="16.81640625" style="26" customWidth="1"/>
    <col min="1019" max="1019" width="1.1796875" style="26" customWidth="1"/>
    <col min="1020" max="1020" width="20.54296875" style="26" customWidth="1"/>
    <col min="1021" max="1021" width="17.54296875" style="26" customWidth="1"/>
    <col min="1022" max="1022" width="18.1796875" style="26" customWidth="1"/>
    <col min="1023" max="1023" width="17.1796875" style="26" customWidth="1"/>
    <col min="1024" max="1024" width="22.453125" style="26" bestFit="1" customWidth="1"/>
    <col min="1025" max="1025" width="22.1796875" style="26" customWidth="1"/>
    <col min="1026" max="1026" width="17.81640625" style="26" customWidth="1"/>
    <col min="1027" max="1027" width="22.453125" style="26" customWidth="1"/>
    <col min="1028" max="1028" width="10.1796875" style="26" bestFit="1" customWidth="1"/>
    <col min="1029" max="1029" width="13.453125" style="26" customWidth="1"/>
    <col min="1030" max="1030" width="7.453125" style="26" bestFit="1" customWidth="1"/>
    <col min="1031" max="1031" width="15.453125" style="26" bestFit="1" customWidth="1"/>
    <col min="1032" max="1032" width="7.453125" style="26" bestFit="1" customWidth="1"/>
    <col min="1033" max="1033" width="19.54296875" style="26" bestFit="1" customWidth="1"/>
    <col min="1034" max="1034" width="7.453125" style="26" bestFit="1" customWidth="1"/>
    <col min="1035" max="1035" width="26.81640625" style="26" bestFit="1" customWidth="1"/>
    <col min="1036" max="1036" width="19.81640625" style="26" bestFit="1" customWidth="1"/>
    <col min="1037" max="1271" width="11.453125" style="26"/>
    <col min="1272" max="1272" width="2.453125" style="26" customWidth="1"/>
    <col min="1273" max="1273" width="49" style="26" customWidth="1"/>
    <col min="1274" max="1274" width="16.81640625" style="26" customWidth="1"/>
    <col min="1275" max="1275" width="1.1796875" style="26" customWidth="1"/>
    <col min="1276" max="1276" width="20.54296875" style="26" customWidth="1"/>
    <col min="1277" max="1277" width="17.54296875" style="26" customWidth="1"/>
    <col min="1278" max="1278" width="18.1796875" style="26" customWidth="1"/>
    <col min="1279" max="1279" width="17.1796875" style="26" customWidth="1"/>
    <col min="1280" max="1280" width="22.453125" style="26" bestFit="1" customWidth="1"/>
    <col min="1281" max="1281" width="22.1796875" style="26" customWidth="1"/>
    <col min="1282" max="1282" width="17.81640625" style="26" customWidth="1"/>
    <col min="1283" max="1283" width="22.453125" style="26" customWidth="1"/>
    <col min="1284" max="1284" width="10.1796875" style="26" bestFit="1" customWidth="1"/>
    <col min="1285" max="1285" width="13.453125" style="26" customWidth="1"/>
    <col min="1286" max="1286" width="7.453125" style="26" bestFit="1" customWidth="1"/>
    <col min="1287" max="1287" width="15.453125" style="26" bestFit="1" customWidth="1"/>
    <col min="1288" max="1288" width="7.453125" style="26" bestFit="1" customWidth="1"/>
    <col min="1289" max="1289" width="19.54296875" style="26" bestFit="1" customWidth="1"/>
    <col min="1290" max="1290" width="7.453125" style="26" bestFit="1" customWidth="1"/>
    <col min="1291" max="1291" width="26.81640625" style="26" bestFit="1" customWidth="1"/>
    <col min="1292" max="1292" width="19.81640625" style="26" bestFit="1" customWidth="1"/>
    <col min="1293" max="1527" width="11.453125" style="26"/>
    <col min="1528" max="1528" width="2.453125" style="26" customWidth="1"/>
    <col min="1529" max="1529" width="49" style="26" customWidth="1"/>
    <col min="1530" max="1530" width="16.81640625" style="26" customWidth="1"/>
    <col min="1531" max="1531" width="1.1796875" style="26" customWidth="1"/>
    <col min="1532" max="1532" width="20.54296875" style="26" customWidth="1"/>
    <col min="1533" max="1533" width="17.54296875" style="26" customWidth="1"/>
    <col min="1534" max="1534" width="18.1796875" style="26" customWidth="1"/>
    <col min="1535" max="1535" width="17.1796875" style="26" customWidth="1"/>
    <col min="1536" max="1536" width="22.453125" style="26" bestFit="1" customWidth="1"/>
    <col min="1537" max="1537" width="22.1796875" style="26" customWidth="1"/>
    <col min="1538" max="1538" width="17.81640625" style="26" customWidth="1"/>
    <col min="1539" max="1539" width="22.453125" style="26" customWidth="1"/>
    <col min="1540" max="1540" width="10.1796875" style="26" bestFit="1" customWidth="1"/>
    <col min="1541" max="1541" width="13.453125" style="26" customWidth="1"/>
    <col min="1542" max="1542" width="7.453125" style="26" bestFit="1" customWidth="1"/>
    <col min="1543" max="1543" width="15.453125" style="26" bestFit="1" customWidth="1"/>
    <col min="1544" max="1544" width="7.453125" style="26" bestFit="1" customWidth="1"/>
    <col min="1545" max="1545" width="19.54296875" style="26" bestFit="1" customWidth="1"/>
    <col min="1546" max="1546" width="7.453125" style="26" bestFit="1" customWidth="1"/>
    <col min="1547" max="1547" width="26.81640625" style="26" bestFit="1" customWidth="1"/>
    <col min="1548" max="1548" width="19.81640625" style="26" bestFit="1" customWidth="1"/>
    <col min="1549" max="1783" width="11.453125" style="26"/>
    <col min="1784" max="1784" width="2.453125" style="26" customWidth="1"/>
    <col min="1785" max="1785" width="49" style="26" customWidth="1"/>
    <col min="1786" max="1786" width="16.81640625" style="26" customWidth="1"/>
    <col min="1787" max="1787" width="1.1796875" style="26" customWidth="1"/>
    <col min="1788" max="1788" width="20.54296875" style="26" customWidth="1"/>
    <col min="1789" max="1789" width="17.54296875" style="26" customWidth="1"/>
    <col min="1790" max="1790" width="18.1796875" style="26" customWidth="1"/>
    <col min="1791" max="1791" width="17.1796875" style="26" customWidth="1"/>
    <col min="1792" max="1792" width="22.453125" style="26" bestFit="1" customWidth="1"/>
    <col min="1793" max="1793" width="22.1796875" style="26" customWidth="1"/>
    <col min="1794" max="1794" width="17.81640625" style="26" customWidth="1"/>
    <col min="1795" max="1795" width="22.453125" style="26" customWidth="1"/>
    <col min="1796" max="1796" width="10.1796875" style="26" bestFit="1" customWidth="1"/>
    <col min="1797" max="1797" width="13.453125" style="26" customWidth="1"/>
    <col min="1798" max="1798" width="7.453125" style="26" bestFit="1" customWidth="1"/>
    <col min="1799" max="1799" width="15.453125" style="26" bestFit="1" customWidth="1"/>
    <col min="1800" max="1800" width="7.453125" style="26" bestFit="1" customWidth="1"/>
    <col min="1801" max="1801" width="19.54296875" style="26" bestFit="1" customWidth="1"/>
    <col min="1802" max="1802" width="7.453125" style="26" bestFit="1" customWidth="1"/>
    <col min="1803" max="1803" width="26.81640625" style="26" bestFit="1" customWidth="1"/>
    <col min="1804" max="1804" width="19.81640625" style="26" bestFit="1" customWidth="1"/>
    <col min="1805" max="2039" width="11.453125" style="26"/>
    <col min="2040" max="2040" width="2.453125" style="26" customWidth="1"/>
    <col min="2041" max="2041" width="49" style="26" customWidth="1"/>
    <col min="2042" max="2042" width="16.81640625" style="26" customWidth="1"/>
    <col min="2043" max="2043" width="1.1796875" style="26" customWidth="1"/>
    <col min="2044" max="2044" width="20.54296875" style="26" customWidth="1"/>
    <col min="2045" max="2045" width="17.54296875" style="26" customWidth="1"/>
    <col min="2046" max="2046" width="18.1796875" style="26" customWidth="1"/>
    <col min="2047" max="2047" width="17.1796875" style="26" customWidth="1"/>
    <col min="2048" max="2048" width="22.453125" style="26" bestFit="1" customWidth="1"/>
    <col min="2049" max="2049" width="22.1796875" style="26" customWidth="1"/>
    <col min="2050" max="2050" width="17.81640625" style="26" customWidth="1"/>
    <col min="2051" max="2051" width="22.453125" style="26" customWidth="1"/>
    <col min="2052" max="2052" width="10.1796875" style="26" bestFit="1" customWidth="1"/>
    <col min="2053" max="2053" width="13.453125" style="26" customWidth="1"/>
    <col min="2054" max="2054" width="7.453125" style="26" bestFit="1" customWidth="1"/>
    <col min="2055" max="2055" width="15.453125" style="26" bestFit="1" customWidth="1"/>
    <col min="2056" max="2056" width="7.453125" style="26" bestFit="1" customWidth="1"/>
    <col min="2057" max="2057" width="19.54296875" style="26" bestFit="1" customWidth="1"/>
    <col min="2058" max="2058" width="7.453125" style="26" bestFit="1" customWidth="1"/>
    <col min="2059" max="2059" width="26.81640625" style="26" bestFit="1" customWidth="1"/>
    <col min="2060" max="2060" width="19.81640625" style="26" bestFit="1" customWidth="1"/>
    <col min="2061" max="2295" width="11.453125" style="26"/>
    <col min="2296" max="2296" width="2.453125" style="26" customWidth="1"/>
    <col min="2297" max="2297" width="49" style="26" customWidth="1"/>
    <col min="2298" max="2298" width="16.81640625" style="26" customWidth="1"/>
    <col min="2299" max="2299" width="1.1796875" style="26" customWidth="1"/>
    <col min="2300" max="2300" width="20.54296875" style="26" customWidth="1"/>
    <col min="2301" max="2301" width="17.54296875" style="26" customWidth="1"/>
    <col min="2302" max="2302" width="18.1796875" style="26" customWidth="1"/>
    <col min="2303" max="2303" width="17.1796875" style="26" customWidth="1"/>
    <col min="2304" max="2304" width="22.453125" style="26" bestFit="1" customWidth="1"/>
    <col min="2305" max="2305" width="22.1796875" style="26" customWidth="1"/>
    <col min="2306" max="2306" width="17.81640625" style="26" customWidth="1"/>
    <col min="2307" max="2307" width="22.453125" style="26" customWidth="1"/>
    <col min="2308" max="2308" width="10.1796875" style="26" bestFit="1" customWidth="1"/>
    <col min="2309" max="2309" width="13.453125" style="26" customWidth="1"/>
    <col min="2310" max="2310" width="7.453125" style="26" bestFit="1" customWidth="1"/>
    <col min="2311" max="2311" width="15.453125" style="26" bestFit="1" customWidth="1"/>
    <col min="2312" max="2312" width="7.453125" style="26" bestFit="1" customWidth="1"/>
    <col min="2313" max="2313" width="19.54296875" style="26" bestFit="1" customWidth="1"/>
    <col min="2314" max="2314" width="7.453125" style="26" bestFit="1" customWidth="1"/>
    <col min="2315" max="2315" width="26.81640625" style="26" bestFit="1" customWidth="1"/>
    <col min="2316" max="2316" width="19.81640625" style="26" bestFit="1" customWidth="1"/>
    <col min="2317" max="2551" width="11.453125" style="26"/>
    <col min="2552" max="2552" width="2.453125" style="26" customWidth="1"/>
    <col min="2553" max="2553" width="49" style="26" customWidth="1"/>
    <col min="2554" max="2554" width="16.81640625" style="26" customWidth="1"/>
    <col min="2555" max="2555" width="1.1796875" style="26" customWidth="1"/>
    <col min="2556" max="2556" width="20.54296875" style="26" customWidth="1"/>
    <col min="2557" max="2557" width="17.54296875" style="26" customWidth="1"/>
    <col min="2558" max="2558" width="18.1796875" style="26" customWidth="1"/>
    <col min="2559" max="2559" width="17.1796875" style="26" customWidth="1"/>
    <col min="2560" max="2560" width="22.453125" style="26" bestFit="1" customWidth="1"/>
    <col min="2561" max="2561" width="22.1796875" style="26" customWidth="1"/>
    <col min="2562" max="2562" width="17.81640625" style="26" customWidth="1"/>
    <col min="2563" max="2563" width="22.453125" style="26" customWidth="1"/>
    <col min="2564" max="2564" width="10.1796875" style="26" bestFit="1" customWidth="1"/>
    <col min="2565" max="2565" width="13.453125" style="26" customWidth="1"/>
    <col min="2566" max="2566" width="7.453125" style="26" bestFit="1" customWidth="1"/>
    <col min="2567" max="2567" width="15.453125" style="26" bestFit="1" customWidth="1"/>
    <col min="2568" max="2568" width="7.453125" style="26" bestFit="1" customWidth="1"/>
    <col min="2569" max="2569" width="19.54296875" style="26" bestFit="1" customWidth="1"/>
    <col min="2570" max="2570" width="7.453125" style="26" bestFit="1" customWidth="1"/>
    <col min="2571" max="2571" width="26.81640625" style="26" bestFit="1" customWidth="1"/>
    <col min="2572" max="2572" width="19.81640625" style="26" bestFit="1" customWidth="1"/>
    <col min="2573" max="2807" width="11.453125" style="26"/>
    <col min="2808" max="2808" width="2.453125" style="26" customWidth="1"/>
    <col min="2809" max="2809" width="49" style="26" customWidth="1"/>
    <col min="2810" max="2810" width="16.81640625" style="26" customWidth="1"/>
    <col min="2811" max="2811" width="1.1796875" style="26" customWidth="1"/>
    <col min="2812" max="2812" width="20.54296875" style="26" customWidth="1"/>
    <col min="2813" max="2813" width="17.54296875" style="26" customWidth="1"/>
    <col min="2814" max="2814" width="18.1796875" style="26" customWidth="1"/>
    <col min="2815" max="2815" width="17.1796875" style="26" customWidth="1"/>
    <col min="2816" max="2816" width="22.453125" style="26" bestFit="1" customWidth="1"/>
    <col min="2817" max="2817" width="22.1796875" style="26" customWidth="1"/>
    <col min="2818" max="2818" width="17.81640625" style="26" customWidth="1"/>
    <col min="2819" max="2819" width="22.453125" style="26" customWidth="1"/>
    <col min="2820" max="2820" width="10.1796875" style="26" bestFit="1" customWidth="1"/>
    <col min="2821" max="2821" width="13.453125" style="26" customWidth="1"/>
    <col min="2822" max="2822" width="7.453125" style="26" bestFit="1" customWidth="1"/>
    <col min="2823" max="2823" width="15.453125" style="26" bestFit="1" customWidth="1"/>
    <col min="2824" max="2824" width="7.453125" style="26" bestFit="1" customWidth="1"/>
    <col min="2825" max="2825" width="19.54296875" style="26" bestFit="1" customWidth="1"/>
    <col min="2826" max="2826" width="7.453125" style="26" bestFit="1" customWidth="1"/>
    <col min="2827" max="2827" width="26.81640625" style="26" bestFit="1" customWidth="1"/>
    <col min="2828" max="2828" width="19.81640625" style="26" bestFit="1" customWidth="1"/>
    <col min="2829" max="3063" width="11.453125" style="26"/>
    <col min="3064" max="3064" width="2.453125" style="26" customWidth="1"/>
    <col min="3065" max="3065" width="49" style="26" customWidth="1"/>
    <col min="3066" max="3066" width="16.81640625" style="26" customWidth="1"/>
    <col min="3067" max="3067" width="1.1796875" style="26" customWidth="1"/>
    <col min="3068" max="3068" width="20.54296875" style="26" customWidth="1"/>
    <col min="3069" max="3069" width="17.54296875" style="26" customWidth="1"/>
    <col min="3070" max="3070" width="18.1796875" style="26" customWidth="1"/>
    <col min="3071" max="3071" width="17.1796875" style="26" customWidth="1"/>
    <col min="3072" max="3072" width="22.453125" style="26" bestFit="1" customWidth="1"/>
    <col min="3073" max="3073" width="22.1796875" style="26" customWidth="1"/>
    <col min="3074" max="3074" width="17.81640625" style="26" customWidth="1"/>
    <col min="3075" max="3075" width="22.453125" style="26" customWidth="1"/>
    <col min="3076" max="3076" width="10.1796875" style="26" bestFit="1" customWidth="1"/>
    <col min="3077" max="3077" width="13.453125" style="26" customWidth="1"/>
    <col min="3078" max="3078" width="7.453125" style="26" bestFit="1" customWidth="1"/>
    <col min="3079" max="3079" width="15.453125" style="26" bestFit="1" customWidth="1"/>
    <col min="3080" max="3080" width="7.453125" style="26" bestFit="1" customWidth="1"/>
    <col min="3081" max="3081" width="19.54296875" style="26" bestFit="1" customWidth="1"/>
    <col min="3082" max="3082" width="7.453125" style="26" bestFit="1" customWidth="1"/>
    <col min="3083" max="3083" width="26.81640625" style="26" bestFit="1" customWidth="1"/>
    <col min="3084" max="3084" width="19.81640625" style="26" bestFit="1" customWidth="1"/>
    <col min="3085" max="3319" width="11.453125" style="26"/>
    <col min="3320" max="3320" width="2.453125" style="26" customWidth="1"/>
    <col min="3321" max="3321" width="49" style="26" customWidth="1"/>
    <col min="3322" max="3322" width="16.81640625" style="26" customWidth="1"/>
    <col min="3323" max="3323" width="1.1796875" style="26" customWidth="1"/>
    <col min="3324" max="3324" width="20.54296875" style="26" customWidth="1"/>
    <col min="3325" max="3325" width="17.54296875" style="26" customWidth="1"/>
    <col min="3326" max="3326" width="18.1796875" style="26" customWidth="1"/>
    <col min="3327" max="3327" width="17.1796875" style="26" customWidth="1"/>
    <col min="3328" max="3328" width="22.453125" style="26" bestFit="1" customWidth="1"/>
    <col min="3329" max="3329" width="22.1796875" style="26" customWidth="1"/>
    <col min="3330" max="3330" width="17.81640625" style="26" customWidth="1"/>
    <col min="3331" max="3331" width="22.453125" style="26" customWidth="1"/>
    <col min="3332" max="3332" width="10.1796875" style="26" bestFit="1" customWidth="1"/>
    <col min="3333" max="3333" width="13.453125" style="26" customWidth="1"/>
    <col min="3334" max="3334" width="7.453125" style="26" bestFit="1" customWidth="1"/>
    <col min="3335" max="3335" width="15.453125" style="26" bestFit="1" customWidth="1"/>
    <col min="3336" max="3336" width="7.453125" style="26" bestFit="1" customWidth="1"/>
    <col min="3337" max="3337" width="19.54296875" style="26" bestFit="1" customWidth="1"/>
    <col min="3338" max="3338" width="7.453125" style="26" bestFit="1" customWidth="1"/>
    <col min="3339" max="3339" width="26.81640625" style="26" bestFit="1" customWidth="1"/>
    <col min="3340" max="3340" width="19.81640625" style="26" bestFit="1" customWidth="1"/>
    <col min="3341" max="3575" width="11.453125" style="26"/>
    <col min="3576" max="3576" width="2.453125" style="26" customWidth="1"/>
    <col min="3577" max="3577" width="49" style="26" customWidth="1"/>
    <col min="3578" max="3578" width="16.81640625" style="26" customWidth="1"/>
    <col min="3579" max="3579" width="1.1796875" style="26" customWidth="1"/>
    <col min="3580" max="3580" width="20.54296875" style="26" customWidth="1"/>
    <col min="3581" max="3581" width="17.54296875" style="26" customWidth="1"/>
    <col min="3582" max="3582" width="18.1796875" style="26" customWidth="1"/>
    <col min="3583" max="3583" width="17.1796875" style="26" customWidth="1"/>
    <col min="3584" max="3584" width="22.453125" style="26" bestFit="1" customWidth="1"/>
    <col min="3585" max="3585" width="22.1796875" style="26" customWidth="1"/>
    <col min="3586" max="3586" width="17.81640625" style="26" customWidth="1"/>
    <col min="3587" max="3587" width="22.453125" style="26" customWidth="1"/>
    <col min="3588" max="3588" width="10.1796875" style="26" bestFit="1" customWidth="1"/>
    <col min="3589" max="3589" width="13.453125" style="26" customWidth="1"/>
    <col min="3590" max="3590" width="7.453125" style="26" bestFit="1" customWidth="1"/>
    <col min="3591" max="3591" width="15.453125" style="26" bestFit="1" customWidth="1"/>
    <col min="3592" max="3592" width="7.453125" style="26" bestFit="1" customWidth="1"/>
    <col min="3593" max="3593" width="19.54296875" style="26" bestFit="1" customWidth="1"/>
    <col min="3594" max="3594" width="7.453125" style="26" bestFit="1" customWidth="1"/>
    <col min="3595" max="3595" width="26.81640625" style="26" bestFit="1" customWidth="1"/>
    <col min="3596" max="3596" width="19.81640625" style="26" bestFit="1" customWidth="1"/>
    <col min="3597" max="3831" width="11.453125" style="26"/>
    <col min="3832" max="3832" width="2.453125" style="26" customWidth="1"/>
    <col min="3833" max="3833" width="49" style="26" customWidth="1"/>
    <col min="3834" max="3834" width="16.81640625" style="26" customWidth="1"/>
    <col min="3835" max="3835" width="1.1796875" style="26" customWidth="1"/>
    <col min="3836" max="3836" width="20.54296875" style="26" customWidth="1"/>
    <col min="3837" max="3837" width="17.54296875" style="26" customWidth="1"/>
    <col min="3838" max="3838" width="18.1796875" style="26" customWidth="1"/>
    <col min="3839" max="3839" width="17.1796875" style="26" customWidth="1"/>
    <col min="3840" max="3840" width="22.453125" style="26" bestFit="1" customWidth="1"/>
    <col min="3841" max="3841" width="22.1796875" style="26" customWidth="1"/>
    <col min="3842" max="3842" width="17.81640625" style="26" customWidth="1"/>
    <col min="3843" max="3843" width="22.453125" style="26" customWidth="1"/>
    <col min="3844" max="3844" width="10.1796875" style="26" bestFit="1" customWidth="1"/>
    <col min="3845" max="3845" width="13.453125" style="26" customWidth="1"/>
    <col min="3846" max="3846" width="7.453125" style="26" bestFit="1" customWidth="1"/>
    <col min="3847" max="3847" width="15.453125" style="26" bestFit="1" customWidth="1"/>
    <col min="3848" max="3848" width="7.453125" style="26" bestFit="1" customWidth="1"/>
    <col min="3849" max="3849" width="19.54296875" style="26" bestFit="1" customWidth="1"/>
    <col min="3850" max="3850" width="7.453125" style="26" bestFit="1" customWidth="1"/>
    <col min="3851" max="3851" width="26.81640625" style="26" bestFit="1" customWidth="1"/>
    <col min="3852" max="3852" width="19.81640625" style="26" bestFit="1" customWidth="1"/>
    <col min="3853" max="4087" width="11.453125" style="26"/>
    <col min="4088" max="4088" width="2.453125" style="26" customWidth="1"/>
    <col min="4089" max="4089" width="49" style="26" customWidth="1"/>
    <col min="4090" max="4090" width="16.81640625" style="26" customWidth="1"/>
    <col min="4091" max="4091" width="1.1796875" style="26" customWidth="1"/>
    <col min="4092" max="4092" width="20.54296875" style="26" customWidth="1"/>
    <col min="4093" max="4093" width="17.54296875" style="26" customWidth="1"/>
    <col min="4094" max="4094" width="18.1796875" style="26" customWidth="1"/>
    <col min="4095" max="4095" width="17.1796875" style="26" customWidth="1"/>
    <col min="4096" max="4096" width="22.453125" style="26" bestFit="1" customWidth="1"/>
    <col min="4097" max="4097" width="22.1796875" style="26" customWidth="1"/>
    <col min="4098" max="4098" width="17.81640625" style="26" customWidth="1"/>
    <col min="4099" max="4099" width="22.453125" style="26" customWidth="1"/>
    <col min="4100" max="4100" width="10.1796875" style="26" bestFit="1" customWidth="1"/>
    <col min="4101" max="4101" width="13.453125" style="26" customWidth="1"/>
    <col min="4102" max="4102" width="7.453125" style="26" bestFit="1" customWidth="1"/>
    <col min="4103" max="4103" width="15.453125" style="26" bestFit="1" customWidth="1"/>
    <col min="4104" max="4104" width="7.453125" style="26" bestFit="1" customWidth="1"/>
    <col min="4105" max="4105" width="19.54296875" style="26" bestFit="1" customWidth="1"/>
    <col min="4106" max="4106" width="7.453125" style="26" bestFit="1" customWidth="1"/>
    <col min="4107" max="4107" width="26.81640625" style="26" bestFit="1" customWidth="1"/>
    <col min="4108" max="4108" width="19.81640625" style="26" bestFit="1" customWidth="1"/>
    <col min="4109" max="4343" width="11.453125" style="26"/>
    <col min="4344" max="4344" width="2.453125" style="26" customWidth="1"/>
    <col min="4345" max="4345" width="49" style="26" customWidth="1"/>
    <col min="4346" max="4346" width="16.81640625" style="26" customWidth="1"/>
    <col min="4347" max="4347" width="1.1796875" style="26" customWidth="1"/>
    <col min="4348" max="4348" width="20.54296875" style="26" customWidth="1"/>
    <col min="4349" max="4349" width="17.54296875" style="26" customWidth="1"/>
    <col min="4350" max="4350" width="18.1796875" style="26" customWidth="1"/>
    <col min="4351" max="4351" width="17.1796875" style="26" customWidth="1"/>
    <col min="4352" max="4352" width="22.453125" style="26" bestFit="1" customWidth="1"/>
    <col min="4353" max="4353" width="22.1796875" style="26" customWidth="1"/>
    <col min="4354" max="4354" width="17.81640625" style="26" customWidth="1"/>
    <col min="4355" max="4355" width="22.453125" style="26" customWidth="1"/>
    <col min="4356" max="4356" width="10.1796875" style="26" bestFit="1" customWidth="1"/>
    <col min="4357" max="4357" width="13.453125" style="26" customWidth="1"/>
    <col min="4358" max="4358" width="7.453125" style="26" bestFit="1" customWidth="1"/>
    <col min="4359" max="4359" width="15.453125" style="26" bestFit="1" customWidth="1"/>
    <col min="4360" max="4360" width="7.453125" style="26" bestFit="1" customWidth="1"/>
    <col min="4361" max="4361" width="19.54296875" style="26" bestFit="1" customWidth="1"/>
    <col min="4362" max="4362" width="7.453125" style="26" bestFit="1" customWidth="1"/>
    <col min="4363" max="4363" width="26.81640625" style="26" bestFit="1" customWidth="1"/>
    <col min="4364" max="4364" width="19.81640625" style="26" bestFit="1" customWidth="1"/>
    <col min="4365" max="4599" width="11.453125" style="26"/>
    <col min="4600" max="4600" width="2.453125" style="26" customWidth="1"/>
    <col min="4601" max="4601" width="49" style="26" customWidth="1"/>
    <col min="4602" max="4602" width="16.81640625" style="26" customWidth="1"/>
    <col min="4603" max="4603" width="1.1796875" style="26" customWidth="1"/>
    <col min="4604" max="4604" width="20.54296875" style="26" customWidth="1"/>
    <col min="4605" max="4605" width="17.54296875" style="26" customWidth="1"/>
    <col min="4606" max="4606" width="18.1796875" style="26" customWidth="1"/>
    <col min="4607" max="4607" width="17.1796875" style="26" customWidth="1"/>
    <col min="4608" max="4608" width="22.453125" style="26" bestFit="1" customWidth="1"/>
    <col min="4609" max="4609" width="22.1796875" style="26" customWidth="1"/>
    <col min="4610" max="4610" width="17.81640625" style="26" customWidth="1"/>
    <col min="4611" max="4611" width="22.453125" style="26" customWidth="1"/>
    <col min="4612" max="4612" width="10.1796875" style="26" bestFit="1" customWidth="1"/>
    <col min="4613" max="4613" width="13.453125" style="26" customWidth="1"/>
    <col min="4614" max="4614" width="7.453125" style="26" bestFit="1" customWidth="1"/>
    <col min="4615" max="4615" width="15.453125" style="26" bestFit="1" customWidth="1"/>
    <col min="4616" max="4616" width="7.453125" style="26" bestFit="1" customWidth="1"/>
    <col min="4617" max="4617" width="19.54296875" style="26" bestFit="1" customWidth="1"/>
    <col min="4618" max="4618" width="7.453125" style="26" bestFit="1" customWidth="1"/>
    <col min="4619" max="4619" width="26.81640625" style="26" bestFit="1" customWidth="1"/>
    <col min="4620" max="4620" width="19.81640625" style="26" bestFit="1" customWidth="1"/>
    <col min="4621" max="4855" width="11.453125" style="26"/>
    <col min="4856" max="4856" width="2.453125" style="26" customWidth="1"/>
    <col min="4857" max="4857" width="49" style="26" customWidth="1"/>
    <col min="4858" max="4858" width="16.81640625" style="26" customWidth="1"/>
    <col min="4859" max="4859" width="1.1796875" style="26" customWidth="1"/>
    <col min="4860" max="4860" width="20.54296875" style="26" customWidth="1"/>
    <col min="4861" max="4861" width="17.54296875" style="26" customWidth="1"/>
    <col min="4862" max="4862" width="18.1796875" style="26" customWidth="1"/>
    <col min="4863" max="4863" width="17.1796875" style="26" customWidth="1"/>
    <col min="4864" max="4864" width="22.453125" style="26" bestFit="1" customWidth="1"/>
    <col min="4865" max="4865" width="22.1796875" style="26" customWidth="1"/>
    <col min="4866" max="4866" width="17.81640625" style="26" customWidth="1"/>
    <col min="4867" max="4867" width="22.453125" style="26" customWidth="1"/>
    <col min="4868" max="4868" width="10.1796875" style="26" bestFit="1" customWidth="1"/>
    <col min="4869" max="4869" width="13.453125" style="26" customWidth="1"/>
    <col min="4870" max="4870" width="7.453125" style="26" bestFit="1" customWidth="1"/>
    <col min="4871" max="4871" width="15.453125" style="26" bestFit="1" customWidth="1"/>
    <col min="4872" max="4872" width="7.453125" style="26" bestFit="1" customWidth="1"/>
    <col min="4873" max="4873" width="19.54296875" style="26" bestFit="1" customWidth="1"/>
    <col min="4874" max="4874" width="7.453125" style="26" bestFit="1" customWidth="1"/>
    <col min="4875" max="4875" width="26.81640625" style="26" bestFit="1" customWidth="1"/>
    <col min="4876" max="4876" width="19.81640625" style="26" bestFit="1" customWidth="1"/>
    <col min="4877" max="5111" width="11.453125" style="26"/>
    <col min="5112" max="5112" width="2.453125" style="26" customWidth="1"/>
    <col min="5113" max="5113" width="49" style="26" customWidth="1"/>
    <col min="5114" max="5114" width="16.81640625" style="26" customWidth="1"/>
    <col min="5115" max="5115" width="1.1796875" style="26" customWidth="1"/>
    <col min="5116" max="5116" width="20.54296875" style="26" customWidth="1"/>
    <col min="5117" max="5117" width="17.54296875" style="26" customWidth="1"/>
    <col min="5118" max="5118" width="18.1796875" style="26" customWidth="1"/>
    <col min="5119" max="5119" width="17.1796875" style="26" customWidth="1"/>
    <col min="5120" max="5120" width="22.453125" style="26" bestFit="1" customWidth="1"/>
    <col min="5121" max="5121" width="22.1796875" style="26" customWidth="1"/>
    <col min="5122" max="5122" width="17.81640625" style="26" customWidth="1"/>
    <col min="5123" max="5123" width="22.453125" style="26" customWidth="1"/>
    <col min="5124" max="5124" width="10.1796875" style="26" bestFit="1" customWidth="1"/>
    <col min="5125" max="5125" width="13.453125" style="26" customWidth="1"/>
    <col min="5126" max="5126" width="7.453125" style="26" bestFit="1" customWidth="1"/>
    <col min="5127" max="5127" width="15.453125" style="26" bestFit="1" customWidth="1"/>
    <col min="5128" max="5128" width="7.453125" style="26" bestFit="1" customWidth="1"/>
    <col min="5129" max="5129" width="19.54296875" style="26" bestFit="1" customWidth="1"/>
    <col min="5130" max="5130" width="7.453125" style="26" bestFit="1" customWidth="1"/>
    <col min="5131" max="5131" width="26.81640625" style="26" bestFit="1" customWidth="1"/>
    <col min="5132" max="5132" width="19.81640625" style="26" bestFit="1" customWidth="1"/>
    <col min="5133" max="5367" width="11.453125" style="26"/>
    <col min="5368" max="5368" width="2.453125" style="26" customWidth="1"/>
    <col min="5369" max="5369" width="49" style="26" customWidth="1"/>
    <col min="5370" max="5370" width="16.81640625" style="26" customWidth="1"/>
    <col min="5371" max="5371" width="1.1796875" style="26" customWidth="1"/>
    <col min="5372" max="5372" width="20.54296875" style="26" customWidth="1"/>
    <col min="5373" max="5373" width="17.54296875" style="26" customWidth="1"/>
    <col min="5374" max="5374" width="18.1796875" style="26" customWidth="1"/>
    <col min="5375" max="5375" width="17.1796875" style="26" customWidth="1"/>
    <col min="5376" max="5376" width="22.453125" style="26" bestFit="1" customWidth="1"/>
    <col min="5377" max="5377" width="22.1796875" style="26" customWidth="1"/>
    <col min="5378" max="5378" width="17.81640625" style="26" customWidth="1"/>
    <col min="5379" max="5379" width="22.453125" style="26" customWidth="1"/>
    <col min="5380" max="5380" width="10.1796875" style="26" bestFit="1" customWidth="1"/>
    <col min="5381" max="5381" width="13.453125" style="26" customWidth="1"/>
    <col min="5382" max="5382" width="7.453125" style="26" bestFit="1" customWidth="1"/>
    <col min="5383" max="5383" width="15.453125" style="26" bestFit="1" customWidth="1"/>
    <col min="5384" max="5384" width="7.453125" style="26" bestFit="1" customWidth="1"/>
    <col min="5385" max="5385" width="19.54296875" style="26" bestFit="1" customWidth="1"/>
    <col min="5386" max="5386" width="7.453125" style="26" bestFit="1" customWidth="1"/>
    <col min="5387" max="5387" width="26.81640625" style="26" bestFit="1" customWidth="1"/>
    <col min="5388" max="5388" width="19.81640625" style="26" bestFit="1" customWidth="1"/>
    <col min="5389" max="5623" width="11.453125" style="26"/>
    <col min="5624" max="5624" width="2.453125" style="26" customWidth="1"/>
    <col min="5625" max="5625" width="49" style="26" customWidth="1"/>
    <col min="5626" max="5626" width="16.81640625" style="26" customWidth="1"/>
    <col min="5627" max="5627" width="1.1796875" style="26" customWidth="1"/>
    <col min="5628" max="5628" width="20.54296875" style="26" customWidth="1"/>
    <col min="5629" max="5629" width="17.54296875" style="26" customWidth="1"/>
    <col min="5630" max="5630" width="18.1796875" style="26" customWidth="1"/>
    <col min="5631" max="5631" width="17.1796875" style="26" customWidth="1"/>
    <col min="5632" max="5632" width="22.453125" style="26" bestFit="1" customWidth="1"/>
    <col min="5633" max="5633" width="22.1796875" style="26" customWidth="1"/>
    <col min="5634" max="5634" width="17.81640625" style="26" customWidth="1"/>
    <col min="5635" max="5635" width="22.453125" style="26" customWidth="1"/>
    <col min="5636" max="5636" width="10.1796875" style="26" bestFit="1" customWidth="1"/>
    <col min="5637" max="5637" width="13.453125" style="26" customWidth="1"/>
    <col min="5638" max="5638" width="7.453125" style="26" bestFit="1" customWidth="1"/>
    <col min="5639" max="5639" width="15.453125" style="26" bestFit="1" customWidth="1"/>
    <col min="5640" max="5640" width="7.453125" style="26" bestFit="1" customWidth="1"/>
    <col min="5641" max="5641" width="19.54296875" style="26" bestFit="1" customWidth="1"/>
    <col min="5642" max="5642" width="7.453125" style="26" bestFit="1" customWidth="1"/>
    <col min="5643" max="5643" width="26.81640625" style="26" bestFit="1" customWidth="1"/>
    <col min="5644" max="5644" width="19.81640625" style="26" bestFit="1" customWidth="1"/>
    <col min="5645" max="5879" width="11.453125" style="26"/>
    <col min="5880" max="5880" width="2.453125" style="26" customWidth="1"/>
    <col min="5881" max="5881" width="49" style="26" customWidth="1"/>
    <col min="5882" max="5882" width="16.81640625" style="26" customWidth="1"/>
    <col min="5883" max="5883" width="1.1796875" style="26" customWidth="1"/>
    <col min="5884" max="5884" width="20.54296875" style="26" customWidth="1"/>
    <col min="5885" max="5885" width="17.54296875" style="26" customWidth="1"/>
    <col min="5886" max="5886" width="18.1796875" style="26" customWidth="1"/>
    <col min="5887" max="5887" width="17.1796875" style="26" customWidth="1"/>
    <col min="5888" max="5888" width="22.453125" style="26" bestFit="1" customWidth="1"/>
    <col min="5889" max="5889" width="22.1796875" style="26" customWidth="1"/>
    <col min="5890" max="5890" width="17.81640625" style="26" customWidth="1"/>
    <col min="5891" max="5891" width="22.453125" style="26" customWidth="1"/>
    <col min="5892" max="5892" width="10.1796875" style="26" bestFit="1" customWidth="1"/>
    <col min="5893" max="5893" width="13.453125" style="26" customWidth="1"/>
    <col min="5894" max="5894" width="7.453125" style="26" bestFit="1" customWidth="1"/>
    <col min="5895" max="5895" width="15.453125" style="26" bestFit="1" customWidth="1"/>
    <col min="5896" max="5896" width="7.453125" style="26" bestFit="1" customWidth="1"/>
    <col min="5897" max="5897" width="19.54296875" style="26" bestFit="1" customWidth="1"/>
    <col min="5898" max="5898" width="7.453125" style="26" bestFit="1" customWidth="1"/>
    <col min="5899" max="5899" width="26.81640625" style="26" bestFit="1" customWidth="1"/>
    <col min="5900" max="5900" width="19.81640625" style="26" bestFit="1" customWidth="1"/>
    <col min="5901" max="6135" width="11.453125" style="26"/>
    <col min="6136" max="6136" width="2.453125" style="26" customWidth="1"/>
    <col min="6137" max="6137" width="49" style="26" customWidth="1"/>
    <col min="6138" max="6138" width="16.81640625" style="26" customWidth="1"/>
    <col min="6139" max="6139" width="1.1796875" style="26" customWidth="1"/>
    <col min="6140" max="6140" width="20.54296875" style="26" customWidth="1"/>
    <col min="6141" max="6141" width="17.54296875" style="26" customWidth="1"/>
    <col min="6142" max="6142" width="18.1796875" style="26" customWidth="1"/>
    <col min="6143" max="6143" width="17.1796875" style="26" customWidth="1"/>
    <col min="6144" max="6144" width="22.453125" style="26" bestFit="1" customWidth="1"/>
    <col min="6145" max="6145" width="22.1796875" style="26" customWidth="1"/>
    <col min="6146" max="6146" width="17.81640625" style="26" customWidth="1"/>
    <col min="6147" max="6147" width="22.453125" style="26" customWidth="1"/>
    <col min="6148" max="6148" width="10.1796875" style="26" bestFit="1" customWidth="1"/>
    <col min="6149" max="6149" width="13.453125" style="26" customWidth="1"/>
    <col min="6150" max="6150" width="7.453125" style="26" bestFit="1" customWidth="1"/>
    <col min="6151" max="6151" width="15.453125" style="26" bestFit="1" customWidth="1"/>
    <col min="6152" max="6152" width="7.453125" style="26" bestFit="1" customWidth="1"/>
    <col min="6153" max="6153" width="19.54296875" style="26" bestFit="1" customWidth="1"/>
    <col min="6154" max="6154" width="7.453125" style="26" bestFit="1" customWidth="1"/>
    <col min="6155" max="6155" width="26.81640625" style="26" bestFit="1" customWidth="1"/>
    <col min="6156" max="6156" width="19.81640625" style="26" bestFit="1" customWidth="1"/>
    <col min="6157" max="6391" width="11.453125" style="26"/>
    <col min="6392" max="6392" width="2.453125" style="26" customWidth="1"/>
    <col min="6393" max="6393" width="49" style="26" customWidth="1"/>
    <col min="6394" max="6394" width="16.81640625" style="26" customWidth="1"/>
    <col min="6395" max="6395" width="1.1796875" style="26" customWidth="1"/>
    <col min="6396" max="6396" width="20.54296875" style="26" customWidth="1"/>
    <col min="6397" max="6397" width="17.54296875" style="26" customWidth="1"/>
    <col min="6398" max="6398" width="18.1796875" style="26" customWidth="1"/>
    <col min="6399" max="6399" width="17.1796875" style="26" customWidth="1"/>
    <col min="6400" max="6400" width="22.453125" style="26" bestFit="1" customWidth="1"/>
    <col min="6401" max="6401" width="22.1796875" style="26" customWidth="1"/>
    <col min="6402" max="6402" width="17.81640625" style="26" customWidth="1"/>
    <col min="6403" max="6403" width="22.453125" style="26" customWidth="1"/>
    <col min="6404" max="6404" width="10.1796875" style="26" bestFit="1" customWidth="1"/>
    <col min="6405" max="6405" width="13.453125" style="26" customWidth="1"/>
    <col min="6406" max="6406" width="7.453125" style="26" bestFit="1" customWidth="1"/>
    <col min="6407" max="6407" width="15.453125" style="26" bestFit="1" customWidth="1"/>
    <col min="6408" max="6408" width="7.453125" style="26" bestFit="1" customWidth="1"/>
    <col min="6409" max="6409" width="19.54296875" style="26" bestFit="1" customWidth="1"/>
    <col min="6410" max="6410" width="7.453125" style="26" bestFit="1" customWidth="1"/>
    <col min="6411" max="6411" width="26.81640625" style="26" bestFit="1" customWidth="1"/>
    <col min="6412" max="6412" width="19.81640625" style="26" bestFit="1" customWidth="1"/>
    <col min="6413" max="6647" width="11.453125" style="26"/>
    <col min="6648" max="6648" width="2.453125" style="26" customWidth="1"/>
    <col min="6649" max="6649" width="49" style="26" customWidth="1"/>
    <col min="6650" max="6650" width="16.81640625" style="26" customWidth="1"/>
    <col min="6651" max="6651" width="1.1796875" style="26" customWidth="1"/>
    <col min="6652" max="6652" width="20.54296875" style="26" customWidth="1"/>
    <col min="6653" max="6653" width="17.54296875" style="26" customWidth="1"/>
    <col min="6654" max="6654" width="18.1796875" style="26" customWidth="1"/>
    <col min="6655" max="6655" width="17.1796875" style="26" customWidth="1"/>
    <col min="6656" max="6656" width="22.453125" style="26" bestFit="1" customWidth="1"/>
    <col min="6657" max="6657" width="22.1796875" style="26" customWidth="1"/>
    <col min="6658" max="6658" width="17.81640625" style="26" customWidth="1"/>
    <col min="6659" max="6659" width="22.453125" style="26" customWidth="1"/>
    <col min="6660" max="6660" width="10.1796875" style="26" bestFit="1" customWidth="1"/>
    <col min="6661" max="6661" width="13.453125" style="26" customWidth="1"/>
    <col min="6662" max="6662" width="7.453125" style="26" bestFit="1" customWidth="1"/>
    <col min="6663" max="6663" width="15.453125" style="26" bestFit="1" customWidth="1"/>
    <col min="6664" max="6664" width="7.453125" style="26" bestFit="1" customWidth="1"/>
    <col min="6665" max="6665" width="19.54296875" style="26" bestFit="1" customWidth="1"/>
    <col min="6666" max="6666" width="7.453125" style="26" bestFit="1" customWidth="1"/>
    <col min="6667" max="6667" width="26.81640625" style="26" bestFit="1" customWidth="1"/>
    <col min="6668" max="6668" width="19.81640625" style="26" bestFit="1" customWidth="1"/>
    <col min="6669" max="6903" width="11.453125" style="26"/>
    <col min="6904" max="6904" width="2.453125" style="26" customWidth="1"/>
    <col min="6905" max="6905" width="49" style="26" customWidth="1"/>
    <col min="6906" max="6906" width="16.81640625" style="26" customWidth="1"/>
    <col min="6907" max="6907" width="1.1796875" style="26" customWidth="1"/>
    <col min="6908" max="6908" width="20.54296875" style="26" customWidth="1"/>
    <col min="6909" max="6909" width="17.54296875" style="26" customWidth="1"/>
    <col min="6910" max="6910" width="18.1796875" style="26" customWidth="1"/>
    <col min="6911" max="6911" width="17.1796875" style="26" customWidth="1"/>
    <col min="6912" max="6912" width="22.453125" style="26" bestFit="1" customWidth="1"/>
    <col min="6913" max="6913" width="22.1796875" style="26" customWidth="1"/>
    <col min="6914" max="6914" width="17.81640625" style="26" customWidth="1"/>
    <col min="6915" max="6915" width="22.453125" style="26" customWidth="1"/>
    <col min="6916" max="6916" width="10.1796875" style="26" bestFit="1" customWidth="1"/>
    <col min="6917" max="6917" width="13.453125" style="26" customWidth="1"/>
    <col min="6918" max="6918" width="7.453125" style="26" bestFit="1" customWidth="1"/>
    <col min="6919" max="6919" width="15.453125" style="26" bestFit="1" customWidth="1"/>
    <col min="6920" max="6920" width="7.453125" style="26" bestFit="1" customWidth="1"/>
    <col min="6921" max="6921" width="19.54296875" style="26" bestFit="1" customWidth="1"/>
    <col min="6922" max="6922" width="7.453125" style="26" bestFit="1" customWidth="1"/>
    <col min="6923" max="6923" width="26.81640625" style="26" bestFit="1" customWidth="1"/>
    <col min="6924" max="6924" width="19.81640625" style="26" bestFit="1" customWidth="1"/>
    <col min="6925" max="7159" width="11.453125" style="26"/>
    <col min="7160" max="7160" width="2.453125" style="26" customWidth="1"/>
    <col min="7161" max="7161" width="49" style="26" customWidth="1"/>
    <col min="7162" max="7162" width="16.81640625" style="26" customWidth="1"/>
    <col min="7163" max="7163" width="1.1796875" style="26" customWidth="1"/>
    <col min="7164" max="7164" width="20.54296875" style="26" customWidth="1"/>
    <col min="7165" max="7165" width="17.54296875" style="26" customWidth="1"/>
    <col min="7166" max="7166" width="18.1796875" style="26" customWidth="1"/>
    <col min="7167" max="7167" width="17.1796875" style="26" customWidth="1"/>
    <col min="7168" max="7168" width="22.453125" style="26" bestFit="1" customWidth="1"/>
    <col min="7169" max="7169" width="22.1796875" style="26" customWidth="1"/>
    <col min="7170" max="7170" width="17.81640625" style="26" customWidth="1"/>
    <col min="7171" max="7171" width="22.453125" style="26" customWidth="1"/>
    <col min="7172" max="7172" width="10.1796875" style="26" bestFit="1" customWidth="1"/>
    <col min="7173" max="7173" width="13.453125" style="26" customWidth="1"/>
    <col min="7174" max="7174" width="7.453125" style="26" bestFit="1" customWidth="1"/>
    <col min="7175" max="7175" width="15.453125" style="26" bestFit="1" customWidth="1"/>
    <col min="7176" max="7176" width="7.453125" style="26" bestFit="1" customWidth="1"/>
    <col min="7177" max="7177" width="19.54296875" style="26" bestFit="1" customWidth="1"/>
    <col min="7178" max="7178" width="7.453125" style="26" bestFit="1" customWidth="1"/>
    <col min="7179" max="7179" width="26.81640625" style="26" bestFit="1" customWidth="1"/>
    <col min="7180" max="7180" width="19.81640625" style="26" bestFit="1" customWidth="1"/>
    <col min="7181" max="7415" width="11.453125" style="26"/>
    <col min="7416" max="7416" width="2.453125" style="26" customWidth="1"/>
    <col min="7417" max="7417" width="49" style="26" customWidth="1"/>
    <col min="7418" max="7418" width="16.81640625" style="26" customWidth="1"/>
    <col min="7419" max="7419" width="1.1796875" style="26" customWidth="1"/>
    <col min="7420" max="7420" width="20.54296875" style="26" customWidth="1"/>
    <col min="7421" max="7421" width="17.54296875" style="26" customWidth="1"/>
    <col min="7422" max="7422" width="18.1796875" style="26" customWidth="1"/>
    <col min="7423" max="7423" width="17.1796875" style="26" customWidth="1"/>
    <col min="7424" max="7424" width="22.453125" style="26" bestFit="1" customWidth="1"/>
    <col min="7425" max="7425" width="22.1796875" style="26" customWidth="1"/>
    <col min="7426" max="7426" width="17.81640625" style="26" customWidth="1"/>
    <col min="7427" max="7427" width="22.453125" style="26" customWidth="1"/>
    <col min="7428" max="7428" width="10.1796875" style="26" bestFit="1" customWidth="1"/>
    <col min="7429" max="7429" width="13.453125" style="26" customWidth="1"/>
    <col min="7430" max="7430" width="7.453125" style="26" bestFit="1" customWidth="1"/>
    <col min="7431" max="7431" width="15.453125" style="26" bestFit="1" customWidth="1"/>
    <col min="7432" max="7432" width="7.453125" style="26" bestFit="1" customWidth="1"/>
    <col min="7433" max="7433" width="19.54296875" style="26" bestFit="1" customWidth="1"/>
    <col min="7434" max="7434" width="7.453125" style="26" bestFit="1" customWidth="1"/>
    <col min="7435" max="7435" width="26.81640625" style="26" bestFit="1" customWidth="1"/>
    <col min="7436" max="7436" width="19.81640625" style="26" bestFit="1" customWidth="1"/>
    <col min="7437" max="7671" width="11.453125" style="26"/>
    <col min="7672" max="7672" width="2.453125" style="26" customWidth="1"/>
    <col min="7673" max="7673" width="49" style="26" customWidth="1"/>
    <col min="7674" max="7674" width="16.81640625" style="26" customWidth="1"/>
    <col min="7675" max="7675" width="1.1796875" style="26" customWidth="1"/>
    <col min="7676" max="7676" width="20.54296875" style="26" customWidth="1"/>
    <col min="7677" max="7677" width="17.54296875" style="26" customWidth="1"/>
    <col min="7678" max="7678" width="18.1796875" style="26" customWidth="1"/>
    <col min="7679" max="7679" width="17.1796875" style="26" customWidth="1"/>
    <col min="7680" max="7680" width="22.453125" style="26" bestFit="1" customWidth="1"/>
    <col min="7681" max="7681" width="22.1796875" style="26" customWidth="1"/>
    <col min="7682" max="7682" width="17.81640625" style="26" customWidth="1"/>
    <col min="7683" max="7683" width="22.453125" style="26" customWidth="1"/>
    <col min="7684" max="7684" width="10.1796875" style="26" bestFit="1" customWidth="1"/>
    <col min="7685" max="7685" width="13.453125" style="26" customWidth="1"/>
    <col min="7686" max="7686" width="7.453125" style="26" bestFit="1" customWidth="1"/>
    <col min="7687" max="7687" width="15.453125" style="26" bestFit="1" customWidth="1"/>
    <col min="7688" max="7688" width="7.453125" style="26" bestFit="1" customWidth="1"/>
    <col min="7689" max="7689" width="19.54296875" style="26" bestFit="1" customWidth="1"/>
    <col min="7690" max="7690" width="7.453125" style="26" bestFit="1" customWidth="1"/>
    <col min="7691" max="7691" width="26.81640625" style="26" bestFit="1" customWidth="1"/>
    <col min="7692" max="7692" width="19.81640625" style="26" bestFit="1" customWidth="1"/>
    <col min="7693" max="7927" width="11.453125" style="26"/>
    <col min="7928" max="7928" width="2.453125" style="26" customWidth="1"/>
    <col min="7929" max="7929" width="49" style="26" customWidth="1"/>
    <col min="7930" max="7930" width="16.81640625" style="26" customWidth="1"/>
    <col min="7931" max="7931" width="1.1796875" style="26" customWidth="1"/>
    <col min="7932" max="7932" width="20.54296875" style="26" customWidth="1"/>
    <col min="7933" max="7933" width="17.54296875" style="26" customWidth="1"/>
    <col min="7934" max="7934" width="18.1796875" style="26" customWidth="1"/>
    <col min="7935" max="7935" width="17.1796875" style="26" customWidth="1"/>
    <col min="7936" max="7936" width="22.453125" style="26" bestFit="1" customWidth="1"/>
    <col min="7937" max="7937" width="22.1796875" style="26" customWidth="1"/>
    <col min="7938" max="7938" width="17.81640625" style="26" customWidth="1"/>
    <col min="7939" max="7939" width="22.453125" style="26" customWidth="1"/>
    <col min="7940" max="7940" width="10.1796875" style="26" bestFit="1" customWidth="1"/>
    <col min="7941" max="7941" width="13.453125" style="26" customWidth="1"/>
    <col min="7942" max="7942" width="7.453125" style="26" bestFit="1" customWidth="1"/>
    <col min="7943" max="7943" width="15.453125" style="26" bestFit="1" customWidth="1"/>
    <col min="7944" max="7944" width="7.453125" style="26" bestFit="1" customWidth="1"/>
    <col min="7945" max="7945" width="19.54296875" style="26" bestFit="1" customWidth="1"/>
    <col min="7946" max="7946" width="7.453125" style="26" bestFit="1" customWidth="1"/>
    <col min="7947" max="7947" width="26.81640625" style="26" bestFit="1" customWidth="1"/>
    <col min="7948" max="7948" width="19.81640625" style="26" bestFit="1" customWidth="1"/>
    <col min="7949" max="8183" width="11.453125" style="26"/>
    <col min="8184" max="8184" width="2.453125" style="26" customWidth="1"/>
    <col min="8185" max="8185" width="49" style="26" customWidth="1"/>
    <col min="8186" max="8186" width="16.81640625" style="26" customWidth="1"/>
    <col min="8187" max="8187" width="1.1796875" style="26" customWidth="1"/>
    <col min="8188" max="8188" width="20.54296875" style="26" customWidth="1"/>
    <col min="8189" max="8189" width="17.54296875" style="26" customWidth="1"/>
    <col min="8190" max="8190" width="18.1796875" style="26" customWidth="1"/>
    <col min="8191" max="8191" width="17.1796875" style="26" customWidth="1"/>
    <col min="8192" max="8192" width="22.453125" style="26" bestFit="1" customWidth="1"/>
    <col min="8193" max="8193" width="22.1796875" style="26" customWidth="1"/>
    <col min="8194" max="8194" width="17.81640625" style="26" customWidth="1"/>
    <col min="8195" max="8195" width="22.453125" style="26" customWidth="1"/>
    <col min="8196" max="8196" width="10.1796875" style="26" bestFit="1" customWidth="1"/>
    <col min="8197" max="8197" width="13.453125" style="26" customWidth="1"/>
    <col min="8198" max="8198" width="7.453125" style="26" bestFit="1" customWidth="1"/>
    <col min="8199" max="8199" width="15.453125" style="26" bestFit="1" customWidth="1"/>
    <col min="8200" max="8200" width="7.453125" style="26" bestFit="1" customWidth="1"/>
    <col min="8201" max="8201" width="19.54296875" style="26" bestFit="1" customWidth="1"/>
    <col min="8202" max="8202" width="7.453125" style="26" bestFit="1" customWidth="1"/>
    <col min="8203" max="8203" width="26.81640625" style="26" bestFit="1" customWidth="1"/>
    <col min="8204" max="8204" width="19.81640625" style="26" bestFit="1" customWidth="1"/>
    <col min="8205" max="8439" width="11.453125" style="26"/>
    <col min="8440" max="8440" width="2.453125" style="26" customWidth="1"/>
    <col min="8441" max="8441" width="49" style="26" customWidth="1"/>
    <col min="8442" max="8442" width="16.81640625" style="26" customWidth="1"/>
    <col min="8443" max="8443" width="1.1796875" style="26" customWidth="1"/>
    <col min="8444" max="8444" width="20.54296875" style="26" customWidth="1"/>
    <col min="8445" max="8445" width="17.54296875" style="26" customWidth="1"/>
    <col min="8446" max="8446" width="18.1796875" style="26" customWidth="1"/>
    <col min="8447" max="8447" width="17.1796875" style="26" customWidth="1"/>
    <col min="8448" max="8448" width="22.453125" style="26" bestFit="1" customWidth="1"/>
    <col min="8449" max="8449" width="22.1796875" style="26" customWidth="1"/>
    <col min="8450" max="8450" width="17.81640625" style="26" customWidth="1"/>
    <col min="8451" max="8451" width="22.453125" style="26" customWidth="1"/>
    <col min="8452" max="8452" width="10.1796875" style="26" bestFit="1" customWidth="1"/>
    <col min="8453" max="8453" width="13.453125" style="26" customWidth="1"/>
    <col min="8454" max="8454" width="7.453125" style="26" bestFit="1" customWidth="1"/>
    <col min="8455" max="8455" width="15.453125" style="26" bestFit="1" customWidth="1"/>
    <col min="8456" max="8456" width="7.453125" style="26" bestFit="1" customWidth="1"/>
    <col min="8457" max="8457" width="19.54296875" style="26" bestFit="1" customWidth="1"/>
    <col min="8458" max="8458" width="7.453125" style="26" bestFit="1" customWidth="1"/>
    <col min="8459" max="8459" width="26.81640625" style="26" bestFit="1" customWidth="1"/>
    <col min="8460" max="8460" width="19.81640625" style="26" bestFit="1" customWidth="1"/>
    <col min="8461" max="8695" width="11.453125" style="26"/>
    <col min="8696" max="8696" width="2.453125" style="26" customWidth="1"/>
    <col min="8697" max="8697" width="49" style="26" customWidth="1"/>
    <col min="8698" max="8698" width="16.81640625" style="26" customWidth="1"/>
    <col min="8699" max="8699" width="1.1796875" style="26" customWidth="1"/>
    <col min="8700" max="8700" width="20.54296875" style="26" customWidth="1"/>
    <col min="8701" max="8701" width="17.54296875" style="26" customWidth="1"/>
    <col min="8702" max="8702" width="18.1796875" style="26" customWidth="1"/>
    <col min="8703" max="8703" width="17.1796875" style="26" customWidth="1"/>
    <col min="8704" max="8704" width="22.453125" style="26" bestFit="1" customWidth="1"/>
    <col min="8705" max="8705" width="22.1796875" style="26" customWidth="1"/>
    <col min="8706" max="8706" width="17.81640625" style="26" customWidth="1"/>
    <col min="8707" max="8707" width="22.453125" style="26" customWidth="1"/>
    <col min="8708" max="8708" width="10.1796875" style="26" bestFit="1" customWidth="1"/>
    <col min="8709" max="8709" width="13.453125" style="26" customWidth="1"/>
    <col min="8710" max="8710" width="7.453125" style="26" bestFit="1" customWidth="1"/>
    <col min="8711" max="8711" width="15.453125" style="26" bestFit="1" customWidth="1"/>
    <col min="8712" max="8712" width="7.453125" style="26" bestFit="1" customWidth="1"/>
    <col min="8713" max="8713" width="19.54296875" style="26" bestFit="1" customWidth="1"/>
    <col min="8714" max="8714" width="7.453125" style="26" bestFit="1" customWidth="1"/>
    <col min="8715" max="8715" width="26.81640625" style="26" bestFit="1" customWidth="1"/>
    <col min="8716" max="8716" width="19.81640625" style="26" bestFit="1" customWidth="1"/>
    <col min="8717" max="8951" width="11.453125" style="26"/>
    <col min="8952" max="8952" width="2.453125" style="26" customWidth="1"/>
    <col min="8953" max="8953" width="49" style="26" customWidth="1"/>
    <col min="8954" max="8954" width="16.81640625" style="26" customWidth="1"/>
    <col min="8955" max="8955" width="1.1796875" style="26" customWidth="1"/>
    <col min="8956" max="8956" width="20.54296875" style="26" customWidth="1"/>
    <col min="8957" max="8957" width="17.54296875" style="26" customWidth="1"/>
    <col min="8958" max="8958" width="18.1796875" style="26" customWidth="1"/>
    <col min="8959" max="8959" width="17.1796875" style="26" customWidth="1"/>
    <col min="8960" max="8960" width="22.453125" style="26" bestFit="1" customWidth="1"/>
    <col min="8961" max="8961" width="22.1796875" style="26" customWidth="1"/>
    <col min="8962" max="8962" width="17.81640625" style="26" customWidth="1"/>
    <col min="8963" max="8963" width="22.453125" style="26" customWidth="1"/>
    <col min="8964" max="8964" width="10.1796875" style="26" bestFit="1" customWidth="1"/>
    <col min="8965" max="8965" width="13.453125" style="26" customWidth="1"/>
    <col min="8966" max="8966" width="7.453125" style="26" bestFit="1" customWidth="1"/>
    <col min="8967" max="8967" width="15.453125" style="26" bestFit="1" customWidth="1"/>
    <col min="8968" max="8968" width="7.453125" style="26" bestFit="1" customWidth="1"/>
    <col min="8969" max="8969" width="19.54296875" style="26" bestFit="1" customWidth="1"/>
    <col min="8970" max="8970" width="7.453125" style="26" bestFit="1" customWidth="1"/>
    <col min="8971" max="8971" width="26.81640625" style="26" bestFit="1" customWidth="1"/>
    <col min="8972" max="8972" width="19.81640625" style="26" bestFit="1" customWidth="1"/>
    <col min="8973" max="9207" width="11.453125" style="26"/>
    <col min="9208" max="9208" width="2.453125" style="26" customWidth="1"/>
    <col min="9209" max="9209" width="49" style="26" customWidth="1"/>
    <col min="9210" max="9210" width="16.81640625" style="26" customWidth="1"/>
    <col min="9211" max="9211" width="1.1796875" style="26" customWidth="1"/>
    <col min="9212" max="9212" width="20.54296875" style="26" customWidth="1"/>
    <col min="9213" max="9213" width="17.54296875" style="26" customWidth="1"/>
    <col min="9214" max="9214" width="18.1796875" style="26" customWidth="1"/>
    <col min="9215" max="9215" width="17.1796875" style="26" customWidth="1"/>
    <col min="9216" max="9216" width="22.453125" style="26" bestFit="1" customWidth="1"/>
    <col min="9217" max="9217" width="22.1796875" style="26" customWidth="1"/>
    <col min="9218" max="9218" width="17.81640625" style="26" customWidth="1"/>
    <col min="9219" max="9219" width="22.453125" style="26" customWidth="1"/>
    <col min="9220" max="9220" width="10.1796875" style="26" bestFit="1" customWidth="1"/>
    <col min="9221" max="9221" width="13.453125" style="26" customWidth="1"/>
    <col min="9222" max="9222" width="7.453125" style="26" bestFit="1" customWidth="1"/>
    <col min="9223" max="9223" width="15.453125" style="26" bestFit="1" customWidth="1"/>
    <col min="9224" max="9224" width="7.453125" style="26" bestFit="1" customWidth="1"/>
    <col min="9225" max="9225" width="19.54296875" style="26" bestFit="1" customWidth="1"/>
    <col min="9226" max="9226" width="7.453125" style="26" bestFit="1" customWidth="1"/>
    <col min="9227" max="9227" width="26.81640625" style="26" bestFit="1" customWidth="1"/>
    <col min="9228" max="9228" width="19.81640625" style="26" bestFit="1" customWidth="1"/>
    <col min="9229" max="9463" width="11.453125" style="26"/>
    <col min="9464" max="9464" width="2.453125" style="26" customWidth="1"/>
    <col min="9465" max="9465" width="49" style="26" customWidth="1"/>
    <col min="9466" max="9466" width="16.81640625" style="26" customWidth="1"/>
    <col min="9467" max="9467" width="1.1796875" style="26" customWidth="1"/>
    <col min="9468" max="9468" width="20.54296875" style="26" customWidth="1"/>
    <col min="9469" max="9469" width="17.54296875" style="26" customWidth="1"/>
    <col min="9470" max="9470" width="18.1796875" style="26" customWidth="1"/>
    <col min="9471" max="9471" width="17.1796875" style="26" customWidth="1"/>
    <col min="9472" max="9472" width="22.453125" style="26" bestFit="1" customWidth="1"/>
    <col min="9473" max="9473" width="22.1796875" style="26" customWidth="1"/>
    <col min="9474" max="9474" width="17.81640625" style="26" customWidth="1"/>
    <col min="9475" max="9475" width="22.453125" style="26" customWidth="1"/>
    <col min="9476" max="9476" width="10.1796875" style="26" bestFit="1" customWidth="1"/>
    <col min="9477" max="9477" width="13.453125" style="26" customWidth="1"/>
    <col min="9478" max="9478" width="7.453125" style="26" bestFit="1" customWidth="1"/>
    <col min="9479" max="9479" width="15.453125" style="26" bestFit="1" customWidth="1"/>
    <col min="9480" max="9480" width="7.453125" style="26" bestFit="1" customWidth="1"/>
    <col min="9481" max="9481" width="19.54296875" style="26" bestFit="1" customWidth="1"/>
    <col min="9482" max="9482" width="7.453125" style="26" bestFit="1" customWidth="1"/>
    <col min="9483" max="9483" width="26.81640625" style="26" bestFit="1" customWidth="1"/>
    <col min="9484" max="9484" width="19.81640625" style="26" bestFit="1" customWidth="1"/>
    <col min="9485" max="9719" width="11.453125" style="26"/>
    <col min="9720" max="9720" width="2.453125" style="26" customWidth="1"/>
    <col min="9721" max="9721" width="49" style="26" customWidth="1"/>
    <col min="9722" max="9722" width="16.81640625" style="26" customWidth="1"/>
    <col min="9723" max="9723" width="1.1796875" style="26" customWidth="1"/>
    <col min="9724" max="9724" width="20.54296875" style="26" customWidth="1"/>
    <col min="9725" max="9725" width="17.54296875" style="26" customWidth="1"/>
    <col min="9726" max="9726" width="18.1796875" style="26" customWidth="1"/>
    <col min="9727" max="9727" width="17.1796875" style="26" customWidth="1"/>
    <col min="9728" max="9728" width="22.453125" style="26" bestFit="1" customWidth="1"/>
    <col min="9729" max="9729" width="22.1796875" style="26" customWidth="1"/>
    <col min="9730" max="9730" width="17.81640625" style="26" customWidth="1"/>
    <col min="9731" max="9731" width="22.453125" style="26" customWidth="1"/>
    <col min="9732" max="9732" width="10.1796875" style="26" bestFit="1" customWidth="1"/>
    <col min="9733" max="9733" width="13.453125" style="26" customWidth="1"/>
    <col min="9734" max="9734" width="7.453125" style="26" bestFit="1" customWidth="1"/>
    <col min="9735" max="9735" width="15.453125" style="26" bestFit="1" customWidth="1"/>
    <col min="9736" max="9736" width="7.453125" style="26" bestFit="1" customWidth="1"/>
    <col min="9737" max="9737" width="19.54296875" style="26" bestFit="1" customWidth="1"/>
    <col min="9738" max="9738" width="7.453125" style="26" bestFit="1" customWidth="1"/>
    <col min="9739" max="9739" width="26.81640625" style="26" bestFit="1" customWidth="1"/>
    <col min="9740" max="9740" width="19.81640625" style="26" bestFit="1" customWidth="1"/>
    <col min="9741" max="9975" width="11.453125" style="26"/>
    <col min="9976" max="9976" width="2.453125" style="26" customWidth="1"/>
    <col min="9977" max="9977" width="49" style="26" customWidth="1"/>
    <col min="9978" max="9978" width="16.81640625" style="26" customWidth="1"/>
    <col min="9979" max="9979" width="1.1796875" style="26" customWidth="1"/>
    <col min="9980" max="9980" width="20.54296875" style="26" customWidth="1"/>
    <col min="9981" max="9981" width="17.54296875" style="26" customWidth="1"/>
    <col min="9982" max="9982" width="18.1796875" style="26" customWidth="1"/>
    <col min="9983" max="9983" width="17.1796875" style="26" customWidth="1"/>
    <col min="9984" max="9984" width="22.453125" style="26" bestFit="1" customWidth="1"/>
    <col min="9985" max="9985" width="22.1796875" style="26" customWidth="1"/>
    <col min="9986" max="9986" width="17.81640625" style="26" customWidth="1"/>
    <col min="9987" max="9987" width="22.453125" style="26" customWidth="1"/>
    <col min="9988" max="9988" width="10.1796875" style="26" bestFit="1" customWidth="1"/>
    <col min="9989" max="9989" width="13.453125" style="26" customWidth="1"/>
    <col min="9990" max="9990" width="7.453125" style="26" bestFit="1" customWidth="1"/>
    <col min="9991" max="9991" width="15.453125" style="26" bestFit="1" customWidth="1"/>
    <col min="9992" max="9992" width="7.453125" style="26" bestFit="1" customWidth="1"/>
    <col min="9993" max="9993" width="19.54296875" style="26" bestFit="1" customWidth="1"/>
    <col min="9994" max="9994" width="7.453125" style="26" bestFit="1" customWidth="1"/>
    <col min="9995" max="9995" width="26.81640625" style="26" bestFit="1" customWidth="1"/>
    <col min="9996" max="9996" width="19.81640625" style="26" bestFit="1" customWidth="1"/>
    <col min="9997" max="10231" width="11.453125" style="26"/>
    <col min="10232" max="10232" width="2.453125" style="26" customWidth="1"/>
    <col min="10233" max="10233" width="49" style="26" customWidth="1"/>
    <col min="10234" max="10234" width="16.81640625" style="26" customWidth="1"/>
    <col min="10235" max="10235" width="1.1796875" style="26" customWidth="1"/>
    <col min="10236" max="10236" width="20.54296875" style="26" customWidth="1"/>
    <col min="10237" max="10237" width="17.54296875" style="26" customWidth="1"/>
    <col min="10238" max="10238" width="18.1796875" style="26" customWidth="1"/>
    <col min="10239" max="10239" width="17.1796875" style="26" customWidth="1"/>
    <col min="10240" max="10240" width="22.453125" style="26" bestFit="1" customWidth="1"/>
    <col min="10241" max="10241" width="22.1796875" style="26" customWidth="1"/>
    <col min="10242" max="10242" width="17.81640625" style="26" customWidth="1"/>
    <col min="10243" max="10243" width="22.453125" style="26" customWidth="1"/>
    <col min="10244" max="10244" width="10.1796875" style="26" bestFit="1" customWidth="1"/>
    <col min="10245" max="10245" width="13.453125" style="26" customWidth="1"/>
    <col min="10246" max="10246" width="7.453125" style="26" bestFit="1" customWidth="1"/>
    <col min="10247" max="10247" width="15.453125" style="26" bestFit="1" customWidth="1"/>
    <col min="10248" max="10248" width="7.453125" style="26" bestFit="1" customWidth="1"/>
    <col min="10249" max="10249" width="19.54296875" style="26" bestFit="1" customWidth="1"/>
    <col min="10250" max="10250" width="7.453125" style="26" bestFit="1" customWidth="1"/>
    <col min="10251" max="10251" width="26.81640625" style="26" bestFit="1" customWidth="1"/>
    <col min="10252" max="10252" width="19.81640625" style="26" bestFit="1" customWidth="1"/>
    <col min="10253" max="10487" width="11.453125" style="26"/>
    <col min="10488" max="10488" width="2.453125" style="26" customWidth="1"/>
    <col min="10489" max="10489" width="49" style="26" customWidth="1"/>
    <col min="10490" max="10490" width="16.81640625" style="26" customWidth="1"/>
    <col min="10491" max="10491" width="1.1796875" style="26" customWidth="1"/>
    <col min="10492" max="10492" width="20.54296875" style="26" customWidth="1"/>
    <col min="10493" max="10493" width="17.54296875" style="26" customWidth="1"/>
    <col min="10494" max="10494" width="18.1796875" style="26" customWidth="1"/>
    <col min="10495" max="10495" width="17.1796875" style="26" customWidth="1"/>
    <col min="10496" max="10496" width="22.453125" style="26" bestFit="1" customWidth="1"/>
    <col min="10497" max="10497" width="22.1796875" style="26" customWidth="1"/>
    <col min="10498" max="10498" width="17.81640625" style="26" customWidth="1"/>
    <col min="10499" max="10499" width="22.453125" style="26" customWidth="1"/>
    <col min="10500" max="10500" width="10.1796875" style="26" bestFit="1" customWidth="1"/>
    <col min="10501" max="10501" width="13.453125" style="26" customWidth="1"/>
    <col min="10502" max="10502" width="7.453125" style="26" bestFit="1" customWidth="1"/>
    <col min="10503" max="10503" width="15.453125" style="26" bestFit="1" customWidth="1"/>
    <col min="10504" max="10504" width="7.453125" style="26" bestFit="1" customWidth="1"/>
    <col min="10505" max="10505" width="19.54296875" style="26" bestFit="1" customWidth="1"/>
    <col min="10506" max="10506" width="7.453125" style="26" bestFit="1" customWidth="1"/>
    <col min="10507" max="10507" width="26.81640625" style="26" bestFit="1" customWidth="1"/>
    <col min="10508" max="10508" width="19.81640625" style="26" bestFit="1" customWidth="1"/>
    <col min="10509" max="10743" width="11.453125" style="26"/>
    <col min="10744" max="10744" width="2.453125" style="26" customWidth="1"/>
    <col min="10745" max="10745" width="49" style="26" customWidth="1"/>
    <col min="10746" max="10746" width="16.81640625" style="26" customWidth="1"/>
    <col min="10747" max="10747" width="1.1796875" style="26" customWidth="1"/>
    <col min="10748" max="10748" width="20.54296875" style="26" customWidth="1"/>
    <col min="10749" max="10749" width="17.54296875" style="26" customWidth="1"/>
    <col min="10750" max="10750" width="18.1796875" style="26" customWidth="1"/>
    <col min="10751" max="10751" width="17.1796875" style="26" customWidth="1"/>
    <col min="10752" max="10752" width="22.453125" style="26" bestFit="1" customWidth="1"/>
    <col min="10753" max="10753" width="22.1796875" style="26" customWidth="1"/>
    <col min="10754" max="10754" width="17.81640625" style="26" customWidth="1"/>
    <col min="10755" max="10755" width="22.453125" style="26" customWidth="1"/>
    <col min="10756" max="10756" width="10.1796875" style="26" bestFit="1" customWidth="1"/>
    <col min="10757" max="10757" width="13.453125" style="26" customWidth="1"/>
    <col min="10758" max="10758" width="7.453125" style="26" bestFit="1" customWidth="1"/>
    <col min="10759" max="10759" width="15.453125" style="26" bestFit="1" customWidth="1"/>
    <col min="10760" max="10760" width="7.453125" style="26" bestFit="1" customWidth="1"/>
    <col min="10761" max="10761" width="19.54296875" style="26" bestFit="1" customWidth="1"/>
    <col min="10762" max="10762" width="7.453125" style="26" bestFit="1" customWidth="1"/>
    <col min="10763" max="10763" width="26.81640625" style="26" bestFit="1" customWidth="1"/>
    <col min="10764" max="10764" width="19.81640625" style="26" bestFit="1" customWidth="1"/>
    <col min="10765" max="10999" width="11.453125" style="26"/>
    <col min="11000" max="11000" width="2.453125" style="26" customWidth="1"/>
    <col min="11001" max="11001" width="49" style="26" customWidth="1"/>
    <col min="11002" max="11002" width="16.81640625" style="26" customWidth="1"/>
    <col min="11003" max="11003" width="1.1796875" style="26" customWidth="1"/>
    <col min="11004" max="11004" width="20.54296875" style="26" customWidth="1"/>
    <col min="11005" max="11005" width="17.54296875" style="26" customWidth="1"/>
    <col min="11006" max="11006" width="18.1796875" style="26" customWidth="1"/>
    <col min="11007" max="11007" width="17.1796875" style="26" customWidth="1"/>
    <col min="11008" max="11008" width="22.453125" style="26" bestFit="1" customWidth="1"/>
    <col min="11009" max="11009" width="22.1796875" style="26" customWidth="1"/>
    <col min="11010" max="11010" width="17.81640625" style="26" customWidth="1"/>
    <col min="11011" max="11011" width="22.453125" style="26" customWidth="1"/>
    <col min="11012" max="11012" width="10.1796875" style="26" bestFit="1" customWidth="1"/>
    <col min="11013" max="11013" width="13.453125" style="26" customWidth="1"/>
    <col min="11014" max="11014" width="7.453125" style="26" bestFit="1" customWidth="1"/>
    <col min="11015" max="11015" width="15.453125" style="26" bestFit="1" customWidth="1"/>
    <col min="11016" max="11016" width="7.453125" style="26" bestFit="1" customWidth="1"/>
    <col min="11017" max="11017" width="19.54296875" style="26" bestFit="1" customWidth="1"/>
    <col min="11018" max="11018" width="7.453125" style="26" bestFit="1" customWidth="1"/>
    <col min="11019" max="11019" width="26.81640625" style="26" bestFit="1" customWidth="1"/>
    <col min="11020" max="11020" width="19.81640625" style="26" bestFit="1" customWidth="1"/>
    <col min="11021" max="11255" width="11.453125" style="26"/>
    <col min="11256" max="11256" width="2.453125" style="26" customWidth="1"/>
    <col min="11257" max="11257" width="49" style="26" customWidth="1"/>
    <col min="11258" max="11258" width="16.81640625" style="26" customWidth="1"/>
    <col min="11259" max="11259" width="1.1796875" style="26" customWidth="1"/>
    <col min="11260" max="11260" width="20.54296875" style="26" customWidth="1"/>
    <col min="11261" max="11261" width="17.54296875" style="26" customWidth="1"/>
    <col min="11262" max="11262" width="18.1796875" style="26" customWidth="1"/>
    <col min="11263" max="11263" width="17.1796875" style="26" customWidth="1"/>
    <col min="11264" max="11264" width="22.453125" style="26" bestFit="1" customWidth="1"/>
    <col min="11265" max="11265" width="22.1796875" style="26" customWidth="1"/>
    <col min="11266" max="11266" width="17.81640625" style="26" customWidth="1"/>
    <col min="11267" max="11267" width="22.453125" style="26" customWidth="1"/>
    <col min="11268" max="11268" width="10.1796875" style="26" bestFit="1" customWidth="1"/>
    <col min="11269" max="11269" width="13.453125" style="26" customWidth="1"/>
    <col min="11270" max="11270" width="7.453125" style="26" bestFit="1" customWidth="1"/>
    <col min="11271" max="11271" width="15.453125" style="26" bestFit="1" customWidth="1"/>
    <col min="11272" max="11272" width="7.453125" style="26" bestFit="1" customWidth="1"/>
    <col min="11273" max="11273" width="19.54296875" style="26" bestFit="1" customWidth="1"/>
    <col min="11274" max="11274" width="7.453125" style="26" bestFit="1" customWidth="1"/>
    <col min="11275" max="11275" width="26.81640625" style="26" bestFit="1" customWidth="1"/>
    <col min="11276" max="11276" width="19.81640625" style="26" bestFit="1" customWidth="1"/>
    <col min="11277" max="11511" width="11.453125" style="26"/>
    <col min="11512" max="11512" width="2.453125" style="26" customWidth="1"/>
    <col min="11513" max="11513" width="49" style="26" customWidth="1"/>
    <col min="11514" max="11514" width="16.81640625" style="26" customWidth="1"/>
    <col min="11515" max="11515" width="1.1796875" style="26" customWidth="1"/>
    <col min="11516" max="11516" width="20.54296875" style="26" customWidth="1"/>
    <col min="11517" max="11517" width="17.54296875" style="26" customWidth="1"/>
    <col min="11518" max="11518" width="18.1796875" style="26" customWidth="1"/>
    <col min="11519" max="11519" width="17.1796875" style="26" customWidth="1"/>
    <col min="11520" max="11520" width="22.453125" style="26" bestFit="1" customWidth="1"/>
    <col min="11521" max="11521" width="22.1796875" style="26" customWidth="1"/>
    <col min="11522" max="11522" width="17.81640625" style="26" customWidth="1"/>
    <col min="11523" max="11523" width="22.453125" style="26" customWidth="1"/>
    <col min="11524" max="11524" width="10.1796875" style="26" bestFit="1" customWidth="1"/>
    <col min="11525" max="11525" width="13.453125" style="26" customWidth="1"/>
    <col min="11526" max="11526" width="7.453125" style="26" bestFit="1" customWidth="1"/>
    <col min="11527" max="11527" width="15.453125" style="26" bestFit="1" customWidth="1"/>
    <col min="11528" max="11528" width="7.453125" style="26" bestFit="1" customWidth="1"/>
    <col min="11529" max="11529" width="19.54296875" style="26" bestFit="1" customWidth="1"/>
    <col min="11530" max="11530" width="7.453125" style="26" bestFit="1" customWidth="1"/>
    <col min="11531" max="11531" width="26.81640625" style="26" bestFit="1" customWidth="1"/>
    <col min="11532" max="11532" width="19.81640625" style="26" bestFit="1" customWidth="1"/>
    <col min="11533" max="11767" width="11.453125" style="26"/>
    <col min="11768" max="11768" width="2.453125" style="26" customWidth="1"/>
    <col min="11769" max="11769" width="49" style="26" customWidth="1"/>
    <col min="11770" max="11770" width="16.81640625" style="26" customWidth="1"/>
    <col min="11771" max="11771" width="1.1796875" style="26" customWidth="1"/>
    <col min="11772" max="11772" width="20.54296875" style="26" customWidth="1"/>
    <col min="11773" max="11773" width="17.54296875" style="26" customWidth="1"/>
    <col min="11774" max="11774" width="18.1796875" style="26" customWidth="1"/>
    <col min="11775" max="11775" width="17.1796875" style="26" customWidth="1"/>
    <col min="11776" max="11776" width="22.453125" style="26" bestFit="1" customWidth="1"/>
    <col min="11777" max="11777" width="22.1796875" style="26" customWidth="1"/>
    <col min="11778" max="11778" width="17.81640625" style="26" customWidth="1"/>
    <col min="11779" max="11779" width="22.453125" style="26" customWidth="1"/>
    <col min="11780" max="11780" width="10.1796875" style="26" bestFit="1" customWidth="1"/>
    <col min="11781" max="11781" width="13.453125" style="26" customWidth="1"/>
    <col min="11782" max="11782" width="7.453125" style="26" bestFit="1" customWidth="1"/>
    <col min="11783" max="11783" width="15.453125" style="26" bestFit="1" customWidth="1"/>
    <col min="11784" max="11784" width="7.453125" style="26" bestFit="1" customWidth="1"/>
    <col min="11785" max="11785" width="19.54296875" style="26" bestFit="1" customWidth="1"/>
    <col min="11786" max="11786" width="7.453125" style="26" bestFit="1" customWidth="1"/>
    <col min="11787" max="11787" width="26.81640625" style="26" bestFit="1" customWidth="1"/>
    <col min="11788" max="11788" width="19.81640625" style="26" bestFit="1" customWidth="1"/>
    <col min="11789" max="12023" width="11.453125" style="26"/>
    <col min="12024" max="12024" width="2.453125" style="26" customWidth="1"/>
    <col min="12025" max="12025" width="49" style="26" customWidth="1"/>
    <col min="12026" max="12026" width="16.81640625" style="26" customWidth="1"/>
    <col min="12027" max="12027" width="1.1796875" style="26" customWidth="1"/>
    <col min="12028" max="12028" width="20.54296875" style="26" customWidth="1"/>
    <col min="12029" max="12029" width="17.54296875" style="26" customWidth="1"/>
    <col min="12030" max="12030" width="18.1796875" style="26" customWidth="1"/>
    <col min="12031" max="12031" width="17.1796875" style="26" customWidth="1"/>
    <col min="12032" max="12032" width="22.453125" style="26" bestFit="1" customWidth="1"/>
    <col min="12033" max="12033" width="22.1796875" style="26" customWidth="1"/>
    <col min="12034" max="12034" width="17.81640625" style="26" customWidth="1"/>
    <col min="12035" max="12035" width="22.453125" style="26" customWidth="1"/>
    <col min="12036" max="12036" width="10.1796875" style="26" bestFit="1" customWidth="1"/>
    <col min="12037" max="12037" width="13.453125" style="26" customWidth="1"/>
    <col min="12038" max="12038" width="7.453125" style="26" bestFit="1" customWidth="1"/>
    <col min="12039" max="12039" width="15.453125" style="26" bestFit="1" customWidth="1"/>
    <col min="12040" max="12040" width="7.453125" style="26" bestFit="1" customWidth="1"/>
    <col min="12041" max="12041" width="19.54296875" style="26" bestFit="1" customWidth="1"/>
    <col min="12042" max="12042" width="7.453125" style="26" bestFit="1" customWidth="1"/>
    <col min="12043" max="12043" width="26.81640625" style="26" bestFit="1" customWidth="1"/>
    <col min="12044" max="12044" width="19.81640625" style="26" bestFit="1" customWidth="1"/>
    <col min="12045" max="12279" width="11.453125" style="26"/>
    <col min="12280" max="12280" width="2.453125" style="26" customWidth="1"/>
    <col min="12281" max="12281" width="49" style="26" customWidth="1"/>
    <col min="12282" max="12282" width="16.81640625" style="26" customWidth="1"/>
    <col min="12283" max="12283" width="1.1796875" style="26" customWidth="1"/>
    <col min="12284" max="12284" width="20.54296875" style="26" customWidth="1"/>
    <col min="12285" max="12285" width="17.54296875" style="26" customWidth="1"/>
    <col min="12286" max="12286" width="18.1796875" style="26" customWidth="1"/>
    <col min="12287" max="12287" width="17.1796875" style="26" customWidth="1"/>
    <col min="12288" max="12288" width="22.453125" style="26" bestFit="1" customWidth="1"/>
    <col min="12289" max="12289" width="22.1796875" style="26" customWidth="1"/>
    <col min="12290" max="12290" width="17.81640625" style="26" customWidth="1"/>
    <col min="12291" max="12291" width="22.453125" style="26" customWidth="1"/>
    <col min="12292" max="12292" width="10.1796875" style="26" bestFit="1" customWidth="1"/>
    <col min="12293" max="12293" width="13.453125" style="26" customWidth="1"/>
    <col min="12294" max="12294" width="7.453125" style="26" bestFit="1" customWidth="1"/>
    <col min="12295" max="12295" width="15.453125" style="26" bestFit="1" customWidth="1"/>
    <col min="12296" max="12296" width="7.453125" style="26" bestFit="1" customWidth="1"/>
    <col min="12297" max="12297" width="19.54296875" style="26" bestFit="1" customWidth="1"/>
    <col min="12298" max="12298" width="7.453125" style="26" bestFit="1" customWidth="1"/>
    <col min="12299" max="12299" width="26.81640625" style="26" bestFit="1" customWidth="1"/>
    <col min="12300" max="12300" width="19.81640625" style="26" bestFit="1" customWidth="1"/>
    <col min="12301" max="12535" width="11.453125" style="26"/>
    <col min="12536" max="12536" width="2.453125" style="26" customWidth="1"/>
    <col min="12537" max="12537" width="49" style="26" customWidth="1"/>
    <col min="12538" max="12538" width="16.81640625" style="26" customWidth="1"/>
    <col min="12539" max="12539" width="1.1796875" style="26" customWidth="1"/>
    <col min="12540" max="12540" width="20.54296875" style="26" customWidth="1"/>
    <col min="12541" max="12541" width="17.54296875" style="26" customWidth="1"/>
    <col min="12542" max="12542" width="18.1796875" style="26" customWidth="1"/>
    <col min="12543" max="12543" width="17.1796875" style="26" customWidth="1"/>
    <col min="12544" max="12544" width="22.453125" style="26" bestFit="1" customWidth="1"/>
    <col min="12545" max="12545" width="22.1796875" style="26" customWidth="1"/>
    <col min="12546" max="12546" width="17.81640625" style="26" customWidth="1"/>
    <col min="12547" max="12547" width="22.453125" style="26" customWidth="1"/>
    <col min="12548" max="12548" width="10.1796875" style="26" bestFit="1" customWidth="1"/>
    <col min="12549" max="12549" width="13.453125" style="26" customWidth="1"/>
    <col min="12550" max="12550" width="7.453125" style="26" bestFit="1" customWidth="1"/>
    <col min="12551" max="12551" width="15.453125" style="26" bestFit="1" customWidth="1"/>
    <col min="12552" max="12552" width="7.453125" style="26" bestFit="1" customWidth="1"/>
    <col min="12553" max="12553" width="19.54296875" style="26" bestFit="1" customWidth="1"/>
    <col min="12554" max="12554" width="7.453125" style="26" bestFit="1" customWidth="1"/>
    <col min="12555" max="12555" width="26.81640625" style="26" bestFit="1" customWidth="1"/>
    <col min="12556" max="12556" width="19.81640625" style="26" bestFit="1" customWidth="1"/>
    <col min="12557" max="12791" width="11.453125" style="26"/>
    <col min="12792" max="12792" width="2.453125" style="26" customWidth="1"/>
    <col min="12793" max="12793" width="49" style="26" customWidth="1"/>
    <col min="12794" max="12794" width="16.81640625" style="26" customWidth="1"/>
    <col min="12795" max="12795" width="1.1796875" style="26" customWidth="1"/>
    <col min="12796" max="12796" width="20.54296875" style="26" customWidth="1"/>
    <col min="12797" max="12797" width="17.54296875" style="26" customWidth="1"/>
    <col min="12798" max="12798" width="18.1796875" style="26" customWidth="1"/>
    <col min="12799" max="12799" width="17.1796875" style="26" customWidth="1"/>
    <col min="12800" max="12800" width="22.453125" style="26" bestFit="1" customWidth="1"/>
    <col min="12801" max="12801" width="22.1796875" style="26" customWidth="1"/>
    <col min="12802" max="12802" width="17.81640625" style="26" customWidth="1"/>
    <col min="12803" max="12803" width="22.453125" style="26" customWidth="1"/>
    <col min="12804" max="12804" width="10.1796875" style="26" bestFit="1" customWidth="1"/>
    <col min="12805" max="12805" width="13.453125" style="26" customWidth="1"/>
    <col min="12806" max="12806" width="7.453125" style="26" bestFit="1" customWidth="1"/>
    <col min="12807" max="12807" width="15.453125" style="26" bestFit="1" customWidth="1"/>
    <col min="12808" max="12808" width="7.453125" style="26" bestFit="1" customWidth="1"/>
    <col min="12809" max="12809" width="19.54296875" style="26" bestFit="1" customWidth="1"/>
    <col min="12810" max="12810" width="7.453125" style="26" bestFit="1" customWidth="1"/>
    <col min="12811" max="12811" width="26.81640625" style="26" bestFit="1" customWidth="1"/>
    <col min="12812" max="12812" width="19.81640625" style="26" bestFit="1" customWidth="1"/>
    <col min="12813" max="13047" width="11.453125" style="26"/>
    <col min="13048" max="13048" width="2.453125" style="26" customWidth="1"/>
    <col min="13049" max="13049" width="49" style="26" customWidth="1"/>
    <col min="13050" max="13050" width="16.81640625" style="26" customWidth="1"/>
    <col min="13051" max="13051" width="1.1796875" style="26" customWidth="1"/>
    <col min="13052" max="13052" width="20.54296875" style="26" customWidth="1"/>
    <col min="13053" max="13053" width="17.54296875" style="26" customWidth="1"/>
    <col min="13054" max="13054" width="18.1796875" style="26" customWidth="1"/>
    <col min="13055" max="13055" width="17.1796875" style="26" customWidth="1"/>
    <col min="13056" max="13056" width="22.453125" style="26" bestFit="1" customWidth="1"/>
    <col min="13057" max="13057" width="22.1796875" style="26" customWidth="1"/>
    <col min="13058" max="13058" width="17.81640625" style="26" customWidth="1"/>
    <col min="13059" max="13059" width="22.453125" style="26" customWidth="1"/>
    <col min="13060" max="13060" width="10.1796875" style="26" bestFit="1" customWidth="1"/>
    <col min="13061" max="13061" width="13.453125" style="26" customWidth="1"/>
    <col min="13062" max="13062" width="7.453125" style="26" bestFit="1" customWidth="1"/>
    <col min="13063" max="13063" width="15.453125" style="26" bestFit="1" customWidth="1"/>
    <col min="13064" max="13064" width="7.453125" style="26" bestFit="1" customWidth="1"/>
    <col min="13065" max="13065" width="19.54296875" style="26" bestFit="1" customWidth="1"/>
    <col min="13066" max="13066" width="7.453125" style="26" bestFit="1" customWidth="1"/>
    <col min="13067" max="13067" width="26.81640625" style="26" bestFit="1" customWidth="1"/>
    <col min="13068" max="13068" width="19.81640625" style="26" bestFit="1" customWidth="1"/>
    <col min="13069" max="13303" width="11.453125" style="26"/>
    <col min="13304" max="13304" width="2.453125" style="26" customWidth="1"/>
    <col min="13305" max="13305" width="49" style="26" customWidth="1"/>
    <col min="13306" max="13306" width="16.81640625" style="26" customWidth="1"/>
    <col min="13307" max="13307" width="1.1796875" style="26" customWidth="1"/>
    <col min="13308" max="13308" width="20.54296875" style="26" customWidth="1"/>
    <col min="13309" max="13309" width="17.54296875" style="26" customWidth="1"/>
    <col min="13310" max="13310" width="18.1796875" style="26" customWidth="1"/>
    <col min="13311" max="13311" width="17.1796875" style="26" customWidth="1"/>
    <col min="13312" max="13312" width="22.453125" style="26" bestFit="1" customWidth="1"/>
    <col min="13313" max="13313" width="22.1796875" style="26" customWidth="1"/>
    <col min="13314" max="13314" width="17.81640625" style="26" customWidth="1"/>
    <col min="13315" max="13315" width="22.453125" style="26" customWidth="1"/>
    <col min="13316" max="13316" width="10.1796875" style="26" bestFit="1" customWidth="1"/>
    <col min="13317" max="13317" width="13.453125" style="26" customWidth="1"/>
    <col min="13318" max="13318" width="7.453125" style="26" bestFit="1" customWidth="1"/>
    <col min="13319" max="13319" width="15.453125" style="26" bestFit="1" customWidth="1"/>
    <col min="13320" max="13320" width="7.453125" style="26" bestFit="1" customWidth="1"/>
    <col min="13321" max="13321" width="19.54296875" style="26" bestFit="1" customWidth="1"/>
    <col min="13322" max="13322" width="7.453125" style="26" bestFit="1" customWidth="1"/>
    <col min="13323" max="13323" width="26.81640625" style="26" bestFit="1" customWidth="1"/>
    <col min="13324" max="13324" width="19.81640625" style="26" bestFit="1" customWidth="1"/>
    <col min="13325" max="13559" width="11.453125" style="26"/>
    <col min="13560" max="13560" width="2.453125" style="26" customWidth="1"/>
    <col min="13561" max="13561" width="49" style="26" customWidth="1"/>
    <col min="13562" max="13562" width="16.81640625" style="26" customWidth="1"/>
    <col min="13563" max="13563" width="1.1796875" style="26" customWidth="1"/>
    <col min="13564" max="13564" width="20.54296875" style="26" customWidth="1"/>
    <col min="13565" max="13565" width="17.54296875" style="26" customWidth="1"/>
    <col min="13566" max="13566" width="18.1796875" style="26" customWidth="1"/>
    <col min="13567" max="13567" width="17.1796875" style="26" customWidth="1"/>
    <col min="13568" max="13568" width="22.453125" style="26" bestFit="1" customWidth="1"/>
    <col min="13569" max="13569" width="22.1796875" style="26" customWidth="1"/>
    <col min="13570" max="13570" width="17.81640625" style="26" customWidth="1"/>
    <col min="13571" max="13571" width="22.453125" style="26" customWidth="1"/>
    <col min="13572" max="13572" width="10.1796875" style="26" bestFit="1" customWidth="1"/>
    <col min="13573" max="13573" width="13.453125" style="26" customWidth="1"/>
    <col min="13574" max="13574" width="7.453125" style="26" bestFit="1" customWidth="1"/>
    <col min="13575" max="13575" width="15.453125" style="26" bestFit="1" customWidth="1"/>
    <col min="13576" max="13576" width="7.453125" style="26" bestFit="1" customWidth="1"/>
    <col min="13577" max="13577" width="19.54296875" style="26" bestFit="1" customWidth="1"/>
    <col min="13578" max="13578" width="7.453125" style="26" bestFit="1" customWidth="1"/>
    <col min="13579" max="13579" width="26.81640625" style="26" bestFit="1" customWidth="1"/>
    <col min="13580" max="13580" width="19.81640625" style="26" bestFit="1" customWidth="1"/>
    <col min="13581" max="13815" width="11.453125" style="26"/>
    <col min="13816" max="13816" width="2.453125" style="26" customWidth="1"/>
    <col min="13817" max="13817" width="49" style="26" customWidth="1"/>
    <col min="13818" max="13818" width="16.81640625" style="26" customWidth="1"/>
    <col min="13819" max="13819" width="1.1796875" style="26" customWidth="1"/>
    <col min="13820" max="13820" width="20.54296875" style="26" customWidth="1"/>
    <col min="13821" max="13821" width="17.54296875" style="26" customWidth="1"/>
    <col min="13822" max="13822" width="18.1796875" style="26" customWidth="1"/>
    <col min="13823" max="13823" width="17.1796875" style="26" customWidth="1"/>
    <col min="13824" max="13824" width="22.453125" style="26" bestFit="1" customWidth="1"/>
    <col min="13825" max="13825" width="22.1796875" style="26" customWidth="1"/>
    <col min="13826" max="13826" width="17.81640625" style="26" customWidth="1"/>
    <col min="13827" max="13827" width="22.453125" style="26" customWidth="1"/>
    <col min="13828" max="13828" width="10.1796875" style="26" bestFit="1" customWidth="1"/>
    <col min="13829" max="13829" width="13.453125" style="26" customWidth="1"/>
    <col min="13830" max="13830" width="7.453125" style="26" bestFit="1" customWidth="1"/>
    <col min="13831" max="13831" width="15.453125" style="26" bestFit="1" customWidth="1"/>
    <col min="13832" max="13832" width="7.453125" style="26" bestFit="1" customWidth="1"/>
    <col min="13833" max="13833" width="19.54296875" style="26" bestFit="1" customWidth="1"/>
    <col min="13834" max="13834" width="7.453125" style="26" bestFit="1" customWidth="1"/>
    <col min="13835" max="13835" width="26.81640625" style="26" bestFit="1" customWidth="1"/>
    <col min="13836" max="13836" width="19.81640625" style="26" bestFit="1" customWidth="1"/>
    <col min="13837" max="14071" width="11.453125" style="26"/>
    <col min="14072" max="14072" width="2.453125" style="26" customWidth="1"/>
    <col min="14073" max="14073" width="49" style="26" customWidth="1"/>
    <col min="14074" max="14074" width="16.81640625" style="26" customWidth="1"/>
    <col min="14075" max="14075" width="1.1796875" style="26" customWidth="1"/>
    <col min="14076" max="14076" width="20.54296875" style="26" customWidth="1"/>
    <col min="14077" max="14077" width="17.54296875" style="26" customWidth="1"/>
    <col min="14078" max="14078" width="18.1796875" style="26" customWidth="1"/>
    <col min="14079" max="14079" width="17.1796875" style="26" customWidth="1"/>
    <col min="14080" max="14080" width="22.453125" style="26" bestFit="1" customWidth="1"/>
    <col min="14081" max="14081" width="22.1796875" style="26" customWidth="1"/>
    <col min="14082" max="14082" width="17.81640625" style="26" customWidth="1"/>
    <col min="14083" max="14083" width="22.453125" style="26" customWidth="1"/>
    <col min="14084" max="14084" width="10.1796875" style="26" bestFit="1" customWidth="1"/>
    <col min="14085" max="14085" width="13.453125" style="26" customWidth="1"/>
    <col min="14086" max="14086" width="7.453125" style="26" bestFit="1" customWidth="1"/>
    <col min="14087" max="14087" width="15.453125" style="26" bestFit="1" customWidth="1"/>
    <col min="14088" max="14088" width="7.453125" style="26" bestFit="1" customWidth="1"/>
    <col min="14089" max="14089" width="19.54296875" style="26" bestFit="1" customWidth="1"/>
    <col min="14090" max="14090" width="7.453125" style="26" bestFit="1" customWidth="1"/>
    <col min="14091" max="14091" width="26.81640625" style="26" bestFit="1" customWidth="1"/>
    <col min="14092" max="14092" width="19.81640625" style="26" bestFit="1" customWidth="1"/>
    <col min="14093" max="14327" width="11.453125" style="26"/>
    <col min="14328" max="14328" width="2.453125" style="26" customWidth="1"/>
    <col min="14329" max="14329" width="49" style="26" customWidth="1"/>
    <col min="14330" max="14330" width="16.81640625" style="26" customWidth="1"/>
    <col min="14331" max="14331" width="1.1796875" style="26" customWidth="1"/>
    <col min="14332" max="14332" width="20.54296875" style="26" customWidth="1"/>
    <col min="14333" max="14333" width="17.54296875" style="26" customWidth="1"/>
    <col min="14334" max="14334" width="18.1796875" style="26" customWidth="1"/>
    <col min="14335" max="14335" width="17.1796875" style="26" customWidth="1"/>
    <col min="14336" max="14336" width="22.453125" style="26" bestFit="1" customWidth="1"/>
    <col min="14337" max="14337" width="22.1796875" style="26" customWidth="1"/>
    <col min="14338" max="14338" width="17.81640625" style="26" customWidth="1"/>
    <col min="14339" max="14339" width="22.453125" style="26" customWidth="1"/>
    <col min="14340" max="14340" width="10.1796875" style="26" bestFit="1" customWidth="1"/>
    <col min="14341" max="14341" width="13.453125" style="26" customWidth="1"/>
    <col min="14342" max="14342" width="7.453125" style="26" bestFit="1" customWidth="1"/>
    <col min="14343" max="14343" width="15.453125" style="26" bestFit="1" customWidth="1"/>
    <col min="14344" max="14344" width="7.453125" style="26" bestFit="1" customWidth="1"/>
    <col min="14345" max="14345" width="19.54296875" style="26" bestFit="1" customWidth="1"/>
    <col min="14346" max="14346" width="7.453125" style="26" bestFit="1" customWidth="1"/>
    <col min="14347" max="14347" width="26.81640625" style="26" bestFit="1" customWidth="1"/>
    <col min="14348" max="14348" width="19.81640625" style="26" bestFit="1" customWidth="1"/>
    <col min="14349" max="14583" width="11.453125" style="26"/>
    <col min="14584" max="14584" width="2.453125" style="26" customWidth="1"/>
    <col min="14585" max="14585" width="49" style="26" customWidth="1"/>
    <col min="14586" max="14586" width="16.81640625" style="26" customWidth="1"/>
    <col min="14587" max="14587" width="1.1796875" style="26" customWidth="1"/>
    <col min="14588" max="14588" width="20.54296875" style="26" customWidth="1"/>
    <col min="14589" max="14589" width="17.54296875" style="26" customWidth="1"/>
    <col min="14590" max="14590" width="18.1796875" style="26" customWidth="1"/>
    <col min="14591" max="14591" width="17.1796875" style="26" customWidth="1"/>
    <col min="14592" max="14592" width="22.453125" style="26" bestFit="1" customWidth="1"/>
    <col min="14593" max="14593" width="22.1796875" style="26" customWidth="1"/>
    <col min="14594" max="14594" width="17.81640625" style="26" customWidth="1"/>
    <col min="14595" max="14595" width="22.453125" style="26" customWidth="1"/>
    <col min="14596" max="14596" width="10.1796875" style="26" bestFit="1" customWidth="1"/>
    <col min="14597" max="14597" width="13.453125" style="26" customWidth="1"/>
    <col min="14598" max="14598" width="7.453125" style="26" bestFit="1" customWidth="1"/>
    <col min="14599" max="14599" width="15.453125" style="26" bestFit="1" customWidth="1"/>
    <col min="14600" max="14600" width="7.453125" style="26" bestFit="1" customWidth="1"/>
    <col min="14601" max="14601" width="19.54296875" style="26" bestFit="1" customWidth="1"/>
    <col min="14602" max="14602" width="7.453125" style="26" bestFit="1" customWidth="1"/>
    <col min="14603" max="14603" width="26.81640625" style="26" bestFit="1" customWidth="1"/>
    <col min="14604" max="14604" width="19.81640625" style="26" bestFit="1" customWidth="1"/>
    <col min="14605" max="14839" width="11.453125" style="26"/>
    <col min="14840" max="14840" width="2.453125" style="26" customWidth="1"/>
    <col min="14841" max="14841" width="49" style="26" customWidth="1"/>
    <col min="14842" max="14842" width="16.81640625" style="26" customWidth="1"/>
    <col min="14843" max="14843" width="1.1796875" style="26" customWidth="1"/>
    <col min="14844" max="14844" width="20.54296875" style="26" customWidth="1"/>
    <col min="14845" max="14845" width="17.54296875" style="26" customWidth="1"/>
    <col min="14846" max="14846" width="18.1796875" style="26" customWidth="1"/>
    <col min="14847" max="14847" width="17.1796875" style="26" customWidth="1"/>
    <col min="14848" max="14848" width="22.453125" style="26" bestFit="1" customWidth="1"/>
    <col min="14849" max="14849" width="22.1796875" style="26" customWidth="1"/>
    <col min="14850" max="14850" width="17.81640625" style="26" customWidth="1"/>
    <col min="14851" max="14851" width="22.453125" style="26" customWidth="1"/>
    <col min="14852" max="14852" width="10.1796875" style="26" bestFit="1" customWidth="1"/>
    <col min="14853" max="14853" width="13.453125" style="26" customWidth="1"/>
    <col min="14854" max="14854" width="7.453125" style="26" bestFit="1" customWidth="1"/>
    <col min="14855" max="14855" width="15.453125" style="26" bestFit="1" customWidth="1"/>
    <col min="14856" max="14856" width="7.453125" style="26" bestFit="1" customWidth="1"/>
    <col min="14857" max="14857" width="19.54296875" style="26" bestFit="1" customWidth="1"/>
    <col min="14858" max="14858" width="7.453125" style="26" bestFit="1" customWidth="1"/>
    <col min="14859" max="14859" width="26.81640625" style="26" bestFit="1" customWidth="1"/>
    <col min="14860" max="14860" width="19.81640625" style="26" bestFit="1" customWidth="1"/>
    <col min="14861" max="15095" width="11.453125" style="26"/>
    <col min="15096" max="15096" width="2.453125" style="26" customWidth="1"/>
    <col min="15097" max="15097" width="49" style="26" customWidth="1"/>
    <col min="15098" max="15098" width="16.81640625" style="26" customWidth="1"/>
    <col min="15099" max="15099" width="1.1796875" style="26" customWidth="1"/>
    <col min="15100" max="15100" width="20.54296875" style="26" customWidth="1"/>
    <col min="15101" max="15101" width="17.54296875" style="26" customWidth="1"/>
    <col min="15102" max="15102" width="18.1796875" style="26" customWidth="1"/>
    <col min="15103" max="15103" width="17.1796875" style="26" customWidth="1"/>
    <col min="15104" max="15104" width="22.453125" style="26" bestFit="1" customWidth="1"/>
    <col min="15105" max="15105" width="22.1796875" style="26" customWidth="1"/>
    <col min="15106" max="15106" width="17.81640625" style="26" customWidth="1"/>
    <col min="15107" max="15107" width="22.453125" style="26" customWidth="1"/>
    <col min="15108" max="15108" width="10.1796875" style="26" bestFit="1" customWidth="1"/>
    <col min="15109" max="15109" width="13.453125" style="26" customWidth="1"/>
    <col min="15110" max="15110" width="7.453125" style="26" bestFit="1" customWidth="1"/>
    <col min="15111" max="15111" width="15.453125" style="26" bestFit="1" customWidth="1"/>
    <col min="15112" max="15112" width="7.453125" style="26" bestFit="1" customWidth="1"/>
    <col min="15113" max="15113" width="19.54296875" style="26" bestFit="1" customWidth="1"/>
    <col min="15114" max="15114" width="7.453125" style="26" bestFit="1" customWidth="1"/>
    <col min="15115" max="15115" width="26.81640625" style="26" bestFit="1" customWidth="1"/>
    <col min="15116" max="15116" width="19.81640625" style="26" bestFit="1" customWidth="1"/>
    <col min="15117" max="15351" width="11.453125" style="26"/>
    <col min="15352" max="15352" width="2.453125" style="26" customWidth="1"/>
    <col min="15353" max="15353" width="49" style="26" customWidth="1"/>
    <col min="15354" max="15354" width="16.81640625" style="26" customWidth="1"/>
    <col min="15355" max="15355" width="1.1796875" style="26" customWidth="1"/>
    <col min="15356" max="15356" width="20.54296875" style="26" customWidth="1"/>
    <col min="15357" max="15357" width="17.54296875" style="26" customWidth="1"/>
    <col min="15358" max="15358" width="18.1796875" style="26" customWidth="1"/>
    <col min="15359" max="15359" width="17.1796875" style="26" customWidth="1"/>
    <col min="15360" max="15360" width="22.453125" style="26" bestFit="1" customWidth="1"/>
    <col min="15361" max="15361" width="22.1796875" style="26" customWidth="1"/>
    <col min="15362" max="15362" width="17.81640625" style="26" customWidth="1"/>
    <col min="15363" max="15363" width="22.453125" style="26" customWidth="1"/>
    <col min="15364" max="15364" width="10.1796875" style="26" bestFit="1" customWidth="1"/>
    <col min="15365" max="15365" width="13.453125" style="26" customWidth="1"/>
    <col min="15366" max="15366" width="7.453125" style="26" bestFit="1" customWidth="1"/>
    <col min="15367" max="15367" width="15.453125" style="26" bestFit="1" customWidth="1"/>
    <col min="15368" max="15368" width="7.453125" style="26" bestFit="1" customWidth="1"/>
    <col min="15369" max="15369" width="19.54296875" style="26" bestFit="1" customWidth="1"/>
    <col min="15370" max="15370" width="7.453125" style="26" bestFit="1" customWidth="1"/>
    <col min="15371" max="15371" width="26.81640625" style="26" bestFit="1" customWidth="1"/>
    <col min="15372" max="15372" width="19.81640625" style="26" bestFit="1" customWidth="1"/>
    <col min="15373" max="15607" width="11.453125" style="26"/>
    <col min="15608" max="15608" width="2.453125" style="26" customWidth="1"/>
    <col min="15609" max="15609" width="49" style="26" customWidth="1"/>
    <col min="15610" max="15610" width="16.81640625" style="26" customWidth="1"/>
    <col min="15611" max="15611" width="1.1796875" style="26" customWidth="1"/>
    <col min="15612" max="15612" width="20.54296875" style="26" customWidth="1"/>
    <col min="15613" max="15613" width="17.54296875" style="26" customWidth="1"/>
    <col min="15614" max="15614" width="18.1796875" style="26" customWidth="1"/>
    <col min="15615" max="15615" width="17.1796875" style="26" customWidth="1"/>
    <col min="15616" max="15616" width="22.453125" style="26" bestFit="1" customWidth="1"/>
    <col min="15617" max="15617" width="22.1796875" style="26" customWidth="1"/>
    <col min="15618" max="15618" width="17.81640625" style="26" customWidth="1"/>
    <col min="15619" max="15619" width="22.453125" style="26" customWidth="1"/>
    <col min="15620" max="15620" width="10.1796875" style="26" bestFit="1" customWidth="1"/>
    <col min="15621" max="15621" width="13.453125" style="26" customWidth="1"/>
    <col min="15622" max="15622" width="7.453125" style="26" bestFit="1" customWidth="1"/>
    <col min="15623" max="15623" width="15.453125" style="26" bestFit="1" customWidth="1"/>
    <col min="15624" max="15624" width="7.453125" style="26" bestFit="1" customWidth="1"/>
    <col min="15625" max="15625" width="19.54296875" style="26" bestFit="1" customWidth="1"/>
    <col min="15626" max="15626" width="7.453125" style="26" bestFit="1" customWidth="1"/>
    <col min="15627" max="15627" width="26.81640625" style="26" bestFit="1" customWidth="1"/>
    <col min="15628" max="15628" width="19.81640625" style="26" bestFit="1" customWidth="1"/>
    <col min="15629" max="15863" width="11.453125" style="26"/>
    <col min="15864" max="15864" width="2.453125" style="26" customWidth="1"/>
    <col min="15865" max="15865" width="49" style="26" customWidth="1"/>
    <col min="15866" max="15866" width="16.81640625" style="26" customWidth="1"/>
    <col min="15867" max="15867" width="1.1796875" style="26" customWidth="1"/>
    <col min="15868" max="15868" width="20.54296875" style="26" customWidth="1"/>
    <col min="15869" max="15869" width="17.54296875" style="26" customWidth="1"/>
    <col min="15870" max="15870" width="18.1796875" style="26" customWidth="1"/>
    <col min="15871" max="15871" width="17.1796875" style="26" customWidth="1"/>
    <col min="15872" max="15872" width="22.453125" style="26" bestFit="1" customWidth="1"/>
    <col min="15873" max="15873" width="22.1796875" style="26" customWidth="1"/>
    <col min="15874" max="15874" width="17.81640625" style="26" customWidth="1"/>
    <col min="15875" max="15875" width="22.453125" style="26" customWidth="1"/>
    <col min="15876" max="15876" width="10.1796875" style="26" bestFit="1" customWidth="1"/>
    <col min="15877" max="15877" width="13.453125" style="26" customWidth="1"/>
    <col min="15878" max="15878" width="7.453125" style="26" bestFit="1" customWidth="1"/>
    <col min="15879" max="15879" width="15.453125" style="26" bestFit="1" customWidth="1"/>
    <col min="15880" max="15880" width="7.453125" style="26" bestFit="1" customWidth="1"/>
    <col min="15881" max="15881" width="19.54296875" style="26" bestFit="1" customWidth="1"/>
    <col min="15882" max="15882" width="7.453125" style="26" bestFit="1" customWidth="1"/>
    <col min="15883" max="15883" width="26.81640625" style="26" bestFit="1" customWidth="1"/>
    <col min="15884" max="15884" width="19.81640625" style="26" bestFit="1" customWidth="1"/>
    <col min="15885" max="16119" width="11.453125" style="26"/>
    <col min="16120" max="16120" width="2.453125" style="26" customWidth="1"/>
    <col min="16121" max="16121" width="49" style="26" customWidth="1"/>
    <col min="16122" max="16122" width="16.81640625" style="26" customWidth="1"/>
    <col min="16123" max="16123" width="1.1796875" style="26" customWidth="1"/>
    <col min="16124" max="16124" width="20.54296875" style="26" customWidth="1"/>
    <col min="16125" max="16125" width="17.54296875" style="26" customWidth="1"/>
    <col min="16126" max="16126" width="18.1796875" style="26" customWidth="1"/>
    <col min="16127" max="16127" width="17.1796875" style="26" customWidth="1"/>
    <col min="16128" max="16128" width="22.453125" style="26" bestFit="1" customWidth="1"/>
    <col min="16129" max="16129" width="22.1796875" style="26" customWidth="1"/>
    <col min="16130" max="16130" width="17.81640625" style="26" customWidth="1"/>
    <col min="16131" max="16131" width="22.453125" style="26" customWidth="1"/>
    <col min="16132" max="16132" width="10.1796875" style="26" bestFit="1" customWidth="1"/>
    <col min="16133" max="16133" width="13.453125" style="26" customWidth="1"/>
    <col min="16134" max="16134" width="7.453125" style="26" bestFit="1" customWidth="1"/>
    <col min="16135" max="16135" width="15.453125" style="26" bestFit="1" customWidth="1"/>
    <col min="16136" max="16136" width="7.453125" style="26" bestFit="1" customWidth="1"/>
    <col min="16137" max="16137" width="19.54296875" style="26" bestFit="1" customWidth="1"/>
    <col min="16138" max="16138" width="7.453125" style="26" bestFit="1" customWidth="1"/>
    <col min="16139" max="16139" width="26.81640625" style="26" bestFit="1" customWidth="1"/>
    <col min="16140" max="16140" width="19.81640625" style="26" bestFit="1" customWidth="1"/>
    <col min="16141" max="16384" width="11.453125" style="26"/>
  </cols>
  <sheetData>
    <row r="3" spans="3:14" s="27" customFormat="1" ht="13.5" customHeight="1" x14ac:dyDescent="0.25">
      <c r="C3" s="148"/>
      <c r="D3" s="148"/>
      <c r="E3" s="148"/>
      <c r="F3" s="148"/>
      <c r="N3" s="180" t="s">
        <v>22</v>
      </c>
    </row>
    <row r="4" spans="3:14" s="27" customFormat="1" ht="14.5" x14ac:dyDescent="0.25">
      <c r="D4" s="350"/>
      <c r="F4" s="144"/>
      <c r="N4" s="180" t="s">
        <v>20</v>
      </c>
    </row>
    <row r="5" spans="3:14" s="27" customFormat="1" ht="14.5" x14ac:dyDescent="0.25">
      <c r="D5" s="350"/>
      <c r="F5" s="144"/>
    </row>
    <row r="6" spans="3:14" s="27" customFormat="1" ht="14.5" x14ac:dyDescent="0.25">
      <c r="D6" s="350"/>
      <c r="F6" s="144"/>
    </row>
    <row r="7" spans="3:14" s="27" customFormat="1" ht="13.5" customHeight="1" x14ac:dyDescent="0.25">
      <c r="F7" s="148"/>
    </row>
    <row r="8" spans="3:14" ht="15.5" x14ac:dyDescent="0.25">
      <c r="C8" s="1103" t="s">
        <v>750</v>
      </c>
      <c r="D8" s="1104"/>
      <c r="E8" s="1104"/>
      <c r="F8" s="1104"/>
      <c r="G8" s="352"/>
      <c r="H8" s="31"/>
    </row>
    <row r="9" spans="3:14" ht="9.75" customHeight="1" x14ac:dyDescent="0.25">
      <c r="E9" s="27"/>
      <c r="G9" s="31"/>
      <c r="L9" s="35"/>
    </row>
    <row r="10" spans="3:14" s="38" customFormat="1" ht="13" x14ac:dyDescent="0.3">
      <c r="C10" s="1199" t="s">
        <v>751</v>
      </c>
      <c r="D10" s="1200"/>
      <c r="E10" s="27"/>
      <c r="F10" s="658"/>
    </row>
    <row r="11" spans="3:14" s="38" customFormat="1" ht="13" x14ac:dyDescent="0.25">
      <c r="E11" s="27"/>
      <c r="F11" s="39"/>
    </row>
    <row r="12" spans="3:14" ht="31.5" customHeight="1" x14ac:dyDescent="0.25">
      <c r="C12" s="1201" t="s">
        <v>752</v>
      </c>
      <c r="D12" s="1202"/>
      <c r="E12" s="27"/>
      <c r="F12" s="178" t="s">
        <v>20</v>
      </c>
      <c r="G12" s="43"/>
      <c r="H12" s="41"/>
    </row>
    <row r="13" spans="3:14" ht="7.5" customHeight="1" x14ac:dyDescent="0.25"/>
    <row r="14" spans="3:14" ht="31.5" customHeight="1" x14ac:dyDescent="0.25">
      <c r="C14" s="1201" t="s">
        <v>753</v>
      </c>
      <c r="D14" s="1202"/>
      <c r="E14" s="27"/>
      <c r="F14" s="178" t="s">
        <v>20</v>
      </c>
      <c r="G14" s="43"/>
      <c r="H14" s="41"/>
    </row>
    <row r="15" spans="3:14" ht="7.5" customHeight="1" x14ac:dyDescent="0.25"/>
    <row r="16" spans="3:14" ht="25.5" customHeight="1" x14ac:dyDescent="0.25">
      <c r="C16" s="1201" t="s">
        <v>754</v>
      </c>
      <c r="D16" s="1202"/>
      <c r="E16" s="27"/>
      <c r="F16" s="178" t="s">
        <v>20</v>
      </c>
      <c r="G16" s="43"/>
      <c r="H16" s="41"/>
    </row>
    <row r="17" spans="3:13" ht="7.5" customHeight="1" x14ac:dyDescent="0.25"/>
    <row r="18" spans="3:13" ht="25.5" customHeight="1" x14ac:dyDescent="0.25">
      <c r="C18" s="1201" t="s">
        <v>755</v>
      </c>
      <c r="D18" s="1202"/>
      <c r="E18" s="27"/>
      <c r="F18" s="178" t="s">
        <v>20</v>
      </c>
      <c r="G18" s="43"/>
      <c r="H18" s="41"/>
    </row>
    <row r="19" spans="3:13" ht="7.5" customHeight="1" x14ac:dyDescent="0.25"/>
    <row r="20" spans="3:13" ht="25.5" customHeight="1" x14ac:dyDescent="0.25">
      <c r="C20" s="1201" t="s">
        <v>756</v>
      </c>
      <c r="D20" s="1202"/>
      <c r="E20" s="27"/>
      <c r="F20" s="178" t="s">
        <v>20</v>
      </c>
      <c r="G20" s="43"/>
      <c r="H20" s="41"/>
    </row>
    <row r="21" spans="3:13" ht="7.5" customHeight="1" x14ac:dyDescent="0.25"/>
    <row r="22" spans="3:13" s="38" customFormat="1" ht="13" x14ac:dyDescent="0.3">
      <c r="C22" s="1199" t="s">
        <v>757</v>
      </c>
      <c r="D22" s="1200"/>
      <c r="E22" s="27"/>
      <c r="F22" s="658"/>
    </row>
    <row r="23" spans="3:13" ht="7.5" customHeight="1" x14ac:dyDescent="0.25"/>
    <row r="24" spans="3:13" ht="27.75" customHeight="1" x14ac:dyDescent="0.25">
      <c r="C24" s="1201" t="s">
        <v>758</v>
      </c>
      <c r="D24" s="1202"/>
      <c r="E24" s="27"/>
      <c r="F24" s="178" t="s">
        <v>20</v>
      </c>
      <c r="G24" s="43"/>
      <c r="H24" s="41"/>
    </row>
    <row r="25" spans="3:13" ht="7.5" customHeight="1" x14ac:dyDescent="0.25"/>
    <row r="26" spans="3:13" ht="27.75" customHeight="1" x14ac:dyDescent="0.25">
      <c r="C26" s="1201" t="s">
        <v>759</v>
      </c>
      <c r="D26" s="1202"/>
      <c r="E26" s="27"/>
      <c r="F26" s="178" t="s">
        <v>20</v>
      </c>
      <c r="G26" s="43"/>
      <c r="H26" s="41"/>
    </row>
    <row r="27" spans="3:13" ht="7.5" customHeight="1" x14ac:dyDescent="0.25"/>
    <row r="28" spans="3:13" ht="13" x14ac:dyDescent="0.3">
      <c r="C28" s="1199" t="s">
        <v>174</v>
      </c>
      <c r="D28" s="1200"/>
      <c r="E28" s="27"/>
      <c r="F28" s="658"/>
      <c r="G28" s="98"/>
      <c r="I28" s="91"/>
      <c r="J28" s="96"/>
      <c r="K28" s="96"/>
      <c r="L28" s="93"/>
      <c r="M28" s="100"/>
    </row>
    <row r="29" spans="3:13" x14ac:dyDescent="0.25">
      <c r="I29" s="91"/>
      <c r="J29" s="96"/>
      <c r="K29" s="96"/>
      <c r="L29" s="93"/>
      <c r="M29" s="100"/>
    </row>
    <row r="30" spans="3:13" ht="59.25" customHeight="1" x14ac:dyDescent="0.25">
      <c r="C30" s="1201" t="s">
        <v>806</v>
      </c>
      <c r="D30" s="1202"/>
      <c r="E30" s="27"/>
      <c r="F30" s="178" t="s">
        <v>20</v>
      </c>
      <c r="I30" s="91"/>
      <c r="J30" s="96"/>
      <c r="K30" s="96"/>
      <c r="L30" s="93"/>
      <c r="M30" s="100"/>
    </row>
    <row r="31" spans="3:13" ht="5.25" customHeight="1" x14ac:dyDescent="0.25">
      <c r="I31" s="91"/>
      <c r="J31" s="96"/>
      <c r="K31" s="96"/>
      <c r="L31" s="93"/>
      <c r="M31" s="100"/>
    </row>
    <row r="32" spans="3:13" ht="48.75" customHeight="1" x14ac:dyDescent="0.25">
      <c r="C32" s="1201" t="s">
        <v>807</v>
      </c>
      <c r="D32" s="1202"/>
      <c r="E32" s="27"/>
      <c r="F32" s="178" t="s">
        <v>20</v>
      </c>
      <c r="I32" s="91"/>
      <c r="J32" s="96"/>
      <c r="K32" s="96"/>
      <c r="L32" s="93"/>
      <c r="M32" s="100"/>
    </row>
    <row r="33" spans="3:13" ht="5.25" customHeight="1" x14ac:dyDescent="0.25">
      <c r="I33" s="91"/>
      <c r="J33" s="96"/>
      <c r="K33" s="96"/>
      <c r="L33" s="93"/>
      <c r="M33" s="100"/>
    </row>
    <row r="34" spans="3:13" ht="38.25" customHeight="1" x14ac:dyDescent="0.25">
      <c r="C34" s="1201" t="s">
        <v>808</v>
      </c>
      <c r="D34" s="1202"/>
      <c r="E34" s="27"/>
      <c r="F34" s="178" t="s">
        <v>20</v>
      </c>
      <c r="I34" s="91"/>
      <c r="J34" s="96"/>
      <c r="K34" s="96"/>
      <c r="L34" s="93"/>
      <c r="M34" s="100"/>
    </row>
    <row r="35" spans="3:13" ht="5.25" customHeight="1" x14ac:dyDescent="0.25">
      <c r="I35" s="91"/>
      <c r="J35" s="96"/>
      <c r="K35" s="96"/>
      <c r="L35" s="93"/>
      <c r="M35" s="100"/>
    </row>
    <row r="36" spans="3:13" ht="62.25" customHeight="1" x14ac:dyDescent="0.25">
      <c r="C36" s="1201" t="s">
        <v>809</v>
      </c>
      <c r="D36" s="1202"/>
      <c r="E36" s="27"/>
      <c r="F36" s="178" t="s">
        <v>20</v>
      </c>
      <c r="I36" s="91"/>
      <c r="J36" s="96"/>
      <c r="K36" s="96"/>
      <c r="L36" s="93"/>
      <c r="M36" s="100"/>
    </row>
    <row r="37" spans="3:13" ht="5.25" customHeight="1" x14ac:dyDescent="0.25">
      <c r="I37" s="91"/>
      <c r="J37" s="96"/>
      <c r="K37" s="96"/>
      <c r="L37" s="93"/>
      <c r="M37" s="100"/>
    </row>
    <row r="38" spans="3:13" ht="28.5" customHeight="1" x14ac:dyDescent="0.25">
      <c r="C38" s="1201" t="s">
        <v>810</v>
      </c>
      <c r="D38" s="1202"/>
      <c r="E38" s="27"/>
      <c r="F38" s="178" t="s">
        <v>20</v>
      </c>
      <c r="I38" s="91"/>
      <c r="J38" s="96"/>
      <c r="K38" s="96"/>
      <c r="L38" s="93"/>
      <c r="M38" s="100"/>
    </row>
    <row r="39" spans="3:13" ht="5.25" customHeight="1" x14ac:dyDescent="0.25">
      <c r="I39" s="91"/>
      <c r="J39" s="96"/>
      <c r="K39" s="96"/>
      <c r="L39" s="93"/>
      <c r="M39" s="100"/>
    </row>
    <row r="40" spans="3:13" ht="28.5" customHeight="1" x14ac:dyDescent="0.25">
      <c r="C40" s="1201" t="s">
        <v>811</v>
      </c>
      <c r="D40" s="1202"/>
      <c r="E40" s="27"/>
      <c r="F40" s="178" t="s">
        <v>20</v>
      </c>
      <c r="I40" s="91"/>
      <c r="J40" s="96"/>
      <c r="K40" s="96"/>
      <c r="L40" s="93"/>
      <c r="M40" s="100"/>
    </row>
    <row r="41" spans="3:13" ht="5.25" customHeight="1" x14ac:dyDescent="0.25">
      <c r="I41" s="91"/>
      <c r="J41" s="96"/>
      <c r="K41" s="96"/>
      <c r="L41" s="93"/>
      <c r="M41" s="100"/>
    </row>
    <row r="42" spans="3:13" ht="28.5" customHeight="1" x14ac:dyDescent="0.25">
      <c r="C42" s="1201" t="s">
        <v>812</v>
      </c>
      <c r="D42" s="1202"/>
      <c r="E42" s="27"/>
      <c r="F42" s="178" t="s">
        <v>20</v>
      </c>
      <c r="I42" s="91"/>
      <c r="J42" s="96"/>
      <c r="K42" s="96"/>
      <c r="L42" s="93"/>
      <c r="M42" s="100"/>
    </row>
    <row r="43" spans="3:13" ht="7.5" customHeight="1" x14ac:dyDescent="0.25"/>
    <row r="44" spans="3:13" s="38" customFormat="1" ht="13" x14ac:dyDescent="0.3">
      <c r="C44" s="1199" t="s">
        <v>760</v>
      </c>
      <c r="D44" s="1200"/>
      <c r="E44" s="27"/>
      <c r="F44" s="658"/>
    </row>
    <row r="45" spans="3:13" ht="7.5" customHeight="1" x14ac:dyDescent="0.25"/>
    <row r="46" spans="3:13" ht="27.75" customHeight="1" x14ac:dyDescent="0.25">
      <c r="C46" s="1201" t="s">
        <v>761</v>
      </c>
      <c r="D46" s="1202"/>
      <c r="E46" s="27"/>
      <c r="F46" s="178" t="s">
        <v>20</v>
      </c>
      <c r="G46" s="43"/>
      <c r="H46" s="41"/>
    </row>
    <row r="47" spans="3:13" ht="5.25" customHeight="1" x14ac:dyDescent="0.25">
      <c r="I47" s="91"/>
      <c r="J47" s="96"/>
      <c r="K47" s="96"/>
      <c r="L47" s="93"/>
      <c r="M47" s="100"/>
    </row>
    <row r="48" spans="3:13" ht="42" customHeight="1" x14ac:dyDescent="0.25">
      <c r="C48" s="1201" t="s">
        <v>762</v>
      </c>
      <c r="D48" s="1202"/>
      <c r="E48" s="27"/>
      <c r="F48" s="178" t="s">
        <v>20</v>
      </c>
      <c r="G48" s="43"/>
      <c r="H48" s="41"/>
    </row>
    <row r="49" spans="3:13" ht="5.25" customHeight="1" x14ac:dyDescent="0.25">
      <c r="I49" s="91"/>
      <c r="J49" s="96"/>
      <c r="K49" s="96"/>
      <c r="L49" s="93"/>
      <c r="M49" s="100"/>
    </row>
    <row r="50" spans="3:13" ht="42" customHeight="1" x14ac:dyDescent="0.25">
      <c r="C50" s="1201" t="s">
        <v>763</v>
      </c>
      <c r="D50" s="1202"/>
      <c r="E50" s="27"/>
      <c r="F50" s="178" t="s">
        <v>20</v>
      </c>
      <c r="G50" s="43"/>
      <c r="H50" s="41"/>
    </row>
    <row r="51" spans="3:13" ht="5.25" customHeight="1" x14ac:dyDescent="0.25">
      <c r="I51" s="91"/>
      <c r="J51" s="96"/>
      <c r="K51" s="96"/>
      <c r="L51" s="93"/>
      <c r="M51" s="100"/>
    </row>
    <row r="52" spans="3:13" ht="27.75" customHeight="1" x14ac:dyDescent="0.25">
      <c r="C52" s="1201" t="s">
        <v>764</v>
      </c>
      <c r="D52" s="1202"/>
      <c r="E52" s="27"/>
      <c r="F52" s="178" t="s">
        <v>20</v>
      </c>
      <c r="G52" s="43"/>
      <c r="H52" s="41"/>
    </row>
    <row r="53" spans="3:13" ht="5.25" customHeight="1" x14ac:dyDescent="0.25">
      <c r="I53" s="91"/>
      <c r="J53" s="96"/>
      <c r="K53" s="96"/>
      <c r="L53" s="93"/>
      <c r="M53" s="100"/>
    </row>
    <row r="54" spans="3:13" s="38" customFormat="1" ht="13" collapsed="1" x14ac:dyDescent="0.3">
      <c r="C54" s="1199" t="s">
        <v>765</v>
      </c>
      <c r="D54" s="1200"/>
      <c r="E54" s="27"/>
      <c r="F54" s="658"/>
    </row>
    <row r="55" spans="3:13" ht="7.5" customHeight="1" x14ac:dyDescent="0.25"/>
    <row r="56" spans="3:13" ht="27.75" customHeight="1" x14ac:dyDescent="0.25">
      <c r="C56" s="1201" t="s">
        <v>766</v>
      </c>
      <c r="D56" s="1202"/>
      <c r="E56" s="27"/>
      <c r="F56" s="178" t="s">
        <v>20</v>
      </c>
      <c r="G56" s="43"/>
      <c r="H56" s="41"/>
    </row>
    <row r="57" spans="3:13" ht="5.25" customHeight="1" x14ac:dyDescent="0.25">
      <c r="I57" s="91"/>
      <c r="J57" s="96"/>
      <c r="K57" s="96"/>
      <c r="L57" s="93"/>
      <c r="M57" s="100"/>
    </row>
    <row r="58" spans="3:13" ht="45.75" customHeight="1" x14ac:dyDescent="0.25">
      <c r="C58" s="1201" t="s">
        <v>767</v>
      </c>
      <c r="D58" s="1202"/>
      <c r="E58" s="27"/>
      <c r="F58" s="178" t="s">
        <v>20</v>
      </c>
      <c r="G58" s="43"/>
      <c r="H58" s="41"/>
    </row>
    <row r="59" spans="3:13" ht="5.25" customHeight="1" x14ac:dyDescent="0.25">
      <c r="I59" s="91"/>
      <c r="J59" s="96"/>
      <c r="K59" s="96"/>
      <c r="L59" s="93"/>
      <c r="M59" s="100"/>
    </row>
    <row r="60" spans="3:13" ht="27.75" customHeight="1" x14ac:dyDescent="0.25">
      <c r="C60" s="1201" t="s">
        <v>768</v>
      </c>
      <c r="D60" s="1202"/>
      <c r="E60" s="27"/>
      <c r="F60" s="178" t="s">
        <v>20</v>
      </c>
      <c r="G60" s="43"/>
      <c r="H60" s="41"/>
    </row>
    <row r="61" spans="3:13" ht="5.25" customHeight="1" x14ac:dyDescent="0.25">
      <c r="I61" s="91"/>
      <c r="J61" s="96"/>
      <c r="K61" s="96"/>
      <c r="L61" s="93"/>
      <c r="M61" s="100"/>
    </row>
    <row r="62" spans="3:13" ht="27.75" customHeight="1" x14ac:dyDescent="0.25">
      <c r="C62" s="1201" t="s">
        <v>769</v>
      </c>
      <c r="D62" s="1202"/>
      <c r="E62" s="27"/>
      <c r="F62" s="178" t="s">
        <v>20</v>
      </c>
      <c r="G62" s="43"/>
      <c r="H62" s="41"/>
    </row>
    <row r="63" spans="3:13" ht="5.25" customHeight="1" x14ac:dyDescent="0.25">
      <c r="I63" s="91"/>
      <c r="J63" s="96"/>
      <c r="K63" s="96"/>
      <c r="L63" s="93"/>
      <c r="M63" s="100"/>
    </row>
    <row r="64" spans="3:13" ht="51.75" customHeight="1" x14ac:dyDescent="0.25">
      <c r="C64" s="1201" t="s">
        <v>770</v>
      </c>
      <c r="D64" s="1202"/>
      <c r="E64" s="27"/>
      <c r="F64" s="178" t="s">
        <v>20</v>
      </c>
      <c r="G64" s="43"/>
      <c r="H64" s="41"/>
    </row>
    <row r="65" spans="3:13" ht="5.25" customHeight="1" x14ac:dyDescent="0.25">
      <c r="I65" s="91"/>
      <c r="J65" s="96"/>
      <c r="K65" s="96"/>
      <c r="L65" s="93"/>
      <c r="M65" s="100"/>
    </row>
    <row r="66" spans="3:13" ht="27.75" customHeight="1" x14ac:dyDescent="0.25">
      <c r="C66" s="1201" t="s">
        <v>771</v>
      </c>
      <c r="D66" s="1202"/>
      <c r="E66" s="27"/>
      <c r="F66" s="178" t="s">
        <v>20</v>
      </c>
      <c r="G66" s="43"/>
      <c r="H66" s="41"/>
    </row>
    <row r="67" spans="3:13" ht="5.25" customHeight="1" x14ac:dyDescent="0.25">
      <c r="I67" s="91"/>
      <c r="J67" s="96"/>
      <c r="K67" s="96"/>
      <c r="L67" s="93"/>
      <c r="M67" s="100"/>
    </row>
    <row r="68" spans="3:13" ht="27.75" customHeight="1" x14ac:dyDescent="0.25">
      <c r="C68" s="1201" t="s">
        <v>772</v>
      </c>
      <c r="D68" s="1202"/>
      <c r="E68" s="27"/>
      <c r="F68" s="178" t="s">
        <v>20</v>
      </c>
      <c r="G68" s="43"/>
      <c r="H68" s="41"/>
    </row>
    <row r="69" spans="3:13" ht="5.25" customHeight="1" x14ac:dyDescent="0.25">
      <c r="I69" s="91"/>
      <c r="J69" s="96"/>
      <c r="K69" s="96"/>
      <c r="L69" s="93"/>
      <c r="M69" s="100"/>
    </row>
    <row r="70" spans="3:13" s="38" customFormat="1" ht="13" x14ac:dyDescent="0.3">
      <c r="C70" s="1199" t="s">
        <v>813</v>
      </c>
      <c r="D70" s="1200"/>
      <c r="E70" s="27"/>
      <c r="F70" s="658"/>
    </row>
    <row r="71" spans="3:13" ht="7.5" customHeight="1" x14ac:dyDescent="0.25"/>
    <row r="72" spans="3:13" ht="57" customHeight="1" x14ac:dyDescent="0.25">
      <c r="C72" s="1201" t="s">
        <v>814</v>
      </c>
      <c r="D72" s="1202"/>
      <c r="E72" s="27"/>
      <c r="F72" s="178" t="s">
        <v>20</v>
      </c>
      <c r="G72" s="43"/>
      <c r="H72" s="41"/>
    </row>
    <row r="73" spans="3:13" ht="5.25" customHeight="1" x14ac:dyDescent="0.25">
      <c r="I73" s="91"/>
      <c r="J73" s="96"/>
      <c r="K73" s="96"/>
      <c r="L73" s="93"/>
      <c r="M73" s="100"/>
    </row>
    <row r="74" spans="3:13" ht="67.5" customHeight="1" x14ac:dyDescent="0.25">
      <c r="C74" s="1201" t="s">
        <v>815</v>
      </c>
      <c r="D74" s="1202"/>
      <c r="E74" s="27"/>
      <c r="F74" s="178" t="s">
        <v>20</v>
      </c>
      <c r="G74" s="43"/>
      <c r="H74" s="41"/>
    </row>
    <row r="75" spans="3:13" ht="5.25" customHeight="1" x14ac:dyDescent="0.25">
      <c r="I75" s="91"/>
      <c r="J75" s="96"/>
      <c r="K75" s="96"/>
      <c r="L75" s="93"/>
      <c r="M75" s="100"/>
    </row>
    <row r="76" spans="3:13" ht="42" customHeight="1" x14ac:dyDescent="0.25">
      <c r="C76" s="1201" t="s">
        <v>816</v>
      </c>
      <c r="D76" s="1202"/>
      <c r="E76" s="27"/>
      <c r="F76" s="178" t="s">
        <v>20</v>
      </c>
      <c r="G76" s="43"/>
      <c r="H76" s="41"/>
    </row>
    <row r="77" spans="3:13" ht="5.25" customHeight="1" x14ac:dyDescent="0.25">
      <c r="I77" s="91"/>
      <c r="J77" s="96"/>
      <c r="K77" s="96"/>
      <c r="L77" s="93"/>
      <c r="M77" s="100"/>
    </row>
    <row r="78" spans="3:13" ht="27.75" customHeight="1" x14ac:dyDescent="0.25">
      <c r="C78" s="1201" t="s">
        <v>817</v>
      </c>
      <c r="D78" s="1202"/>
      <c r="E78" s="27"/>
      <c r="F78" s="178" t="s">
        <v>20</v>
      </c>
      <c r="G78" s="43"/>
      <c r="H78" s="41"/>
    </row>
    <row r="79" spans="3:13" ht="5.25" customHeight="1" x14ac:dyDescent="0.25">
      <c r="I79" s="91"/>
      <c r="J79" s="96"/>
      <c r="K79" s="96"/>
      <c r="L79" s="93"/>
      <c r="M79" s="100"/>
    </row>
    <row r="80" spans="3:13" ht="27.75" customHeight="1" x14ac:dyDescent="0.25">
      <c r="C80" s="1201" t="s">
        <v>818</v>
      </c>
      <c r="D80" s="1202"/>
      <c r="E80" s="27"/>
      <c r="F80" s="178" t="s">
        <v>20</v>
      </c>
      <c r="G80" s="43"/>
      <c r="H80" s="41"/>
    </row>
    <row r="81" spans="9:13" ht="5.25" customHeight="1" x14ac:dyDescent="0.25">
      <c r="I81" s="91"/>
      <c r="J81" s="96"/>
      <c r="K81" s="96"/>
      <c r="L81" s="93"/>
      <c r="M81" s="100"/>
    </row>
    <row r="82" spans="9:13" ht="5.25" customHeight="1" x14ac:dyDescent="0.25">
      <c r="I82" s="91"/>
      <c r="J82" s="96"/>
      <c r="K82" s="96"/>
      <c r="L82" s="93"/>
      <c r="M82" s="100"/>
    </row>
  </sheetData>
  <mergeCells count="37">
    <mergeCell ref="C78:D78"/>
    <mergeCell ref="C80:D80"/>
    <mergeCell ref="C38:D38"/>
    <mergeCell ref="C70:D70"/>
    <mergeCell ref="C72:D72"/>
    <mergeCell ref="C74:D74"/>
    <mergeCell ref="C76:D76"/>
    <mergeCell ref="C62:D62"/>
    <mergeCell ref="C64:D64"/>
    <mergeCell ref="C66:D66"/>
    <mergeCell ref="C68:D68"/>
    <mergeCell ref="C48:D48"/>
    <mergeCell ref="C50:D50"/>
    <mergeCell ref="C52:D52"/>
    <mergeCell ref="C54:D54"/>
    <mergeCell ref="C46:D46"/>
    <mergeCell ref="C18:D18"/>
    <mergeCell ref="C20:D20"/>
    <mergeCell ref="C26:D26"/>
    <mergeCell ref="C60:D60"/>
    <mergeCell ref="C24:D24"/>
    <mergeCell ref="C22:D22"/>
    <mergeCell ref="C44:D44"/>
    <mergeCell ref="C28:D28"/>
    <mergeCell ref="C30:D30"/>
    <mergeCell ref="C32:D32"/>
    <mergeCell ref="C34:D34"/>
    <mergeCell ref="C36:D36"/>
    <mergeCell ref="C40:D40"/>
    <mergeCell ref="C42:D42"/>
    <mergeCell ref="C56:D56"/>
    <mergeCell ref="C58:D58"/>
    <mergeCell ref="C10:D10"/>
    <mergeCell ref="C8:F8"/>
    <mergeCell ref="C12:D12"/>
    <mergeCell ref="C14:D14"/>
    <mergeCell ref="C16:D16"/>
  </mergeCells>
  <conditionalFormatting sqref="F10 F12 F44">
    <cfRule type="cellIs" dxfId="36" priority="104" operator="equal">
      <formula>"No"</formula>
    </cfRule>
  </conditionalFormatting>
  <conditionalFormatting sqref="F10">
    <cfRule type="cellIs" dxfId="35" priority="98" operator="equal">
      <formula>"Yes"</formula>
    </cfRule>
  </conditionalFormatting>
  <conditionalFormatting sqref="F14">
    <cfRule type="cellIs" dxfId="34" priority="66" operator="equal">
      <formula>"No"</formula>
    </cfRule>
  </conditionalFormatting>
  <conditionalFormatting sqref="F16">
    <cfRule type="cellIs" dxfId="33" priority="102" operator="equal">
      <formula>"No"</formula>
    </cfRule>
  </conditionalFormatting>
  <conditionalFormatting sqref="F18">
    <cfRule type="cellIs" dxfId="32" priority="65" operator="equal">
      <formula>"No"</formula>
    </cfRule>
  </conditionalFormatting>
  <conditionalFormatting sqref="F20">
    <cfRule type="cellIs" dxfId="31" priority="64" operator="equal">
      <formula>"No"</formula>
    </cfRule>
  </conditionalFormatting>
  <conditionalFormatting sqref="F22">
    <cfRule type="cellIs" dxfId="30" priority="13" operator="equal">
      <formula>"Yes"</formula>
    </cfRule>
    <cfRule type="cellIs" dxfId="29" priority="14" operator="equal">
      <formula>"No"</formula>
    </cfRule>
  </conditionalFormatting>
  <conditionalFormatting sqref="F24">
    <cfRule type="cellIs" dxfId="28" priority="101" operator="equal">
      <formula>"No"</formula>
    </cfRule>
  </conditionalFormatting>
  <conditionalFormatting sqref="F26">
    <cfRule type="cellIs" dxfId="27" priority="63" operator="equal">
      <formula>"No"</formula>
    </cfRule>
  </conditionalFormatting>
  <conditionalFormatting sqref="F28">
    <cfRule type="cellIs" dxfId="26" priority="11" operator="equal">
      <formula>"Yes"</formula>
    </cfRule>
    <cfRule type="cellIs" dxfId="25" priority="12" operator="equal">
      <formula>"No"</formula>
    </cfRule>
  </conditionalFormatting>
  <conditionalFormatting sqref="F30">
    <cfRule type="cellIs" dxfId="24" priority="93" operator="equal">
      <formula>"No"</formula>
    </cfRule>
  </conditionalFormatting>
  <conditionalFormatting sqref="F32">
    <cfRule type="cellIs" dxfId="23" priority="39" operator="equal">
      <formula>"No"</formula>
    </cfRule>
  </conditionalFormatting>
  <conditionalFormatting sqref="F34">
    <cfRule type="cellIs" dxfId="22" priority="83" operator="equal">
      <formula>"No"</formula>
    </cfRule>
  </conditionalFormatting>
  <conditionalFormatting sqref="F36 F38 F40 F42">
    <cfRule type="cellIs" dxfId="21" priority="38" operator="equal">
      <formula>"No"</formula>
    </cfRule>
  </conditionalFormatting>
  <conditionalFormatting sqref="F44">
    <cfRule type="cellIs" dxfId="20" priority="10" operator="equal">
      <formula>"Yes"</formula>
    </cfRule>
  </conditionalFormatting>
  <conditionalFormatting sqref="F46">
    <cfRule type="cellIs" dxfId="19" priority="62" operator="equal">
      <formula>"No"</formula>
    </cfRule>
  </conditionalFormatting>
  <conditionalFormatting sqref="F48">
    <cfRule type="cellIs" dxfId="18" priority="61" operator="equal">
      <formula>"No"</formula>
    </cfRule>
  </conditionalFormatting>
  <conditionalFormatting sqref="F50">
    <cfRule type="cellIs" dxfId="17" priority="51" operator="equal">
      <formula>"No"</formula>
    </cfRule>
  </conditionalFormatting>
  <conditionalFormatting sqref="F52">
    <cfRule type="cellIs" dxfId="16" priority="59" operator="equal">
      <formula>"No"</formula>
    </cfRule>
  </conditionalFormatting>
  <conditionalFormatting sqref="F54">
    <cfRule type="cellIs" dxfId="15" priority="8" operator="equal">
      <formula>"Yes"</formula>
    </cfRule>
    <cfRule type="cellIs" dxfId="14" priority="9" operator="equal">
      <formula>"No"</formula>
    </cfRule>
  </conditionalFormatting>
  <conditionalFormatting sqref="F56">
    <cfRule type="cellIs" dxfId="13" priority="57" operator="equal">
      <formula>"No"</formula>
    </cfRule>
  </conditionalFormatting>
  <conditionalFormatting sqref="F58">
    <cfRule type="cellIs" dxfId="12" priority="55" operator="equal">
      <formula>"No"</formula>
    </cfRule>
  </conditionalFormatting>
  <conditionalFormatting sqref="F60">
    <cfRule type="cellIs" dxfId="11" priority="48" operator="equal">
      <formula>"No"</formula>
    </cfRule>
  </conditionalFormatting>
  <conditionalFormatting sqref="F62">
    <cfRule type="cellIs" dxfId="10" priority="47" operator="equal">
      <formula>"No"</formula>
    </cfRule>
  </conditionalFormatting>
  <conditionalFormatting sqref="F64">
    <cfRule type="cellIs" dxfId="9" priority="44" operator="equal">
      <formula>"No"</formula>
    </cfRule>
  </conditionalFormatting>
  <conditionalFormatting sqref="F66">
    <cfRule type="cellIs" dxfId="8" priority="43" operator="equal">
      <formula>"No"</formula>
    </cfRule>
  </conditionalFormatting>
  <conditionalFormatting sqref="F68">
    <cfRule type="cellIs" dxfId="7" priority="40" operator="equal">
      <formula>"No"</formula>
    </cfRule>
  </conditionalFormatting>
  <conditionalFormatting sqref="F70">
    <cfRule type="cellIs" dxfId="6" priority="7" operator="equal">
      <formula>"No"</formula>
    </cfRule>
    <cfRule type="cellIs" dxfId="5" priority="6" operator="equal">
      <formula>"Yes"</formula>
    </cfRule>
  </conditionalFormatting>
  <conditionalFormatting sqref="F72">
    <cfRule type="cellIs" dxfId="4" priority="5" operator="equal">
      <formula>"No"</formula>
    </cfRule>
  </conditionalFormatting>
  <conditionalFormatting sqref="F74">
    <cfRule type="cellIs" dxfId="3" priority="4" operator="equal">
      <formula>"No"</formula>
    </cfRule>
  </conditionalFormatting>
  <conditionalFormatting sqref="F76">
    <cfRule type="cellIs" dxfId="2" priority="3" operator="equal">
      <formula>"No"</formula>
    </cfRule>
  </conditionalFormatting>
  <conditionalFormatting sqref="F78">
    <cfRule type="cellIs" dxfId="1" priority="2" operator="equal">
      <formula>"No"</formula>
    </cfRule>
  </conditionalFormatting>
  <conditionalFormatting sqref="F80">
    <cfRule type="cellIs" dxfId="0" priority="1" operator="equal">
      <formula>"No"</formula>
    </cfRule>
  </conditionalFormatting>
  <dataValidations count="1">
    <dataValidation type="list" allowBlank="1" showInputMessage="1" showErrorMessage="1" sqref="F12 F14 F34:F38 F58 F48 F50 F52 F56 F45:F46 F29:F32 F60 F62 F64 F66 F68 F40 F42 F16:F21 F23:F27 F72 F74 F76 F78 F80" xr:uid="{00000000-0002-0000-0E00-000000000000}">
      <formula1>$N$3:$N$4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760E-1629-454F-BFD4-9CAAFC7BC993}">
  <sheetPr>
    <tabColor theme="0" tint="-0.249977111117893"/>
  </sheetPr>
  <dimension ref="A1:AO64"/>
  <sheetViews>
    <sheetView showGridLines="0" workbookViewId="0">
      <selection activeCell="H10" sqref="H10"/>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27.453125" customWidth="1"/>
    <col min="10" max="26" width="31.1796875" customWidth="1"/>
    <col min="27" max="38" width="36.1796875" customWidth="1"/>
  </cols>
  <sheetData>
    <row r="1" spans="1:9" ht="26.5" thickBot="1" x14ac:dyDescent="0.3">
      <c r="A1" s="967" t="s">
        <v>1608</v>
      </c>
      <c r="B1" s="967" t="s">
        <v>1609</v>
      </c>
      <c r="C1" s="968" t="s">
        <v>1610</v>
      </c>
      <c r="D1" s="967" t="s">
        <v>1611</v>
      </c>
      <c r="E1" s="967" t="s">
        <v>1612</v>
      </c>
      <c r="F1" s="967" t="s">
        <v>1613</v>
      </c>
      <c r="G1" s="967" t="s">
        <v>1614</v>
      </c>
      <c r="H1" s="967" t="s">
        <v>1615</v>
      </c>
      <c r="I1" s="969" t="s">
        <v>1616</v>
      </c>
    </row>
    <row r="2" spans="1:9" ht="26.5" thickBot="1" x14ac:dyDescent="0.3">
      <c r="A2" s="970" t="s">
        <v>1617</v>
      </c>
      <c r="B2" s="970" t="s">
        <v>1618</v>
      </c>
      <c r="C2" s="971" t="s">
        <v>1618</v>
      </c>
      <c r="D2" s="972"/>
      <c r="E2" s="973"/>
      <c r="F2" s="974" t="s">
        <v>657</v>
      </c>
      <c r="G2" s="974" t="s">
        <v>657</v>
      </c>
      <c r="H2" s="975"/>
      <c r="I2" s="976"/>
    </row>
    <row r="3" spans="1:9" ht="26.5" thickBot="1" x14ac:dyDescent="0.3">
      <c r="A3" s="970" t="s">
        <v>1617</v>
      </c>
      <c r="B3" s="970" t="s">
        <v>1618</v>
      </c>
      <c r="C3" s="968" t="s">
        <v>1619</v>
      </c>
      <c r="D3" s="977" t="s">
        <v>1620</v>
      </c>
      <c r="E3" s="978" t="s">
        <v>1621</v>
      </c>
      <c r="F3" s="979" t="s">
        <v>1622</v>
      </c>
      <c r="G3" s="979" t="s">
        <v>1622</v>
      </c>
      <c r="H3" s="980" t="s">
        <v>1623</v>
      </c>
      <c r="I3" s="987" t="str">
        <f>'00 - Cover'!F11</f>
        <v>969500Z05GRNU3KPEY94</v>
      </c>
    </row>
    <row r="4" spans="1:9" ht="26.5" thickBot="1" x14ac:dyDescent="0.3">
      <c r="A4" s="970" t="s">
        <v>1617</v>
      </c>
      <c r="B4" s="970" t="s">
        <v>1618</v>
      </c>
      <c r="C4" s="968" t="s">
        <v>1624</v>
      </c>
      <c r="D4" s="977" t="s">
        <v>1625</v>
      </c>
      <c r="E4" s="978" t="s">
        <v>1626</v>
      </c>
      <c r="F4" s="979" t="s">
        <v>1622</v>
      </c>
      <c r="G4" s="979" t="s">
        <v>1622</v>
      </c>
      <c r="H4" s="980" t="s">
        <v>1627</v>
      </c>
      <c r="I4" s="987">
        <f>'00 - Cover'!F14</f>
        <v>45473</v>
      </c>
    </row>
    <row r="5" spans="1:9" ht="26.5" thickBot="1" x14ac:dyDescent="0.3">
      <c r="A5" s="970" t="s">
        <v>1617</v>
      </c>
      <c r="B5" s="970" t="s">
        <v>1618</v>
      </c>
      <c r="C5" s="968" t="s">
        <v>1628</v>
      </c>
      <c r="D5" s="977" t="s">
        <v>1629</v>
      </c>
      <c r="E5" s="978" t="s">
        <v>1630</v>
      </c>
      <c r="F5" s="979" t="s">
        <v>1622</v>
      </c>
      <c r="G5" s="979" t="s">
        <v>1622</v>
      </c>
      <c r="H5" s="980" t="s">
        <v>1631</v>
      </c>
      <c r="I5" s="980" t="str">
        <f>'00 - Cover'!C8</f>
        <v>FCT French Prime Cash 2023</v>
      </c>
    </row>
    <row r="6" spans="1:9" ht="38" thickBot="1" x14ac:dyDescent="0.3">
      <c r="A6" s="970" t="s">
        <v>1617</v>
      </c>
      <c r="B6" s="970" t="s">
        <v>1618</v>
      </c>
      <c r="C6" s="968" t="s">
        <v>1632</v>
      </c>
      <c r="D6" s="977" t="s">
        <v>1633</v>
      </c>
      <c r="E6" s="978" t="s">
        <v>1634</v>
      </c>
      <c r="F6" s="979" t="s">
        <v>1622</v>
      </c>
      <c r="G6" s="979" t="s">
        <v>1622</v>
      </c>
      <c r="H6" s="980" t="s">
        <v>1631</v>
      </c>
      <c r="I6" s="999" t="s">
        <v>2479</v>
      </c>
    </row>
    <row r="7" spans="1:9" ht="26.5" thickBot="1" x14ac:dyDescent="0.3">
      <c r="A7" s="970" t="s">
        <v>1617</v>
      </c>
      <c r="B7" s="970" t="s">
        <v>1618</v>
      </c>
      <c r="C7" s="968" t="s">
        <v>1635</v>
      </c>
      <c r="D7" s="977" t="s">
        <v>1636</v>
      </c>
      <c r="E7" s="978" t="s">
        <v>1637</v>
      </c>
      <c r="F7" s="979" t="s">
        <v>1622</v>
      </c>
      <c r="G7" s="979" t="s">
        <v>1622</v>
      </c>
      <c r="H7" s="980" t="s">
        <v>1638</v>
      </c>
      <c r="I7" s="999" t="s">
        <v>2480</v>
      </c>
    </row>
    <row r="8" spans="1:9" ht="26.5" thickBot="1" x14ac:dyDescent="0.3">
      <c r="A8" s="970" t="s">
        <v>1617</v>
      </c>
      <c r="B8" s="970" t="s">
        <v>1618</v>
      </c>
      <c r="C8" s="968" t="s">
        <v>1639</v>
      </c>
      <c r="D8" s="977" t="s">
        <v>1640</v>
      </c>
      <c r="E8" s="978" t="s">
        <v>1641</v>
      </c>
      <c r="F8" s="979" t="s">
        <v>1622</v>
      </c>
      <c r="G8" s="979" t="s">
        <v>1622</v>
      </c>
      <c r="H8" s="980" t="s">
        <v>1642</v>
      </c>
      <c r="I8" s="999" t="s">
        <v>2481</v>
      </c>
    </row>
    <row r="9" spans="1:9" ht="38" thickBot="1" x14ac:dyDescent="0.3">
      <c r="A9" s="970" t="s">
        <v>1617</v>
      </c>
      <c r="B9" s="970" t="s">
        <v>1618</v>
      </c>
      <c r="C9" s="968" t="s">
        <v>1643</v>
      </c>
      <c r="D9" s="977" t="s">
        <v>1644</v>
      </c>
      <c r="E9" s="978" t="s">
        <v>1645</v>
      </c>
      <c r="F9" s="979" t="s">
        <v>1622</v>
      </c>
      <c r="G9" s="979" t="s">
        <v>1622</v>
      </c>
      <c r="H9" s="980" t="s">
        <v>1638</v>
      </c>
      <c r="I9" s="999" t="s">
        <v>2482</v>
      </c>
    </row>
    <row r="10" spans="1:9" ht="125.5" thickBot="1" x14ac:dyDescent="0.3">
      <c r="A10" s="970" t="s">
        <v>1617</v>
      </c>
      <c r="B10" s="970" t="s">
        <v>1618</v>
      </c>
      <c r="C10" s="968" t="s">
        <v>1646</v>
      </c>
      <c r="D10" s="977" t="s">
        <v>1647</v>
      </c>
      <c r="E10" s="978" t="s">
        <v>1648</v>
      </c>
      <c r="F10" s="979" t="s">
        <v>1622</v>
      </c>
      <c r="G10" s="979" t="s">
        <v>1622</v>
      </c>
      <c r="H10" s="980" t="s">
        <v>1649</v>
      </c>
      <c r="I10" s="980" t="s">
        <v>2419</v>
      </c>
    </row>
    <row r="11" spans="1:9" ht="125.5" thickBot="1" x14ac:dyDescent="0.3">
      <c r="A11" s="970" t="s">
        <v>1617</v>
      </c>
      <c r="B11" s="970" t="s">
        <v>1618</v>
      </c>
      <c r="C11" s="968" t="s">
        <v>1650</v>
      </c>
      <c r="D11" s="977" t="s">
        <v>1651</v>
      </c>
      <c r="E11" s="978" t="s">
        <v>1652</v>
      </c>
      <c r="F11" s="979" t="s">
        <v>1622</v>
      </c>
      <c r="G11" s="979" t="s">
        <v>1622</v>
      </c>
      <c r="H11" s="980" t="s">
        <v>1649</v>
      </c>
      <c r="I11" s="980" t="s">
        <v>2420</v>
      </c>
    </row>
    <row r="12" spans="1:9" ht="175.5" thickBot="1" x14ac:dyDescent="0.3">
      <c r="A12" s="970" t="s">
        <v>1617</v>
      </c>
      <c r="B12" s="970" t="s">
        <v>1618</v>
      </c>
      <c r="C12" s="968" t="s">
        <v>1653</v>
      </c>
      <c r="D12" s="977" t="s">
        <v>1654</v>
      </c>
      <c r="E12" s="978" t="s">
        <v>1655</v>
      </c>
      <c r="F12" s="979" t="s">
        <v>1622</v>
      </c>
      <c r="G12" s="979" t="s">
        <v>1622</v>
      </c>
      <c r="H12" s="980" t="s">
        <v>1649</v>
      </c>
      <c r="I12" s="980" t="s">
        <v>2421</v>
      </c>
    </row>
    <row r="13" spans="1:9" ht="38" thickBot="1" x14ac:dyDescent="0.3">
      <c r="A13" s="970" t="s">
        <v>1617</v>
      </c>
      <c r="B13" s="970" t="s">
        <v>1618</v>
      </c>
      <c r="C13" s="968" t="s">
        <v>1656</v>
      </c>
      <c r="D13" s="977" t="s">
        <v>1657</v>
      </c>
      <c r="E13" s="978" t="s">
        <v>1658</v>
      </c>
      <c r="F13" s="979" t="s">
        <v>1622</v>
      </c>
      <c r="G13" s="979" t="s">
        <v>1622</v>
      </c>
      <c r="H13" s="980" t="s">
        <v>1659</v>
      </c>
      <c r="I13" s="980" t="s">
        <v>2422</v>
      </c>
    </row>
    <row r="14" spans="1:9" ht="38" thickBot="1" x14ac:dyDescent="0.3">
      <c r="A14" s="970" t="s">
        <v>1617</v>
      </c>
      <c r="B14" s="970" t="s">
        <v>1618</v>
      </c>
      <c r="C14" s="968" t="s">
        <v>1660</v>
      </c>
      <c r="D14" s="977" t="s">
        <v>1661</v>
      </c>
      <c r="E14" s="978" t="s">
        <v>1662</v>
      </c>
      <c r="F14" s="979" t="s">
        <v>1622</v>
      </c>
      <c r="G14" s="979" t="s">
        <v>1622</v>
      </c>
      <c r="H14" s="980" t="s">
        <v>1659</v>
      </c>
      <c r="I14" s="980" t="s">
        <v>2423</v>
      </c>
    </row>
    <row r="15" spans="1:9" ht="26.5" thickBot="1" x14ac:dyDescent="0.3">
      <c r="A15" s="970" t="s">
        <v>1617</v>
      </c>
      <c r="B15" s="970" t="s">
        <v>1618</v>
      </c>
      <c r="C15" s="968" t="s">
        <v>1663</v>
      </c>
      <c r="D15" s="977" t="s">
        <v>1664</v>
      </c>
      <c r="E15" s="978" t="s">
        <v>1665</v>
      </c>
      <c r="F15" s="979" t="s">
        <v>1622</v>
      </c>
      <c r="G15" s="979" t="s">
        <v>1666</v>
      </c>
      <c r="H15" s="980" t="s">
        <v>1627</v>
      </c>
      <c r="I15" s="980" t="s">
        <v>2424</v>
      </c>
    </row>
    <row r="16" spans="1:9" ht="38" thickBot="1" x14ac:dyDescent="0.3">
      <c r="A16" s="970" t="s">
        <v>1617</v>
      </c>
      <c r="B16" s="970" t="s">
        <v>1618</v>
      </c>
      <c r="C16" s="968" t="s">
        <v>1667</v>
      </c>
      <c r="D16" s="977" t="s">
        <v>1668</v>
      </c>
      <c r="E16" s="978" t="s">
        <v>1669</v>
      </c>
      <c r="F16" s="979" t="s">
        <v>1622</v>
      </c>
      <c r="G16" s="979" t="s">
        <v>1666</v>
      </c>
      <c r="H16" s="980" t="s">
        <v>1670</v>
      </c>
      <c r="I16" s="980" t="str">
        <f>TEXT('04 - Monthly Collection'!AA13,"### ###0,00")&amp;" EUR"</f>
        <v>0,00 EUR</v>
      </c>
    </row>
    <row r="17" spans="1:10" ht="38" thickBot="1" x14ac:dyDescent="0.3">
      <c r="A17" s="970" t="s">
        <v>1617</v>
      </c>
      <c r="B17" s="970" t="s">
        <v>1618</v>
      </c>
      <c r="C17" s="968" t="s">
        <v>1671</v>
      </c>
      <c r="D17" s="977" t="s">
        <v>1672</v>
      </c>
      <c r="E17" s="978" t="s">
        <v>1673</v>
      </c>
      <c r="F17" s="979" t="s">
        <v>1622</v>
      </c>
      <c r="G17" s="979" t="s">
        <v>1666</v>
      </c>
      <c r="H17" s="980" t="s">
        <v>1670</v>
      </c>
      <c r="I17" s="980" t="str">
        <f>TEXT('04 - Monthly Collection'!AJ13+'04 - Monthly Collection'!AK13+'04 - Monthly Collection'!AL13,"### ###0,00")&amp;" EUR"</f>
        <v>0,00 EUR</v>
      </c>
    </row>
    <row r="18" spans="1:10" ht="38" thickBot="1" x14ac:dyDescent="0.3">
      <c r="A18" s="970" t="s">
        <v>1617</v>
      </c>
      <c r="B18" s="970" t="s">
        <v>1618</v>
      </c>
      <c r="C18" s="968" t="s">
        <v>1674</v>
      </c>
      <c r="D18" s="977" t="s">
        <v>1675</v>
      </c>
      <c r="E18" s="978" t="s">
        <v>1676</v>
      </c>
      <c r="F18" s="979" t="s">
        <v>1622</v>
      </c>
      <c r="G18" s="979" t="s">
        <v>1666</v>
      </c>
      <c r="H18" s="980" t="s">
        <v>1670</v>
      </c>
      <c r="I18" s="980" t="str">
        <f>TEXT('04 - Monthly Collection'!H13,"### ###0,00")&amp;" EUR"</f>
        <v>5 508 318,38 EUR</v>
      </c>
    </row>
    <row r="19" spans="1:10" ht="38" thickBot="1" x14ac:dyDescent="0.3">
      <c r="A19" s="970" t="s">
        <v>1617</v>
      </c>
      <c r="B19" s="970" t="s">
        <v>1618</v>
      </c>
      <c r="C19" s="968" t="s">
        <v>1677</v>
      </c>
      <c r="D19" s="977" t="s">
        <v>1678</v>
      </c>
      <c r="E19" s="978" t="s">
        <v>1679</v>
      </c>
      <c r="F19" s="979" t="s">
        <v>1622</v>
      </c>
      <c r="G19" s="979" t="s">
        <v>1666</v>
      </c>
      <c r="H19" s="980" t="s">
        <v>1670</v>
      </c>
      <c r="I19" s="980" t="str">
        <f>TEXT('04 - Monthly Collection'!Q13+'04 - Monthly Collection'!R13+'04 - Monthly Collection'!S13,"### ###,00")&amp;" EUR"</f>
        <v>845 098,07 EUR</v>
      </c>
    </row>
    <row r="20" spans="1:10" ht="26.5" thickBot="1" x14ac:dyDescent="0.3">
      <c r="A20" s="970" t="s">
        <v>1617</v>
      </c>
      <c r="B20" s="970" t="s">
        <v>1618</v>
      </c>
      <c r="C20" s="968" t="s">
        <v>1680</v>
      </c>
      <c r="D20" s="977" t="s">
        <v>1681</v>
      </c>
      <c r="E20" s="978" t="s">
        <v>1682</v>
      </c>
      <c r="F20" s="979" t="s">
        <v>1622</v>
      </c>
      <c r="G20" s="979" t="s">
        <v>1666</v>
      </c>
      <c r="H20" s="980" t="s">
        <v>1659</v>
      </c>
      <c r="I20" s="980" t="s">
        <v>2423</v>
      </c>
    </row>
    <row r="21" spans="1:10" ht="50.5" thickBot="1" x14ac:dyDescent="0.3">
      <c r="A21" s="970" t="s">
        <v>1617</v>
      </c>
      <c r="B21" s="970" t="s">
        <v>1618</v>
      </c>
      <c r="C21" s="968" t="s">
        <v>1683</v>
      </c>
      <c r="D21" s="977" t="s">
        <v>1684</v>
      </c>
      <c r="E21" s="978" t="s">
        <v>1685</v>
      </c>
      <c r="F21" s="979" t="s">
        <v>1622</v>
      </c>
      <c r="G21" s="979" t="s">
        <v>1622</v>
      </c>
      <c r="H21" s="980" t="s">
        <v>1670</v>
      </c>
      <c r="I21" s="980" t="str">
        <f>TEXT('15 - Priority of Payments'!J56,"### ###,00")&amp;" EUR"</f>
        <v>2 445 124,10 EUR</v>
      </c>
    </row>
    <row r="22" spans="1:10" ht="26.5" thickBot="1" x14ac:dyDescent="0.3">
      <c r="A22" s="970" t="s">
        <v>1617</v>
      </c>
      <c r="B22" s="970" t="s">
        <v>1618</v>
      </c>
      <c r="C22" s="968" t="s">
        <v>1686</v>
      </c>
      <c r="D22" s="981" t="s">
        <v>1687</v>
      </c>
      <c r="E22" s="978" t="s">
        <v>1688</v>
      </c>
      <c r="F22" s="979" t="s">
        <v>1622</v>
      </c>
      <c r="G22" s="979" t="s">
        <v>1622</v>
      </c>
      <c r="H22" s="979" t="s">
        <v>1659</v>
      </c>
      <c r="I22" s="980" t="s">
        <v>2423</v>
      </c>
    </row>
    <row r="23" spans="1:10" ht="50.5" thickBot="1" x14ac:dyDescent="0.3">
      <c r="A23" s="970" t="s">
        <v>1617</v>
      </c>
      <c r="B23" s="970" t="s">
        <v>1618</v>
      </c>
      <c r="C23" s="968" t="s">
        <v>1689</v>
      </c>
      <c r="D23" s="977" t="s">
        <v>1690</v>
      </c>
      <c r="E23" s="978" t="s">
        <v>1691</v>
      </c>
      <c r="F23" s="979" t="s">
        <v>1622</v>
      </c>
      <c r="G23" s="979" t="s">
        <v>1622</v>
      </c>
      <c r="H23" s="980" t="s">
        <v>1692</v>
      </c>
      <c r="I23" s="988">
        <f>('03 - Monthly Asset Follow up'!P17+'03 - Monthly Asset Follow up'!AV17)/('16 - Simplified Balance Sheet'!K13+'16 - Simplified Balance Sheet'!K15)</f>
        <v>1.0000042034176755</v>
      </c>
    </row>
    <row r="24" spans="1:10" ht="75.5" thickBot="1" x14ac:dyDescent="0.3">
      <c r="A24" s="970" t="s">
        <v>1617</v>
      </c>
      <c r="B24" s="970" t="s">
        <v>1618</v>
      </c>
      <c r="C24" s="968" t="s">
        <v>1693</v>
      </c>
      <c r="D24" s="977" t="s">
        <v>1694</v>
      </c>
      <c r="E24" s="978" t="s">
        <v>1695</v>
      </c>
      <c r="F24" s="979" t="s">
        <v>1622</v>
      </c>
      <c r="G24" s="979" t="s">
        <v>1622</v>
      </c>
      <c r="H24" s="980" t="s">
        <v>1692</v>
      </c>
      <c r="I24" s="1003">
        <f>100*(1-((1-SUM('04 - Monthly Collection'!G13/('03 - Monthly Asset Follow up'!C17+'03 - Monthly Asset Follow up'!R17+'03 - Monthly Asset Follow up'!BC17)))^12))</f>
        <v>1.1275121720593417</v>
      </c>
    </row>
    <row r="25" spans="1:10" ht="38" thickBot="1" x14ac:dyDescent="0.3">
      <c r="A25" s="970" t="s">
        <v>1617</v>
      </c>
      <c r="B25" s="970" t="s">
        <v>1618</v>
      </c>
      <c r="C25" s="968" t="s">
        <v>1696</v>
      </c>
      <c r="D25" s="977" t="s">
        <v>1697</v>
      </c>
      <c r="E25" s="978" t="s">
        <v>1698</v>
      </c>
      <c r="F25" s="979" t="s">
        <v>1622</v>
      </c>
      <c r="G25" s="979" t="s">
        <v>1622</v>
      </c>
      <c r="H25" s="980" t="s">
        <v>1670</v>
      </c>
      <c r="I25" s="980" t="s">
        <v>2478</v>
      </c>
    </row>
    <row r="26" spans="1:10" ht="50.5" thickBot="1" x14ac:dyDescent="0.3">
      <c r="A26" s="970" t="s">
        <v>1617</v>
      </c>
      <c r="B26" s="970" t="s">
        <v>1618</v>
      </c>
      <c r="C26" s="968" t="s">
        <v>1699</v>
      </c>
      <c r="D26" s="977" t="s">
        <v>1700</v>
      </c>
      <c r="E26" s="978" t="s">
        <v>1701</v>
      </c>
      <c r="F26" s="979" t="s">
        <v>1622</v>
      </c>
      <c r="G26" s="979" t="s">
        <v>1622</v>
      </c>
      <c r="H26" s="980" t="s">
        <v>1670</v>
      </c>
      <c r="I26" s="980" t="s">
        <v>2478</v>
      </c>
      <c r="J26" s="1001"/>
    </row>
    <row r="27" spans="1:10" ht="50.5" thickBot="1" x14ac:dyDescent="0.3">
      <c r="A27" s="970" t="s">
        <v>1617</v>
      </c>
      <c r="B27" s="970" t="s">
        <v>1618</v>
      </c>
      <c r="C27" s="968" t="s">
        <v>1702</v>
      </c>
      <c r="D27" s="977" t="s">
        <v>1703</v>
      </c>
      <c r="E27" s="978" t="s">
        <v>1704</v>
      </c>
      <c r="F27" s="979" t="s">
        <v>1666</v>
      </c>
      <c r="G27" s="979" t="s">
        <v>1666</v>
      </c>
      <c r="H27" s="980" t="s">
        <v>1670</v>
      </c>
      <c r="I27" s="980" t="str">
        <f>TEXT('03 - Monthly Asset Follow up'!M17+'03 - Monthly Asset Follow up'!AM17+'03 - Monthly Asset Follow up'!CL17,"### ###0,00")&amp;" EUR"</f>
        <v>0,00 EUR</v>
      </c>
      <c r="J27" s="1001"/>
    </row>
    <row r="28" spans="1:10" ht="88" thickBot="1" x14ac:dyDescent="0.3">
      <c r="A28" s="970" t="s">
        <v>1617</v>
      </c>
      <c r="B28" s="970" t="s">
        <v>1618</v>
      </c>
      <c r="C28" s="968" t="s">
        <v>1705</v>
      </c>
      <c r="D28" s="977" t="s">
        <v>1706</v>
      </c>
      <c r="E28" s="978" t="s">
        <v>1707</v>
      </c>
      <c r="F28" s="979" t="s">
        <v>1622</v>
      </c>
      <c r="G28" s="979" t="s">
        <v>1622</v>
      </c>
      <c r="H28" s="980" t="s">
        <v>1670</v>
      </c>
      <c r="I28" s="980" t="s">
        <v>2478</v>
      </c>
      <c r="J28" s="1000"/>
    </row>
    <row r="29" spans="1:10" ht="75.5" thickBot="1" x14ac:dyDescent="0.3">
      <c r="A29" s="970" t="s">
        <v>1617</v>
      </c>
      <c r="B29" s="970" t="s">
        <v>1618</v>
      </c>
      <c r="C29" s="968" t="s">
        <v>1708</v>
      </c>
      <c r="D29" s="977" t="s">
        <v>1709</v>
      </c>
      <c r="E29" s="978" t="s">
        <v>1710</v>
      </c>
      <c r="F29" s="979" t="s">
        <v>1622</v>
      </c>
      <c r="G29" s="979" t="s">
        <v>1622</v>
      </c>
      <c r="H29" s="980" t="s">
        <v>1692</v>
      </c>
      <c r="I29" s="1005">
        <f>100*(1-((1-(('03 - Monthly Asset Follow up'!BO17+'03 - Monthly Asset Follow up'!CU17)/'16 - Simplified Balance Sheet'!F14))^12))</f>
        <v>0</v>
      </c>
      <c r="J29" s="1002"/>
    </row>
    <row r="30" spans="1:10" ht="50.5" thickBot="1" x14ac:dyDescent="0.3">
      <c r="A30" s="970" t="s">
        <v>1617</v>
      </c>
      <c r="B30" s="970" t="s">
        <v>1618</v>
      </c>
      <c r="C30" s="968" t="s">
        <v>1711</v>
      </c>
      <c r="D30" s="977" t="s">
        <v>1712</v>
      </c>
      <c r="E30" s="978" t="s">
        <v>1713</v>
      </c>
      <c r="F30" s="979" t="s">
        <v>1622</v>
      </c>
      <c r="G30" s="979" t="s">
        <v>1622</v>
      </c>
      <c r="H30" s="980" t="s">
        <v>1670</v>
      </c>
      <c r="I30" s="980" t="str">
        <f>TEXT('03 - Monthly Asset Follow up'!BO17+'03 - Monthly Asset Follow up'!CU17,"### ###0,00")&amp;" EUR"</f>
        <v>0,00 EUR</v>
      </c>
    </row>
    <row r="31" spans="1:10" ht="50.5" thickBot="1" x14ac:dyDescent="0.3">
      <c r="A31" s="970" t="s">
        <v>1617</v>
      </c>
      <c r="B31" s="970" t="s">
        <v>1618</v>
      </c>
      <c r="C31" s="968" t="s">
        <v>1714</v>
      </c>
      <c r="D31" s="977" t="s">
        <v>1715</v>
      </c>
      <c r="E31" s="978" t="s">
        <v>1716</v>
      </c>
      <c r="F31" s="979" t="s">
        <v>1666</v>
      </c>
      <c r="G31" s="979" t="s">
        <v>1666</v>
      </c>
      <c r="H31" s="980" t="s">
        <v>1670</v>
      </c>
      <c r="I31" s="980" t="s">
        <v>2424</v>
      </c>
    </row>
    <row r="32" spans="1:10" ht="75.5" thickBot="1" x14ac:dyDescent="0.3">
      <c r="A32" s="970" t="s">
        <v>1617</v>
      </c>
      <c r="B32" s="970" t="s">
        <v>1618</v>
      </c>
      <c r="C32" s="968" t="s">
        <v>1717</v>
      </c>
      <c r="D32" s="977" t="s">
        <v>1718</v>
      </c>
      <c r="E32" s="978" t="s">
        <v>1719</v>
      </c>
      <c r="F32" s="979" t="s">
        <v>1622</v>
      </c>
      <c r="G32" s="979" t="s">
        <v>1666</v>
      </c>
      <c r="H32" s="980" t="s">
        <v>1649</v>
      </c>
      <c r="I32" s="980" t="s">
        <v>2424</v>
      </c>
    </row>
    <row r="33" spans="1:38" ht="38" thickBot="1" x14ac:dyDescent="0.3">
      <c r="A33" s="970" t="s">
        <v>1617</v>
      </c>
      <c r="B33" s="970" t="s">
        <v>1618</v>
      </c>
      <c r="C33" s="968" t="s">
        <v>1720</v>
      </c>
      <c r="D33" s="977" t="s">
        <v>1721</v>
      </c>
      <c r="E33" s="978" t="s">
        <v>1722</v>
      </c>
      <c r="F33" s="979" t="s">
        <v>1622</v>
      </c>
      <c r="G33" s="979" t="s">
        <v>1666</v>
      </c>
      <c r="H33" s="980" t="s">
        <v>1692</v>
      </c>
      <c r="I33" s="980" t="s">
        <v>2424</v>
      </c>
    </row>
    <row r="34" spans="1:38" ht="38" thickBot="1" x14ac:dyDescent="0.3">
      <c r="A34" s="970" t="s">
        <v>1617</v>
      </c>
      <c r="B34" s="970" t="s">
        <v>1618</v>
      </c>
      <c r="C34" s="968" t="s">
        <v>1723</v>
      </c>
      <c r="D34" s="977" t="s">
        <v>1724</v>
      </c>
      <c r="E34" s="978" t="s">
        <v>1725</v>
      </c>
      <c r="F34" s="979" t="s">
        <v>1622</v>
      </c>
      <c r="G34" s="979" t="s">
        <v>1666</v>
      </c>
      <c r="H34" s="980" t="s">
        <v>1692</v>
      </c>
      <c r="I34" s="980" t="s">
        <v>2424</v>
      </c>
    </row>
    <row r="35" spans="1:38" ht="38" thickBot="1" x14ac:dyDescent="0.3">
      <c r="A35" s="970" t="s">
        <v>1617</v>
      </c>
      <c r="B35" s="970" t="s">
        <v>1618</v>
      </c>
      <c r="C35" s="968" t="s">
        <v>1726</v>
      </c>
      <c r="D35" s="977" t="s">
        <v>1727</v>
      </c>
      <c r="E35" s="978" t="s">
        <v>1728</v>
      </c>
      <c r="F35" s="979" t="s">
        <v>1622</v>
      </c>
      <c r="G35" s="979" t="s">
        <v>1666</v>
      </c>
      <c r="H35" s="980" t="s">
        <v>1692</v>
      </c>
      <c r="I35" s="980" t="s">
        <v>2424</v>
      </c>
    </row>
    <row r="36" spans="1:38" ht="38" thickBot="1" x14ac:dyDescent="0.3">
      <c r="A36" s="970" t="s">
        <v>1617</v>
      </c>
      <c r="B36" s="970" t="s">
        <v>1618</v>
      </c>
      <c r="C36" s="968" t="s">
        <v>1729</v>
      </c>
      <c r="D36" s="977" t="s">
        <v>1730</v>
      </c>
      <c r="E36" s="978" t="s">
        <v>1731</v>
      </c>
      <c r="F36" s="979" t="s">
        <v>1622</v>
      </c>
      <c r="G36" s="979" t="s">
        <v>1666</v>
      </c>
      <c r="H36" s="980" t="s">
        <v>1692</v>
      </c>
      <c r="I36" s="980" t="s">
        <v>2424</v>
      </c>
    </row>
    <row r="37" spans="1:38" ht="38" thickBot="1" x14ac:dyDescent="0.3">
      <c r="A37" s="970" t="s">
        <v>1617</v>
      </c>
      <c r="B37" s="970" t="s">
        <v>1618</v>
      </c>
      <c r="C37" s="968" t="s">
        <v>1732</v>
      </c>
      <c r="D37" s="977" t="s">
        <v>1733</v>
      </c>
      <c r="E37" s="978" t="s">
        <v>1734</v>
      </c>
      <c r="F37" s="979" t="s">
        <v>1622</v>
      </c>
      <c r="G37" s="979" t="s">
        <v>1666</v>
      </c>
      <c r="H37" s="980" t="s">
        <v>1692</v>
      </c>
      <c r="I37" s="980" t="s">
        <v>2424</v>
      </c>
    </row>
    <row r="38" spans="1:38" ht="38" thickBot="1" x14ac:dyDescent="0.3">
      <c r="A38" s="970" t="s">
        <v>1617</v>
      </c>
      <c r="B38" s="970" t="s">
        <v>1618</v>
      </c>
      <c r="C38" s="968" t="s">
        <v>1735</v>
      </c>
      <c r="D38" s="977" t="s">
        <v>1736</v>
      </c>
      <c r="E38" s="978" t="s">
        <v>1737</v>
      </c>
      <c r="F38" s="979" t="s">
        <v>1622</v>
      </c>
      <c r="G38" s="979" t="s">
        <v>1666</v>
      </c>
      <c r="H38" s="980" t="s">
        <v>1692</v>
      </c>
      <c r="I38" s="980" t="s">
        <v>2424</v>
      </c>
    </row>
    <row r="39" spans="1:38" ht="38" thickBot="1" x14ac:dyDescent="0.3">
      <c r="A39" s="970" t="s">
        <v>1617</v>
      </c>
      <c r="B39" s="970" t="s">
        <v>1618</v>
      </c>
      <c r="C39" s="968" t="s">
        <v>1738</v>
      </c>
      <c r="D39" s="977" t="s">
        <v>1739</v>
      </c>
      <c r="E39" s="978" t="s">
        <v>1740</v>
      </c>
      <c r="F39" s="979" t="s">
        <v>1622</v>
      </c>
      <c r="G39" s="979" t="s">
        <v>1666</v>
      </c>
      <c r="H39" s="980" t="s">
        <v>1692</v>
      </c>
      <c r="I39" s="980" t="s">
        <v>2424</v>
      </c>
    </row>
    <row r="40" spans="1:38" ht="50.5" thickBot="1" x14ac:dyDescent="0.3">
      <c r="A40" s="970" t="s">
        <v>1617</v>
      </c>
      <c r="B40" s="970" t="s">
        <v>1618</v>
      </c>
      <c r="C40" s="968" t="s">
        <v>1741</v>
      </c>
      <c r="D40" s="977" t="s">
        <v>1742</v>
      </c>
      <c r="E40" s="978" t="s">
        <v>1743</v>
      </c>
      <c r="F40" s="979" t="s">
        <v>1622</v>
      </c>
      <c r="G40" s="979" t="s">
        <v>1622</v>
      </c>
      <c r="H40" s="980" t="s">
        <v>1692</v>
      </c>
      <c r="I40" s="1003">
        <f>'08 - Delinquent Home Loans Stat'!E12/'16 - Simplified Balance Sheet'!F14</f>
        <v>3.1306369012365437E-3</v>
      </c>
      <c r="J40" s="5"/>
    </row>
    <row r="41" spans="1:38" ht="50.5" thickBot="1" x14ac:dyDescent="0.3">
      <c r="A41" s="970" t="s">
        <v>1617</v>
      </c>
      <c r="B41" s="970" t="s">
        <v>1618</v>
      </c>
      <c r="C41" s="968" t="s">
        <v>1744</v>
      </c>
      <c r="D41" s="977" t="s">
        <v>1745</v>
      </c>
      <c r="E41" s="978" t="s">
        <v>1746</v>
      </c>
      <c r="F41" s="979" t="s">
        <v>1622</v>
      </c>
      <c r="G41" s="979" t="s">
        <v>1622</v>
      </c>
      <c r="H41" s="980" t="s">
        <v>1692</v>
      </c>
      <c r="I41" s="1003">
        <f>'08 - Delinquent Home Loans Stat'!G12/'16 - Simplified Balance Sheet'!F14</f>
        <v>1.7904454066423149E-4</v>
      </c>
    </row>
    <row r="42" spans="1:38" ht="50.5" thickBot="1" x14ac:dyDescent="0.3">
      <c r="A42" s="970" t="s">
        <v>1617</v>
      </c>
      <c r="B42" s="970" t="s">
        <v>1618</v>
      </c>
      <c r="C42" s="968" t="s">
        <v>1747</v>
      </c>
      <c r="D42" s="977" t="s">
        <v>1748</v>
      </c>
      <c r="E42" s="978" t="s">
        <v>1749</v>
      </c>
      <c r="F42" s="979" t="s">
        <v>1622</v>
      </c>
      <c r="G42" s="979" t="s">
        <v>1622</v>
      </c>
      <c r="H42" s="980" t="s">
        <v>1692</v>
      </c>
      <c r="I42" s="1003">
        <f>'08 - Delinquent Home Loans Stat'!I12/'16 - Simplified Balance Sheet'!F14</f>
        <v>0</v>
      </c>
    </row>
    <row r="43" spans="1:38" ht="50.5" thickBot="1" x14ac:dyDescent="0.3">
      <c r="A43" s="970" t="s">
        <v>1617</v>
      </c>
      <c r="B43" s="970" t="s">
        <v>1618</v>
      </c>
      <c r="C43" s="968" t="s">
        <v>1750</v>
      </c>
      <c r="D43" s="977" t="s">
        <v>1751</v>
      </c>
      <c r="E43" s="978" t="s">
        <v>1752</v>
      </c>
      <c r="F43" s="979" t="s">
        <v>1622</v>
      </c>
      <c r="G43" s="979" t="s">
        <v>1622</v>
      </c>
      <c r="H43" s="980" t="s">
        <v>1692</v>
      </c>
      <c r="I43" s="1003">
        <f>157622.94/'16 - Simplified Balance Sheet'!F14</f>
        <v>2.2472882615120487E-4</v>
      </c>
    </row>
    <row r="44" spans="1:38" ht="50.5" thickBot="1" x14ac:dyDescent="0.3">
      <c r="A44" s="970" t="s">
        <v>1617</v>
      </c>
      <c r="B44" s="970" t="s">
        <v>1618</v>
      </c>
      <c r="C44" s="968" t="s">
        <v>1753</v>
      </c>
      <c r="D44" s="977" t="s">
        <v>1754</v>
      </c>
      <c r="E44" s="978" t="s">
        <v>1755</v>
      </c>
      <c r="F44" s="979" t="s">
        <v>1622</v>
      </c>
      <c r="G44" s="979" t="s">
        <v>1622</v>
      </c>
      <c r="H44" s="980" t="s">
        <v>1692</v>
      </c>
      <c r="I44" s="1003">
        <v>0</v>
      </c>
    </row>
    <row r="45" spans="1:38" ht="50.5" thickBot="1" x14ac:dyDescent="0.3">
      <c r="A45" s="970" t="s">
        <v>1617</v>
      </c>
      <c r="B45" s="970" t="s">
        <v>1618</v>
      </c>
      <c r="C45" s="968" t="s">
        <v>1756</v>
      </c>
      <c r="D45" s="977" t="s">
        <v>1757</v>
      </c>
      <c r="E45" s="978" t="s">
        <v>1758</v>
      </c>
      <c r="F45" s="979" t="s">
        <v>1622</v>
      </c>
      <c r="G45" s="979" t="s">
        <v>1622</v>
      </c>
      <c r="H45" s="980" t="s">
        <v>1692</v>
      </c>
      <c r="I45" s="1003">
        <v>0</v>
      </c>
    </row>
    <row r="46" spans="1:38" ht="50.5" thickBot="1" x14ac:dyDescent="0.3">
      <c r="A46" s="970" t="s">
        <v>1617</v>
      </c>
      <c r="B46" s="970" t="s">
        <v>1618</v>
      </c>
      <c r="C46" s="968" t="s">
        <v>1759</v>
      </c>
      <c r="D46" s="977" t="s">
        <v>1760</v>
      </c>
      <c r="E46" s="978" t="s">
        <v>1761</v>
      </c>
      <c r="F46" s="979" t="s">
        <v>1622</v>
      </c>
      <c r="G46" s="979" t="s">
        <v>1622</v>
      </c>
      <c r="H46" s="980" t="s">
        <v>1692</v>
      </c>
      <c r="I46" s="1003">
        <v>0</v>
      </c>
    </row>
    <row r="47" spans="1:38" ht="26.5" thickBot="1" x14ac:dyDescent="0.3">
      <c r="A47" s="970" t="s">
        <v>1617</v>
      </c>
      <c r="B47" s="970" t="s">
        <v>1762</v>
      </c>
      <c r="C47" s="971" t="s">
        <v>1762</v>
      </c>
      <c r="D47" s="972"/>
      <c r="E47" s="973"/>
      <c r="F47" s="974" t="s">
        <v>657</v>
      </c>
      <c r="G47" s="974" t="s">
        <v>657</v>
      </c>
      <c r="H47" s="975"/>
      <c r="I47" s="976"/>
    </row>
    <row r="48" spans="1:38" ht="26.5" thickBot="1" x14ac:dyDescent="0.3">
      <c r="A48" s="970" t="s">
        <v>1617</v>
      </c>
      <c r="B48" s="970" t="s">
        <v>1762</v>
      </c>
      <c r="C48" s="968" t="s">
        <v>1763</v>
      </c>
      <c r="D48" s="977" t="s">
        <v>1620</v>
      </c>
      <c r="E48" s="978" t="s">
        <v>1764</v>
      </c>
      <c r="F48" s="979" t="s">
        <v>1622</v>
      </c>
      <c r="G48" s="979" t="s">
        <v>1622</v>
      </c>
      <c r="H48" s="980" t="s">
        <v>1623</v>
      </c>
      <c r="I48" s="987" t="str">
        <f>$I$3</f>
        <v>969500Z05GRNU3KPEY94</v>
      </c>
      <c r="J48" s="987" t="str">
        <f t="shared" ref="J48:AL48" si="0">$I$3</f>
        <v>969500Z05GRNU3KPEY94</v>
      </c>
      <c r="K48" s="987" t="str">
        <f t="shared" si="0"/>
        <v>969500Z05GRNU3KPEY94</v>
      </c>
      <c r="L48" s="987" t="str">
        <f t="shared" si="0"/>
        <v>969500Z05GRNU3KPEY94</v>
      </c>
      <c r="M48" s="987" t="str">
        <f t="shared" si="0"/>
        <v>969500Z05GRNU3KPEY94</v>
      </c>
      <c r="N48" s="987" t="str">
        <f t="shared" si="0"/>
        <v>969500Z05GRNU3KPEY94</v>
      </c>
      <c r="O48" s="987" t="str">
        <f t="shared" si="0"/>
        <v>969500Z05GRNU3KPEY94</v>
      </c>
      <c r="P48" s="987" t="str">
        <f t="shared" si="0"/>
        <v>969500Z05GRNU3KPEY94</v>
      </c>
      <c r="Q48" s="987" t="str">
        <f t="shared" si="0"/>
        <v>969500Z05GRNU3KPEY94</v>
      </c>
      <c r="R48" s="987" t="str">
        <f t="shared" si="0"/>
        <v>969500Z05GRNU3KPEY94</v>
      </c>
      <c r="S48" s="987" t="str">
        <f t="shared" si="0"/>
        <v>969500Z05GRNU3KPEY94</v>
      </c>
      <c r="T48" s="987" t="str">
        <f t="shared" si="0"/>
        <v>969500Z05GRNU3KPEY94</v>
      </c>
      <c r="U48" s="987" t="str">
        <f t="shared" si="0"/>
        <v>969500Z05GRNU3KPEY94</v>
      </c>
      <c r="V48" s="987" t="str">
        <f t="shared" si="0"/>
        <v>969500Z05GRNU3KPEY94</v>
      </c>
      <c r="W48" s="987" t="str">
        <f t="shared" si="0"/>
        <v>969500Z05GRNU3KPEY94</v>
      </c>
      <c r="X48" s="987" t="str">
        <f t="shared" si="0"/>
        <v>969500Z05GRNU3KPEY94</v>
      </c>
      <c r="Y48" s="987" t="str">
        <f t="shared" si="0"/>
        <v>969500Z05GRNU3KPEY94</v>
      </c>
      <c r="Z48" s="987" t="str">
        <f t="shared" si="0"/>
        <v>969500Z05GRNU3KPEY94</v>
      </c>
      <c r="AA48" s="987" t="str">
        <f t="shared" si="0"/>
        <v>969500Z05GRNU3KPEY94</v>
      </c>
      <c r="AB48" s="987" t="str">
        <f t="shared" si="0"/>
        <v>969500Z05GRNU3KPEY94</v>
      </c>
      <c r="AC48" s="987" t="str">
        <f t="shared" si="0"/>
        <v>969500Z05GRNU3KPEY94</v>
      </c>
      <c r="AD48" s="987" t="str">
        <f t="shared" si="0"/>
        <v>969500Z05GRNU3KPEY94</v>
      </c>
      <c r="AE48" s="987" t="str">
        <f t="shared" si="0"/>
        <v>969500Z05GRNU3KPEY94</v>
      </c>
      <c r="AF48" s="987" t="str">
        <f t="shared" si="0"/>
        <v>969500Z05GRNU3KPEY94</v>
      </c>
      <c r="AG48" s="987" t="str">
        <f t="shared" si="0"/>
        <v>969500Z05GRNU3KPEY94</v>
      </c>
      <c r="AH48" s="987" t="str">
        <f t="shared" si="0"/>
        <v>969500Z05GRNU3KPEY94</v>
      </c>
      <c r="AI48" s="987" t="str">
        <f t="shared" si="0"/>
        <v>969500Z05GRNU3KPEY94</v>
      </c>
      <c r="AJ48" s="987" t="str">
        <f t="shared" si="0"/>
        <v>969500Z05GRNU3KPEY94</v>
      </c>
      <c r="AK48" s="987" t="str">
        <f t="shared" si="0"/>
        <v>969500Z05GRNU3KPEY94</v>
      </c>
      <c r="AL48" s="987" t="str">
        <f t="shared" si="0"/>
        <v>969500Z05GRNU3KPEY94</v>
      </c>
    </row>
    <row r="49" spans="1:41" ht="38" thickBot="1" x14ac:dyDescent="0.3">
      <c r="A49" s="970" t="s">
        <v>1617</v>
      </c>
      <c r="B49" s="970" t="s">
        <v>1762</v>
      </c>
      <c r="C49" s="968" t="s">
        <v>1765</v>
      </c>
      <c r="D49" s="977" t="s">
        <v>1766</v>
      </c>
      <c r="E49" s="978" t="s">
        <v>1767</v>
      </c>
      <c r="F49" s="979" t="s">
        <v>1622</v>
      </c>
      <c r="G49" s="979" t="s">
        <v>1622</v>
      </c>
      <c r="H49" s="980" t="s">
        <v>1768</v>
      </c>
      <c r="I49" s="980" t="s">
        <v>2448</v>
      </c>
      <c r="J49" s="980" t="s">
        <v>2449</v>
      </c>
      <c r="K49" s="980" t="s">
        <v>2450</v>
      </c>
      <c r="L49" s="980" t="s">
        <v>2451</v>
      </c>
      <c r="M49" s="980" t="s">
        <v>2452</v>
      </c>
      <c r="N49" s="980" t="s">
        <v>2453</v>
      </c>
      <c r="O49" s="980" t="s">
        <v>2454</v>
      </c>
      <c r="P49" s="980" t="s">
        <v>2455</v>
      </c>
      <c r="Q49" s="980" t="s">
        <v>2456</v>
      </c>
      <c r="R49" s="980" t="s">
        <v>2457</v>
      </c>
      <c r="S49" s="980" t="s">
        <v>2458</v>
      </c>
      <c r="T49" s="980" t="s">
        <v>2459</v>
      </c>
      <c r="U49" s="980" t="s">
        <v>2460</v>
      </c>
      <c r="V49" s="980" t="s">
        <v>2461</v>
      </c>
      <c r="W49" s="997" t="s">
        <v>2466</v>
      </c>
      <c r="X49" s="997" t="s">
        <v>2467</v>
      </c>
      <c r="Y49" s="997" t="s">
        <v>2468</v>
      </c>
      <c r="Z49" s="997" t="s">
        <v>2469</v>
      </c>
      <c r="AA49" s="997" t="s">
        <v>2462</v>
      </c>
      <c r="AB49" s="997" t="s">
        <v>2463</v>
      </c>
      <c r="AC49" s="997" t="s">
        <v>2464</v>
      </c>
      <c r="AD49" s="997" t="s">
        <v>2465</v>
      </c>
      <c r="AE49" s="997" t="s">
        <v>2470</v>
      </c>
      <c r="AF49" s="997" t="s">
        <v>2471</v>
      </c>
      <c r="AG49" s="997" t="s">
        <v>2472</v>
      </c>
      <c r="AH49" s="997" t="s">
        <v>2473</v>
      </c>
      <c r="AI49" s="997" t="s">
        <v>2474</v>
      </c>
      <c r="AJ49" s="997" t="s">
        <v>2475</v>
      </c>
      <c r="AK49" s="997" t="s">
        <v>2476</v>
      </c>
      <c r="AL49" s="997" t="s">
        <v>2477</v>
      </c>
    </row>
    <row r="50" spans="1:41" ht="38" thickBot="1" x14ac:dyDescent="0.3">
      <c r="A50" s="970" t="s">
        <v>1617</v>
      </c>
      <c r="B50" s="970" t="s">
        <v>1762</v>
      </c>
      <c r="C50" s="968" t="s">
        <v>1769</v>
      </c>
      <c r="D50" s="977" t="s">
        <v>1770</v>
      </c>
      <c r="E50" s="978" t="s">
        <v>1771</v>
      </c>
      <c r="F50" s="979" t="s">
        <v>1622</v>
      </c>
      <c r="G50" s="979" t="s">
        <v>1622</v>
      </c>
      <c r="H50" s="980" t="s">
        <v>1768</v>
      </c>
      <c r="I50" s="980" t="str">
        <f>I49</f>
        <v>Issuer_Liquidation_Event1</v>
      </c>
      <c r="J50" s="980" t="str">
        <f t="shared" ref="J50:M50" si="1">J49</f>
        <v>Issuer_Liquidation_Event2</v>
      </c>
      <c r="K50" s="980" t="str">
        <f t="shared" si="1"/>
        <v>Issuer_Liquidation_Event3</v>
      </c>
      <c r="L50" s="980" t="str">
        <f t="shared" si="1"/>
        <v>Issuer_Liquidation_Event4</v>
      </c>
      <c r="M50" s="980" t="str">
        <f t="shared" si="1"/>
        <v>Issuer_Liquidation_Event5</v>
      </c>
      <c r="N50" s="980" t="str">
        <f t="shared" ref="N50" si="2">N49</f>
        <v>Accelerated_Redemption_Event_1</v>
      </c>
      <c r="O50" s="980" t="str">
        <f t="shared" ref="O50" si="3">O49</f>
        <v>Accelerated_Redemption_Event_2</v>
      </c>
      <c r="P50" s="980" t="str">
        <f t="shared" ref="P50" si="4">P49</f>
        <v>Servicer_Termination_Event1</v>
      </c>
      <c r="Q50" s="980" t="str">
        <f t="shared" ref="Q50" si="5">Q49</f>
        <v>Servicer_Termination_Event2</v>
      </c>
      <c r="R50" s="980" t="str">
        <f t="shared" ref="R50" si="6">R49</f>
        <v>Servicer_Termination_Event3</v>
      </c>
      <c r="S50" s="980" t="str">
        <f t="shared" ref="S50" si="7">S49</f>
        <v>Servicer_Termination_Event4</v>
      </c>
      <c r="T50" s="980" t="str">
        <f t="shared" ref="T50" si="8">T49</f>
        <v>Servicer_Termination_Event5</v>
      </c>
      <c r="U50" s="980" t="str">
        <f t="shared" ref="U50" si="9">U49</f>
        <v>Servicer_Termination_Event6</v>
      </c>
      <c r="V50" s="980" t="str">
        <f t="shared" ref="V50" si="10">V49</f>
        <v>Servicer_Termination_Event7</v>
      </c>
      <c r="W50" s="980" t="str">
        <f t="shared" ref="W50" si="11">W49</f>
        <v>Custodian_Termination_Event1</v>
      </c>
      <c r="X50" s="980" t="str">
        <f t="shared" ref="X50" si="12">X49</f>
        <v>Custodian_Termination_Event2</v>
      </c>
      <c r="Y50" s="980" t="str">
        <f t="shared" ref="Y50" si="13">Y49</f>
        <v>Custodian_Termination_Event3</v>
      </c>
      <c r="Z50" s="980" t="str">
        <f t="shared" ref="Z50" si="14">Z49</f>
        <v>Custodian_Termination_Event4</v>
      </c>
      <c r="AA50" s="980" t="str">
        <f t="shared" ref="AA50" si="15">AA49</f>
        <v>Management_Termination_Event1</v>
      </c>
      <c r="AB50" s="980" t="str">
        <f t="shared" ref="AB50" si="16">AB49</f>
        <v>Management_Termination_Event2</v>
      </c>
      <c r="AC50" s="980" t="str">
        <f t="shared" ref="AC50" si="17">AC49</f>
        <v>Management_Termination_Event3</v>
      </c>
      <c r="AD50" s="980" t="str">
        <f t="shared" ref="AD50" si="18">AD49</f>
        <v>Management_Termination_Event4</v>
      </c>
      <c r="AE50" s="980" t="str">
        <f t="shared" ref="AE50" si="19">AE49</f>
        <v>Management_Termination_Event5</v>
      </c>
      <c r="AF50" s="980" t="str">
        <f t="shared" ref="AF50" si="20">AF49</f>
        <v>Management_Termination_Event6</v>
      </c>
      <c r="AG50" s="980" t="str">
        <f t="shared" ref="AG50" si="21">AG49</f>
        <v>Management_Termination_Event7</v>
      </c>
      <c r="AH50" s="980" t="str">
        <f t="shared" ref="AH50" si="22">AH49</f>
        <v>Account_Bank_Termination_Event1</v>
      </c>
      <c r="AI50" s="980" t="str">
        <f t="shared" ref="AI50" si="23">AI49</f>
        <v>Account_Bank_Termination_Event2</v>
      </c>
      <c r="AJ50" s="980" t="str">
        <f t="shared" ref="AJ50" si="24">AJ49</f>
        <v>Account_Bank_Termination_Event3</v>
      </c>
      <c r="AK50" s="980" t="str">
        <f t="shared" ref="AK50" si="25">AK49</f>
        <v>Account_Bank_Termination_Event4</v>
      </c>
      <c r="AL50" s="980" t="str">
        <f t="shared" ref="AL50" si="26">AL49</f>
        <v>Account_Bank_Termination_Event5</v>
      </c>
    </row>
    <row r="51" spans="1:41" ht="54" customHeight="1" thickBot="1" x14ac:dyDescent="0.3">
      <c r="A51" s="970" t="s">
        <v>1617</v>
      </c>
      <c r="B51" s="970" t="s">
        <v>1762</v>
      </c>
      <c r="C51" s="968" t="s">
        <v>1772</v>
      </c>
      <c r="D51" s="977" t="s">
        <v>1773</v>
      </c>
      <c r="E51" s="978" t="s">
        <v>1774</v>
      </c>
      <c r="F51" s="979" t="s">
        <v>1622</v>
      </c>
      <c r="G51" s="979" t="s">
        <v>1622</v>
      </c>
      <c r="H51" s="980" t="s">
        <v>1775</v>
      </c>
      <c r="I51" s="980" t="s">
        <v>752</v>
      </c>
      <c r="J51" s="980" t="s">
        <v>753</v>
      </c>
      <c r="K51" s="980" t="s">
        <v>754</v>
      </c>
      <c r="L51" s="980" t="s">
        <v>755</v>
      </c>
      <c r="M51" s="980" t="s">
        <v>756</v>
      </c>
      <c r="N51" s="980" t="s">
        <v>758</v>
      </c>
      <c r="O51" s="980" t="s">
        <v>759</v>
      </c>
      <c r="P51" s="980" t="s">
        <v>806</v>
      </c>
      <c r="Q51" s="980" t="s">
        <v>807</v>
      </c>
      <c r="R51" s="980" t="s">
        <v>808</v>
      </c>
      <c r="S51" s="980" t="s">
        <v>809</v>
      </c>
      <c r="T51" s="980" t="s">
        <v>810</v>
      </c>
      <c r="U51" s="980" t="s">
        <v>811</v>
      </c>
      <c r="V51" s="980" t="s">
        <v>812</v>
      </c>
      <c r="W51" s="980" t="s">
        <v>761</v>
      </c>
      <c r="X51" s="980" t="s">
        <v>762</v>
      </c>
      <c r="Y51" s="980" t="s">
        <v>763</v>
      </c>
      <c r="Z51" s="980" t="s">
        <v>764</v>
      </c>
      <c r="AA51" s="980" t="s">
        <v>766</v>
      </c>
      <c r="AB51" s="980" t="s">
        <v>767</v>
      </c>
      <c r="AC51" s="980" t="s">
        <v>768</v>
      </c>
      <c r="AD51" s="980" t="s">
        <v>769</v>
      </c>
      <c r="AE51" s="980" t="s">
        <v>770</v>
      </c>
      <c r="AF51" s="980" t="s">
        <v>771</v>
      </c>
      <c r="AG51" s="980" t="s">
        <v>772</v>
      </c>
      <c r="AH51" s="980" t="s">
        <v>814</v>
      </c>
      <c r="AI51" s="980" t="s">
        <v>815</v>
      </c>
      <c r="AJ51" s="980" t="s">
        <v>816</v>
      </c>
      <c r="AK51" s="980" t="s">
        <v>817</v>
      </c>
      <c r="AL51" s="980" t="s">
        <v>818</v>
      </c>
      <c r="AM51" s="26"/>
      <c r="AO51" s="26"/>
    </row>
    <row r="52" spans="1:41" ht="38" thickBot="1" x14ac:dyDescent="0.3">
      <c r="A52" s="970" t="s">
        <v>1617</v>
      </c>
      <c r="B52" s="970" t="s">
        <v>1762</v>
      </c>
      <c r="C52" s="968" t="s">
        <v>1776</v>
      </c>
      <c r="D52" s="977" t="s">
        <v>1777</v>
      </c>
      <c r="E52" s="978" t="s">
        <v>1778</v>
      </c>
      <c r="F52" s="979" t="s">
        <v>1622</v>
      </c>
      <c r="G52" s="979" t="s">
        <v>1666</v>
      </c>
      <c r="H52" s="980" t="s">
        <v>1779</v>
      </c>
      <c r="I52" s="980" t="s">
        <v>2424</v>
      </c>
      <c r="J52" s="980" t="s">
        <v>2424</v>
      </c>
      <c r="K52" s="980" t="s">
        <v>2424</v>
      </c>
      <c r="L52" s="980" t="s">
        <v>2424</v>
      </c>
      <c r="M52" s="980" t="s">
        <v>2424</v>
      </c>
      <c r="N52" s="980" t="s">
        <v>2424</v>
      </c>
      <c r="O52" s="980" t="s">
        <v>2424</v>
      </c>
      <c r="P52" s="980" t="s">
        <v>2424</v>
      </c>
      <c r="Q52" s="980" t="s">
        <v>2424</v>
      </c>
      <c r="R52" s="980" t="s">
        <v>2424</v>
      </c>
      <c r="S52" s="980" t="s">
        <v>2424</v>
      </c>
      <c r="T52" s="980" t="s">
        <v>2424</v>
      </c>
      <c r="U52" s="980" t="s">
        <v>2424</v>
      </c>
      <c r="V52" s="980" t="s">
        <v>2424</v>
      </c>
      <c r="W52" s="980" t="s">
        <v>2424</v>
      </c>
      <c r="X52" s="980" t="s">
        <v>2424</v>
      </c>
      <c r="Y52" s="980" t="s">
        <v>2424</v>
      </c>
      <c r="Z52" s="980" t="s">
        <v>2424</v>
      </c>
      <c r="AA52" s="980" t="s">
        <v>2424</v>
      </c>
      <c r="AB52" s="980" t="s">
        <v>2424</v>
      </c>
      <c r="AC52" s="980" t="s">
        <v>2424</v>
      </c>
      <c r="AD52" s="980" t="s">
        <v>2424</v>
      </c>
      <c r="AE52" s="980" t="s">
        <v>2424</v>
      </c>
      <c r="AF52" s="980" t="s">
        <v>2424</v>
      </c>
      <c r="AG52" s="980" t="s">
        <v>2424</v>
      </c>
      <c r="AH52" s="980" t="s">
        <v>2424</v>
      </c>
      <c r="AI52" s="980" t="s">
        <v>2424</v>
      </c>
      <c r="AJ52" s="980" t="s">
        <v>2424</v>
      </c>
      <c r="AK52" s="980" t="s">
        <v>2424</v>
      </c>
      <c r="AL52" s="980" t="s">
        <v>2424</v>
      </c>
      <c r="AM52" s="26"/>
      <c r="AO52" s="26"/>
    </row>
    <row r="53" spans="1:41" ht="50.5" thickBot="1" x14ac:dyDescent="0.3">
      <c r="A53" s="970" t="s">
        <v>1617</v>
      </c>
      <c r="B53" s="970" t="s">
        <v>1762</v>
      </c>
      <c r="C53" s="968" t="s">
        <v>1780</v>
      </c>
      <c r="D53" s="977" t="s">
        <v>1781</v>
      </c>
      <c r="E53" s="978" t="s">
        <v>1782</v>
      </c>
      <c r="F53" s="979" t="s">
        <v>1622</v>
      </c>
      <c r="G53" s="979" t="s">
        <v>1666</v>
      </c>
      <c r="H53" s="980" t="s">
        <v>1779</v>
      </c>
      <c r="I53" s="980" t="s">
        <v>2424</v>
      </c>
      <c r="J53" s="980" t="s">
        <v>2424</v>
      </c>
      <c r="K53" s="980" t="s">
        <v>2424</v>
      </c>
      <c r="L53" s="980" t="s">
        <v>2424</v>
      </c>
      <c r="M53" s="980" t="s">
        <v>2424</v>
      </c>
      <c r="N53" s="980" t="s">
        <v>2424</v>
      </c>
      <c r="O53" s="980" t="s">
        <v>2424</v>
      </c>
      <c r="P53" s="980" t="s">
        <v>2424</v>
      </c>
      <c r="Q53" s="980" t="s">
        <v>2424</v>
      </c>
      <c r="R53" s="980" t="s">
        <v>2424</v>
      </c>
      <c r="S53" s="980" t="s">
        <v>2424</v>
      </c>
      <c r="T53" s="980" t="s">
        <v>2424</v>
      </c>
      <c r="U53" s="980" t="s">
        <v>2424</v>
      </c>
      <c r="V53" s="980" t="s">
        <v>2424</v>
      </c>
      <c r="W53" s="980" t="s">
        <v>2424</v>
      </c>
      <c r="X53" s="980" t="s">
        <v>2424</v>
      </c>
      <c r="Y53" s="980" t="s">
        <v>2424</v>
      </c>
      <c r="Z53" s="980" t="s">
        <v>2424</v>
      </c>
      <c r="AA53" s="980" t="s">
        <v>2424</v>
      </c>
      <c r="AB53" s="980" t="s">
        <v>2424</v>
      </c>
      <c r="AC53" s="980" t="s">
        <v>2424</v>
      </c>
      <c r="AD53" s="980" t="s">
        <v>2424</v>
      </c>
      <c r="AE53" s="980" t="s">
        <v>2424</v>
      </c>
      <c r="AF53" s="980" t="s">
        <v>2424</v>
      </c>
      <c r="AG53" s="980" t="s">
        <v>2424</v>
      </c>
      <c r="AH53" s="980" t="s">
        <v>2424</v>
      </c>
      <c r="AI53" s="980" t="s">
        <v>2424</v>
      </c>
      <c r="AJ53" s="980" t="s">
        <v>2424</v>
      </c>
      <c r="AK53" s="980" t="s">
        <v>2424</v>
      </c>
      <c r="AL53" s="980" t="s">
        <v>2424</v>
      </c>
    </row>
    <row r="54" spans="1:41" ht="38" thickBot="1" x14ac:dyDescent="0.3">
      <c r="A54" s="970" t="s">
        <v>1617</v>
      </c>
      <c r="B54" s="970" t="s">
        <v>1762</v>
      </c>
      <c r="C54" s="968" t="s">
        <v>1783</v>
      </c>
      <c r="D54" s="977" t="s">
        <v>1784</v>
      </c>
      <c r="E54" s="978" t="s">
        <v>1785</v>
      </c>
      <c r="F54" s="979" t="s">
        <v>1622</v>
      </c>
      <c r="G54" s="979" t="s">
        <v>1622</v>
      </c>
      <c r="H54" s="980" t="s">
        <v>1659</v>
      </c>
      <c r="I54" s="980" t="s">
        <v>2423</v>
      </c>
      <c r="J54" s="980" t="s">
        <v>2423</v>
      </c>
      <c r="K54" s="980" t="s">
        <v>2423</v>
      </c>
      <c r="L54" s="980" t="s">
        <v>2423</v>
      </c>
      <c r="M54" s="980" t="s">
        <v>2423</v>
      </c>
      <c r="N54" s="980" t="s">
        <v>2423</v>
      </c>
      <c r="O54" s="980" t="s">
        <v>2423</v>
      </c>
      <c r="P54" s="980" t="s">
        <v>2423</v>
      </c>
      <c r="Q54" s="980" t="s">
        <v>2423</v>
      </c>
      <c r="R54" s="980" t="s">
        <v>2423</v>
      </c>
      <c r="S54" s="980" t="s">
        <v>2423</v>
      </c>
      <c r="T54" s="980" t="s">
        <v>2423</v>
      </c>
      <c r="U54" s="980" t="s">
        <v>2423</v>
      </c>
      <c r="V54" s="980" t="s">
        <v>2423</v>
      </c>
      <c r="W54" s="980" t="s">
        <v>2423</v>
      </c>
      <c r="X54" s="980" t="s">
        <v>2423</v>
      </c>
      <c r="Y54" s="980" t="s">
        <v>2423</v>
      </c>
      <c r="Z54" s="980" t="s">
        <v>2423</v>
      </c>
      <c r="AA54" s="980" t="s">
        <v>2423</v>
      </c>
      <c r="AB54" s="980" t="s">
        <v>2423</v>
      </c>
      <c r="AC54" s="980" t="s">
        <v>2423</v>
      </c>
      <c r="AD54" s="980" t="s">
        <v>2423</v>
      </c>
      <c r="AE54" s="980" t="s">
        <v>2423</v>
      </c>
      <c r="AF54" s="980" t="s">
        <v>2423</v>
      </c>
      <c r="AG54" s="980" t="s">
        <v>2423</v>
      </c>
      <c r="AH54" s="980" t="s">
        <v>2423</v>
      </c>
      <c r="AI54" s="980" t="s">
        <v>2423</v>
      </c>
      <c r="AJ54" s="980" t="s">
        <v>2423</v>
      </c>
      <c r="AK54" s="980" t="s">
        <v>2423</v>
      </c>
      <c r="AL54" s="980" t="s">
        <v>2423</v>
      </c>
    </row>
    <row r="55" spans="1:41" ht="26.5" thickBot="1" x14ac:dyDescent="0.3">
      <c r="A55" s="970" t="s">
        <v>1617</v>
      </c>
      <c r="B55" s="970" t="s">
        <v>1762</v>
      </c>
      <c r="C55" s="968" t="s">
        <v>1786</v>
      </c>
      <c r="D55" s="977" t="s">
        <v>1787</v>
      </c>
      <c r="E55" s="978" t="s">
        <v>1788</v>
      </c>
      <c r="F55" s="979" t="s">
        <v>1622</v>
      </c>
      <c r="G55" s="979" t="s">
        <v>1666</v>
      </c>
      <c r="H55" s="980" t="s">
        <v>1789</v>
      </c>
      <c r="I55" s="980" t="s">
        <v>2424</v>
      </c>
      <c r="J55" s="980" t="s">
        <v>2424</v>
      </c>
      <c r="K55" s="980" t="s">
        <v>2424</v>
      </c>
      <c r="L55" s="980" t="s">
        <v>2424</v>
      </c>
      <c r="M55" s="980" t="s">
        <v>2424</v>
      </c>
      <c r="N55" s="980" t="s">
        <v>2424</v>
      </c>
      <c r="O55" s="980" t="s">
        <v>2424</v>
      </c>
      <c r="P55" s="980" t="s">
        <v>2424</v>
      </c>
      <c r="Q55" s="980" t="s">
        <v>2424</v>
      </c>
      <c r="R55" s="980" t="s">
        <v>2424</v>
      </c>
      <c r="S55" s="980" t="s">
        <v>2424</v>
      </c>
      <c r="T55" s="980" t="s">
        <v>2424</v>
      </c>
      <c r="U55" s="980" t="s">
        <v>2424</v>
      </c>
      <c r="V55" s="980" t="s">
        <v>2424</v>
      </c>
      <c r="W55" s="980" t="s">
        <v>2424</v>
      </c>
      <c r="X55" s="980" t="s">
        <v>2424</v>
      </c>
      <c r="Y55" s="980" t="s">
        <v>2424</v>
      </c>
      <c r="Z55" s="980" t="s">
        <v>2424</v>
      </c>
      <c r="AA55" s="980" t="s">
        <v>2424</v>
      </c>
      <c r="AB55" s="980" t="s">
        <v>2424</v>
      </c>
      <c r="AC55" s="980" t="s">
        <v>2424</v>
      </c>
      <c r="AD55" s="980" t="s">
        <v>2424</v>
      </c>
      <c r="AE55" s="980" t="s">
        <v>2424</v>
      </c>
      <c r="AF55" s="980" t="s">
        <v>2424</v>
      </c>
      <c r="AG55" s="980" t="s">
        <v>2424</v>
      </c>
      <c r="AH55" s="980" t="s">
        <v>2424</v>
      </c>
      <c r="AI55" s="980" t="s">
        <v>2424</v>
      </c>
      <c r="AJ55" s="980" t="s">
        <v>2424</v>
      </c>
      <c r="AK55" s="980" t="s">
        <v>2424</v>
      </c>
      <c r="AL55" s="980" t="s">
        <v>2424</v>
      </c>
    </row>
    <row r="56" spans="1:41" ht="26.5" thickBot="1" x14ac:dyDescent="0.3">
      <c r="A56" s="970" t="s">
        <v>1617</v>
      </c>
      <c r="B56" s="970" t="s">
        <v>1762</v>
      </c>
      <c r="C56" s="968" t="s">
        <v>1790</v>
      </c>
      <c r="D56" s="977" t="s">
        <v>1791</v>
      </c>
      <c r="E56" s="978" t="s">
        <v>1792</v>
      </c>
      <c r="F56" s="979" t="s">
        <v>1622</v>
      </c>
      <c r="G56" s="979" t="s">
        <v>1666</v>
      </c>
      <c r="H56" s="980" t="s">
        <v>1789</v>
      </c>
      <c r="I56" s="980" t="s">
        <v>2424</v>
      </c>
      <c r="J56" s="980" t="s">
        <v>2424</v>
      </c>
      <c r="K56" s="980" t="s">
        <v>2424</v>
      </c>
      <c r="L56" s="980" t="s">
        <v>2424</v>
      </c>
      <c r="M56" s="980" t="s">
        <v>2424</v>
      </c>
      <c r="N56" s="980" t="s">
        <v>2424</v>
      </c>
      <c r="O56" s="980" t="s">
        <v>2424</v>
      </c>
      <c r="P56" s="980" t="s">
        <v>2424</v>
      </c>
      <c r="Q56" s="980" t="s">
        <v>2424</v>
      </c>
      <c r="R56" s="980" t="s">
        <v>2424</v>
      </c>
      <c r="S56" s="980" t="s">
        <v>2424</v>
      </c>
      <c r="T56" s="980" t="s">
        <v>2424</v>
      </c>
      <c r="U56" s="980" t="s">
        <v>2424</v>
      </c>
      <c r="V56" s="980" t="s">
        <v>2424</v>
      </c>
      <c r="W56" s="980" t="s">
        <v>2424</v>
      </c>
      <c r="X56" s="980" t="s">
        <v>2424</v>
      </c>
      <c r="Y56" s="980" t="s">
        <v>2424</v>
      </c>
      <c r="Z56" s="980" t="s">
        <v>2424</v>
      </c>
      <c r="AA56" s="980" t="s">
        <v>2424</v>
      </c>
      <c r="AB56" s="980" t="s">
        <v>2424</v>
      </c>
      <c r="AC56" s="980" t="s">
        <v>2424</v>
      </c>
      <c r="AD56" s="980" t="s">
        <v>2424</v>
      </c>
      <c r="AE56" s="980" t="s">
        <v>2424</v>
      </c>
      <c r="AF56" s="980" t="s">
        <v>2424</v>
      </c>
      <c r="AG56" s="980" t="s">
        <v>2424</v>
      </c>
      <c r="AH56" s="980" t="s">
        <v>2424</v>
      </c>
      <c r="AI56" s="980" t="s">
        <v>2424</v>
      </c>
      <c r="AJ56" s="980" t="s">
        <v>2424</v>
      </c>
      <c r="AK56" s="980" t="s">
        <v>2424</v>
      </c>
      <c r="AL56" s="980" t="s">
        <v>2424</v>
      </c>
    </row>
    <row r="57" spans="1:41" ht="88" thickBot="1" x14ac:dyDescent="0.3">
      <c r="A57" s="970" t="s">
        <v>1617</v>
      </c>
      <c r="B57" s="970" t="s">
        <v>1762</v>
      </c>
      <c r="C57" s="968" t="s">
        <v>1793</v>
      </c>
      <c r="D57" s="977" t="s">
        <v>1794</v>
      </c>
      <c r="E57" s="978" t="s">
        <v>1795</v>
      </c>
      <c r="F57" s="979" t="s">
        <v>1622</v>
      </c>
      <c r="G57" s="979" t="s">
        <v>1622</v>
      </c>
      <c r="H57" s="980" t="s">
        <v>1649</v>
      </c>
      <c r="I57" s="980" t="s">
        <v>883</v>
      </c>
      <c r="J57" s="980" t="s">
        <v>883</v>
      </c>
      <c r="K57" s="980" t="s">
        <v>883</v>
      </c>
      <c r="L57" s="980" t="s">
        <v>883</v>
      </c>
      <c r="M57" s="980" t="s">
        <v>883</v>
      </c>
      <c r="N57" s="980" t="s">
        <v>883</v>
      </c>
      <c r="O57" s="980" t="s">
        <v>883</v>
      </c>
      <c r="P57" s="980" t="s">
        <v>883</v>
      </c>
      <c r="Q57" s="980" t="s">
        <v>883</v>
      </c>
      <c r="R57" s="980" t="s">
        <v>883</v>
      </c>
      <c r="S57" s="980" t="s">
        <v>883</v>
      </c>
      <c r="T57" s="980" t="s">
        <v>883</v>
      </c>
      <c r="U57" s="980" t="s">
        <v>883</v>
      </c>
      <c r="V57" s="980" t="s">
        <v>883</v>
      </c>
      <c r="W57" s="980" t="s">
        <v>883</v>
      </c>
      <c r="X57" s="980" t="s">
        <v>883</v>
      </c>
      <c r="Y57" s="980" t="s">
        <v>883</v>
      </c>
      <c r="Z57" s="980" t="s">
        <v>883</v>
      </c>
      <c r="AA57" s="980" t="s">
        <v>883</v>
      </c>
      <c r="AB57" s="980" t="s">
        <v>883</v>
      </c>
      <c r="AC57" s="980" t="s">
        <v>883</v>
      </c>
      <c r="AD57" s="980" t="s">
        <v>883</v>
      </c>
      <c r="AE57" s="980" t="s">
        <v>883</v>
      </c>
      <c r="AF57" s="980" t="s">
        <v>883</v>
      </c>
      <c r="AG57" s="980" t="s">
        <v>883</v>
      </c>
      <c r="AH57" s="980" t="s">
        <v>883</v>
      </c>
      <c r="AI57" s="980" t="s">
        <v>883</v>
      </c>
      <c r="AJ57" s="980" t="s">
        <v>883</v>
      </c>
      <c r="AK57" s="980" t="s">
        <v>883</v>
      </c>
      <c r="AL57" s="980" t="s">
        <v>883</v>
      </c>
    </row>
    <row r="58" spans="1:41" ht="13.5" thickBot="1" x14ac:dyDescent="0.3">
      <c r="A58" s="970" t="s">
        <v>1617</v>
      </c>
      <c r="B58" s="970" t="s">
        <v>1796</v>
      </c>
      <c r="C58" s="971" t="s">
        <v>1796</v>
      </c>
      <c r="D58" s="972"/>
      <c r="E58" s="973"/>
      <c r="F58" s="974" t="s">
        <v>657</v>
      </c>
      <c r="G58" s="974" t="s">
        <v>657</v>
      </c>
      <c r="H58" s="975"/>
      <c r="I58" s="976"/>
    </row>
    <row r="59" spans="1:41" ht="13.5" thickBot="1" x14ac:dyDescent="0.3">
      <c r="A59" s="970" t="s">
        <v>1617</v>
      </c>
      <c r="B59" s="970" t="s">
        <v>1796</v>
      </c>
      <c r="C59" s="968" t="s">
        <v>1797</v>
      </c>
      <c r="D59" s="977" t="s">
        <v>1620</v>
      </c>
      <c r="E59" s="978" t="s">
        <v>1764</v>
      </c>
      <c r="F59" s="979" t="s">
        <v>1622</v>
      </c>
      <c r="G59" s="979" t="s">
        <v>1622</v>
      </c>
      <c r="H59" s="980" t="s">
        <v>1623</v>
      </c>
      <c r="I59" s="987" t="str">
        <f>I3</f>
        <v>969500Z05GRNU3KPEY94</v>
      </c>
      <c r="J59" s="987" t="str">
        <f>$I$59</f>
        <v>969500Z05GRNU3KPEY94</v>
      </c>
      <c r="K59" s="987" t="str">
        <f t="shared" ref="K59:Z59" si="27">$I$59</f>
        <v>969500Z05GRNU3KPEY94</v>
      </c>
      <c r="L59" s="987" t="str">
        <f t="shared" si="27"/>
        <v>969500Z05GRNU3KPEY94</v>
      </c>
      <c r="M59" s="987" t="str">
        <f t="shared" si="27"/>
        <v>969500Z05GRNU3KPEY94</v>
      </c>
      <c r="N59" s="987" t="str">
        <f t="shared" si="27"/>
        <v>969500Z05GRNU3KPEY94</v>
      </c>
      <c r="O59" s="987" t="str">
        <f t="shared" si="27"/>
        <v>969500Z05GRNU3KPEY94</v>
      </c>
      <c r="P59" s="987" t="str">
        <f t="shared" si="27"/>
        <v>969500Z05GRNU3KPEY94</v>
      </c>
      <c r="Q59" s="987" t="str">
        <f t="shared" si="27"/>
        <v>969500Z05GRNU3KPEY94</v>
      </c>
      <c r="R59" s="987" t="str">
        <f t="shared" si="27"/>
        <v>969500Z05GRNU3KPEY94</v>
      </c>
      <c r="S59" s="987" t="str">
        <f t="shared" si="27"/>
        <v>969500Z05GRNU3KPEY94</v>
      </c>
      <c r="T59" s="987" t="str">
        <f t="shared" si="27"/>
        <v>969500Z05GRNU3KPEY94</v>
      </c>
      <c r="U59" s="987" t="str">
        <f t="shared" si="27"/>
        <v>969500Z05GRNU3KPEY94</v>
      </c>
      <c r="V59" s="987" t="str">
        <f t="shared" si="27"/>
        <v>969500Z05GRNU3KPEY94</v>
      </c>
      <c r="W59" s="987" t="str">
        <f t="shared" si="27"/>
        <v>969500Z05GRNU3KPEY94</v>
      </c>
      <c r="X59" s="987" t="str">
        <f t="shared" si="27"/>
        <v>969500Z05GRNU3KPEY94</v>
      </c>
      <c r="Y59" s="987" t="str">
        <f t="shared" si="27"/>
        <v>969500Z05GRNU3KPEY94</v>
      </c>
      <c r="Z59" s="987" t="str">
        <f t="shared" si="27"/>
        <v>969500Z05GRNU3KPEY94</v>
      </c>
    </row>
    <row r="60" spans="1:41" ht="25.5" thickBot="1" x14ac:dyDescent="0.3">
      <c r="A60" s="970" t="s">
        <v>1617</v>
      </c>
      <c r="B60" s="970" t="s">
        <v>1796</v>
      </c>
      <c r="C60" s="968" t="s">
        <v>1798</v>
      </c>
      <c r="D60" s="977" t="s">
        <v>1799</v>
      </c>
      <c r="E60" s="978" t="s">
        <v>1800</v>
      </c>
      <c r="F60" s="979" t="s">
        <v>1622</v>
      </c>
      <c r="G60" s="979" t="s">
        <v>1622</v>
      </c>
      <c r="H60" s="980" t="s">
        <v>1768</v>
      </c>
      <c r="I60" s="980" t="s">
        <v>2425</v>
      </c>
      <c r="J60" s="980" t="s">
        <v>2426</v>
      </c>
      <c r="K60" s="980" t="s">
        <v>2427</v>
      </c>
      <c r="L60" s="980" t="s">
        <v>2428</v>
      </c>
      <c r="M60" s="980" t="s">
        <v>2429</v>
      </c>
      <c r="N60" s="980" t="s">
        <v>2442</v>
      </c>
      <c r="O60" s="980" t="s">
        <v>2430</v>
      </c>
      <c r="P60" s="980" t="s">
        <v>2431</v>
      </c>
      <c r="Q60" s="980" t="s">
        <v>2432</v>
      </c>
      <c r="R60" s="980" t="s">
        <v>2433</v>
      </c>
      <c r="S60" s="980" t="s">
        <v>2434</v>
      </c>
      <c r="T60" s="980" t="s">
        <v>2435</v>
      </c>
      <c r="U60" s="980" t="s">
        <v>2436</v>
      </c>
      <c r="V60" s="980" t="s">
        <v>2437</v>
      </c>
      <c r="W60" s="980" t="s">
        <v>2438</v>
      </c>
      <c r="X60" s="980" t="s">
        <v>2439</v>
      </c>
      <c r="Y60" s="980" t="s">
        <v>2440</v>
      </c>
      <c r="Z60" s="980" t="s">
        <v>2441</v>
      </c>
    </row>
    <row r="61" spans="1:41" ht="25.5" thickBot="1" x14ac:dyDescent="0.3">
      <c r="A61" s="970" t="s">
        <v>1617</v>
      </c>
      <c r="B61" s="970" t="s">
        <v>1796</v>
      </c>
      <c r="C61" s="968" t="s">
        <v>1801</v>
      </c>
      <c r="D61" s="977" t="s">
        <v>1802</v>
      </c>
      <c r="E61" s="978" t="s">
        <v>1803</v>
      </c>
      <c r="F61" s="979" t="s">
        <v>1622</v>
      </c>
      <c r="G61" s="979" t="s">
        <v>1622</v>
      </c>
      <c r="H61" s="980" t="s">
        <v>1768</v>
      </c>
      <c r="I61" s="980" t="str">
        <f>I60</f>
        <v>PPOP_INCF1</v>
      </c>
      <c r="J61" s="980" t="str">
        <f t="shared" ref="J61:Z61" si="28">J60</f>
        <v>PPOP_OUTCF1</v>
      </c>
      <c r="K61" s="980" t="str">
        <f t="shared" si="28"/>
        <v>PPOP_OUTCF2</v>
      </c>
      <c r="L61" s="980" t="str">
        <f t="shared" si="28"/>
        <v>PPOP_OUTCF3</v>
      </c>
      <c r="M61" s="980" t="str">
        <f t="shared" si="28"/>
        <v>PPOP_OUTCF4</v>
      </c>
      <c r="N61" s="980" t="str">
        <f t="shared" si="28"/>
        <v>IPOP_INCF1</v>
      </c>
      <c r="O61" s="980" t="str">
        <f t="shared" si="28"/>
        <v>IPOP_OUTCF1</v>
      </c>
      <c r="P61" s="980" t="str">
        <f t="shared" si="28"/>
        <v>IPOP_OUTCF2</v>
      </c>
      <c r="Q61" s="980" t="str">
        <f t="shared" si="28"/>
        <v>IPOP_OUTCF3</v>
      </c>
      <c r="R61" s="980" t="str">
        <f t="shared" si="28"/>
        <v>IPOP_OUTCF4</v>
      </c>
      <c r="S61" s="980" t="str">
        <f t="shared" si="28"/>
        <v>IPOP_OUTCF5</v>
      </c>
      <c r="T61" s="980" t="str">
        <f t="shared" si="28"/>
        <v>IPOP_OUTCF6</v>
      </c>
      <c r="U61" s="980" t="str">
        <f t="shared" si="28"/>
        <v>IPOP_OUTCF7</v>
      </c>
      <c r="V61" s="980" t="str">
        <f t="shared" si="28"/>
        <v>IPOP_OUTCF8</v>
      </c>
      <c r="W61" s="980" t="str">
        <f t="shared" si="28"/>
        <v>IPOP_OUTCF9</v>
      </c>
      <c r="X61" s="980" t="str">
        <f t="shared" si="28"/>
        <v>IPOP_OUTCF10</v>
      </c>
      <c r="Y61" s="980" t="str">
        <f t="shared" si="28"/>
        <v>IPOP_OUTCF11</v>
      </c>
      <c r="Z61" s="980" t="str">
        <f t="shared" si="28"/>
        <v>IPOP_OUTCF12</v>
      </c>
    </row>
    <row r="62" spans="1:41" ht="138" thickBot="1" x14ac:dyDescent="0.3">
      <c r="A62" s="970" t="s">
        <v>1617</v>
      </c>
      <c r="B62" s="970" t="s">
        <v>1796</v>
      </c>
      <c r="C62" s="968" t="s">
        <v>1804</v>
      </c>
      <c r="D62" s="977" t="s">
        <v>1805</v>
      </c>
      <c r="E62" s="978" t="s">
        <v>1806</v>
      </c>
      <c r="F62" s="979" t="s">
        <v>1622</v>
      </c>
      <c r="G62" s="979" t="s">
        <v>1622</v>
      </c>
      <c r="H62" s="980" t="s">
        <v>1768</v>
      </c>
      <c r="I62" s="989" t="str">
        <f t="array" ref="I62:M62">TRANSPOSE('15 - Priority of Payments'!F23:H27)</f>
        <v>Available Principal Distribution Amount</v>
      </c>
      <c r="J62" s="990" t="str">
        <v>(a)	payment of the Principal Reallocated Amount due and payable on such Payment Date</v>
      </c>
      <c r="K62" s="990" t="str">
        <v xml:space="preserve">(b)	during the Normal Redemption Period only, towards payment on a pari passu basis of the Class A Notes Principal Payment (and any principal arrears) to the Class A Noteholders until all the Class A Notes have been redeemed in full; </v>
      </c>
      <c r="L62" s="990" t="str">
        <v xml:space="preserve">(c)	during the Normal Redemption Period only, once the Class A Notes have been redeemed in full, towards payment on a pari passu basis of the Class B Notes Principal Payment (and any principal arrears) to the Class B Noteholders until all the Class B Notes have been redeemed in full; </v>
      </c>
      <c r="M62" s="990" t="str">
        <v>(d)	on the Issuer Liquidation Date, to the payment of the liquidation surplus (boni de liquidation) to the Residual Unitholder as principal and interest.</v>
      </c>
      <c r="N62" s="989" t="str">
        <f t="array" ref="N62:Z62">TRANSPOSE('15 - Priority of Payments'!F44:H56)</f>
        <v>Available Interest Distribution Amount</v>
      </c>
      <c r="O62" s="990" t="str">
        <v>(a)	payment, if any, of the Servicer Fees Arrears</v>
      </c>
      <c r="P62" s="990" t="str">
        <v>(b)	payment of the Servicer Fees;</v>
      </c>
      <c r="Q62" s="990" t="str">
        <v>(c)	payment, if any, of the Issuer Operating Expenses Arrears to each relevant creditor;</v>
      </c>
      <c r="R62" s="990" t="str">
        <v>(d)	payment of the Issuer Operating Expenses, excluding the Servicer Fees paid under paragraph (b) above, to each relevant creditor;</v>
      </c>
      <c r="S62" s="990" t="str">
        <v xml:space="preserve">(e)	payment pari passu and pro rata of the Class A Notes Interest Amount and, in priority thereto, any Class A Notes Interest Shortfall, due and payable to the Class A Noteholders; </v>
      </c>
      <c r="T62" s="990" t="str">
        <v>(f)	credit of the Class A Notes Deficiency Ledger in an amount sufficient to eliminate any debit thereof;</v>
      </c>
      <c r="U62" s="990" t="str">
        <v>(g)	transfer into the Reserve Account of an amount such as the amount standing to the credit of the Reserve Account after such transfer is equal to the Reserve Fund Required Amount;</v>
      </c>
      <c r="V62" s="990" t="str">
        <v>(h)	payment pari passu and pro rata of the Class B Notes Interest Amount and, in priority thereto, any Class B Notes Interest Shortfall, due and payable to the Class B Noteholders;</v>
      </c>
      <c r="W62" s="990" t="str">
        <v>(i)	credit of the Class B Notes Deficiency Ledger in an amount sufficient to eliminate any debit thereof;</v>
      </c>
      <c r="X62" s="990" t="str">
        <v>if the balance of the Reserve Account on the previous Payment Date (or the Issue Date if there was no previous Payment Date) exceeds the Reserve Fund Required Amount on that Payment Date, and provided that on that Payment Date all payments to be made under paragraphs (i) to (ix) have been made, transfer the excess amount to the Seller;</v>
      </c>
      <c r="Y62" s="990" t="str">
        <v xml:space="preserve">(k)	payment of any reasonable and duly documented fees incurred in connection with the operation of the Issuer, in each case under the provisions of the Issuer Regulations or the other Transaction Documents as applicable which are not otherwise specified or provided for in paragraphs (a) to (d) above; </v>
      </c>
      <c r="Z62" s="990" t="str">
        <v>(l)	payment on a pro rata basis of any remaining credit balance on the Interest Account as interest to the Residual Unitholders.</v>
      </c>
    </row>
    <row r="63" spans="1:41" ht="75.5" thickBot="1" x14ac:dyDescent="0.3">
      <c r="A63" s="970" t="s">
        <v>1617</v>
      </c>
      <c r="B63" s="970" t="s">
        <v>1796</v>
      </c>
      <c r="C63" s="968" t="s">
        <v>1807</v>
      </c>
      <c r="D63" s="977" t="s">
        <v>1808</v>
      </c>
      <c r="E63" s="978" t="s">
        <v>1809</v>
      </c>
      <c r="F63" s="979" t="s">
        <v>1622</v>
      </c>
      <c r="G63" s="979" t="s">
        <v>1622</v>
      </c>
      <c r="H63" s="980" t="s">
        <v>1670</v>
      </c>
      <c r="I63" s="992" t="str">
        <f t="array" ref="I63:M63">TEXT(TRANSPOSE('15 - Priority of Payments'!J23:J27),"### ###0,00")&amp;" EUR"</f>
        <v>16 479 655,06 EUR</v>
      </c>
      <c r="J63" s="991" t="str">
        <v>0,00 EUR</v>
      </c>
      <c r="K63" s="991" t="str">
        <v>16 479 655,06 EUR</v>
      </c>
      <c r="L63" s="991" t="str">
        <v>0,00 EUR</v>
      </c>
      <c r="M63" s="991" t="str">
        <v>0,00 EUR</v>
      </c>
      <c r="N63" s="992">
        <f t="array" ref="N63:Z63">TRANSPOSE('15 - Priority of Payments'!J44:J56)</f>
        <v>13141911.689999999</v>
      </c>
      <c r="O63" s="991">
        <v>0</v>
      </c>
      <c r="P63" s="991">
        <v>1953.9699999999998</v>
      </c>
      <c r="Q63" s="991">
        <v>0</v>
      </c>
      <c r="R63" s="991">
        <v>31413.422950819673</v>
      </c>
      <c r="S63" s="991">
        <v>410920.19999999995</v>
      </c>
      <c r="T63" s="991">
        <v>0</v>
      </c>
      <c r="U63" s="991">
        <v>9754251.5420999993</v>
      </c>
      <c r="V63" s="991">
        <v>0</v>
      </c>
      <c r="W63" s="991">
        <v>0</v>
      </c>
      <c r="X63" s="991">
        <v>498248.45790000074</v>
      </c>
      <c r="Y63" s="991">
        <v>0</v>
      </c>
      <c r="Z63" s="991">
        <v>2445124.0970491804</v>
      </c>
    </row>
    <row r="64" spans="1:41" ht="63" thickBot="1" x14ac:dyDescent="0.3">
      <c r="A64" s="970" t="s">
        <v>1617</v>
      </c>
      <c r="B64" s="970" t="s">
        <v>1796</v>
      </c>
      <c r="C64" s="968" t="s">
        <v>1810</v>
      </c>
      <c r="D64" s="977" t="s">
        <v>1811</v>
      </c>
      <c r="E64" s="978" t="s">
        <v>1812</v>
      </c>
      <c r="F64" s="979" t="s">
        <v>1622</v>
      </c>
      <c r="G64" s="979" t="s">
        <v>1622</v>
      </c>
      <c r="H64" s="980" t="s">
        <v>1670</v>
      </c>
      <c r="I64" s="980" t="str">
        <f t="array" ref="I64:M64">TEXT(TRANSPOSE('15 - Priority of Payments'!L23:L27),"### ###0,00")&amp;" EUR"</f>
        <v>16 479 655,06 EUR</v>
      </c>
      <c r="J64" s="980" t="str">
        <v>16 479 655,06 EUR</v>
      </c>
      <c r="K64" s="980" t="str">
        <v>0,00 EUR</v>
      </c>
      <c r="L64" s="980" t="str">
        <v>0,00 EUR</v>
      </c>
      <c r="M64" s="980" t="str">
        <v>0,00 EUR</v>
      </c>
      <c r="N64" s="980" t="str">
        <f t="array" ref="N64:Z64">TEXT(TRANSPOSE('15 - Priority of Payments'!L44:L56),"### ###0,00")&amp;" EUR"</f>
        <v>13 141 911,69 EUR</v>
      </c>
      <c r="O64" s="980" t="str">
        <v>13 141 911,69 EUR</v>
      </c>
      <c r="P64" s="980" t="str">
        <v>13 139 957,72 EUR</v>
      </c>
      <c r="Q64" s="980" t="str">
        <v>13 139 957,72 EUR</v>
      </c>
      <c r="R64" s="980" t="str">
        <v>13 108 544,30 EUR</v>
      </c>
      <c r="S64" s="980" t="str">
        <v>12 697 624,10 EUR</v>
      </c>
      <c r="T64" s="980" t="str">
        <v>12 697 624,10 EUR</v>
      </c>
      <c r="U64" s="980" t="str">
        <v>2 943 372,55 EUR</v>
      </c>
      <c r="V64" s="980" t="str">
        <v>2 943 372,55 EUR</v>
      </c>
      <c r="W64" s="980" t="str">
        <v>2 943 372,55 EUR</v>
      </c>
      <c r="X64" s="980" t="str">
        <v>2 445 124,10 EUR</v>
      </c>
      <c r="Y64" s="980" t="str">
        <v>2 445 124,10 EUR</v>
      </c>
      <c r="Z64" s="980" t="str">
        <v>0,00 EUR</v>
      </c>
    </row>
  </sheetData>
  <phoneticPr fontId="170"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B21E-0657-40CD-8BCB-D5812849534E}">
  <dimension ref="A1:R214"/>
  <sheetViews>
    <sheetView showGridLines="0" topLeftCell="B51" workbookViewId="0">
      <selection activeCell="E57" sqref="E57"/>
    </sheetView>
  </sheetViews>
  <sheetFormatPr defaultRowHeight="12.5" x14ac:dyDescent="0.25"/>
  <cols>
    <col min="1" max="1" width="30.54296875" customWidth="1"/>
    <col min="2" max="2" width="28.7265625" customWidth="1"/>
    <col min="3" max="3" width="10.54296875" customWidth="1"/>
    <col min="4" max="4" width="20" customWidth="1"/>
    <col min="5" max="5" width="103.54296875" customWidth="1"/>
    <col min="6" max="6" width="10.81640625" customWidth="1"/>
    <col min="7" max="7" width="11" customWidth="1"/>
    <col min="8" max="8" width="21.54296875" customWidth="1"/>
    <col min="9" max="9" width="33.54296875" customWidth="1"/>
    <col min="10" max="10" width="33.1796875" customWidth="1"/>
    <col min="11" max="11" width="32" customWidth="1"/>
    <col min="12" max="12" width="24.26953125" customWidth="1"/>
    <col min="13" max="18" width="26.26953125" customWidth="1"/>
  </cols>
  <sheetData>
    <row r="1" spans="1:9" ht="26.5" thickBot="1" x14ac:dyDescent="0.3">
      <c r="A1" s="967" t="s">
        <v>1608</v>
      </c>
      <c r="B1" s="967" t="s">
        <v>1609</v>
      </c>
      <c r="C1" s="968" t="s">
        <v>1610</v>
      </c>
      <c r="D1" s="967" t="s">
        <v>1611</v>
      </c>
      <c r="E1" s="967" t="s">
        <v>1612</v>
      </c>
      <c r="F1" s="967" t="s">
        <v>1613</v>
      </c>
      <c r="G1" s="967" t="s">
        <v>1614</v>
      </c>
      <c r="H1" s="967" t="s">
        <v>1615</v>
      </c>
      <c r="I1" s="969" t="s">
        <v>1616</v>
      </c>
    </row>
    <row r="2" spans="1:9" ht="39.5" thickBot="1" x14ac:dyDescent="0.3">
      <c r="A2" s="982" t="s">
        <v>1813</v>
      </c>
      <c r="B2" s="970" t="s">
        <v>1618</v>
      </c>
      <c r="C2" s="971" t="s">
        <v>1618</v>
      </c>
      <c r="D2" s="972"/>
      <c r="E2" s="973"/>
      <c r="F2" s="974" t="s">
        <v>657</v>
      </c>
      <c r="G2" s="974" t="s">
        <v>657</v>
      </c>
      <c r="H2" s="975"/>
      <c r="I2" s="976"/>
    </row>
    <row r="3" spans="1:9" ht="39.5" thickBot="1" x14ac:dyDescent="0.3">
      <c r="A3" s="982" t="s">
        <v>1813</v>
      </c>
      <c r="B3" s="970" t="s">
        <v>1618</v>
      </c>
      <c r="C3" s="968" t="s">
        <v>1814</v>
      </c>
      <c r="D3" s="977" t="s">
        <v>1620</v>
      </c>
      <c r="E3" s="978" t="s">
        <v>1621</v>
      </c>
      <c r="F3" s="983" t="s">
        <v>1622</v>
      </c>
      <c r="G3" s="979" t="s">
        <v>1622</v>
      </c>
      <c r="H3" s="980" t="s">
        <v>1623</v>
      </c>
      <c r="I3" s="987" t="str">
        <f>'00 - Cover'!F11</f>
        <v>969500Z05GRNU3KPEY94</v>
      </c>
    </row>
    <row r="4" spans="1:9" ht="39.5" thickBot="1" x14ac:dyDescent="0.3">
      <c r="A4" s="982" t="s">
        <v>1813</v>
      </c>
      <c r="B4" s="970" t="s">
        <v>1618</v>
      </c>
      <c r="C4" s="968" t="s">
        <v>1815</v>
      </c>
      <c r="D4" s="977" t="s">
        <v>1625</v>
      </c>
      <c r="E4" s="978" t="s">
        <v>1816</v>
      </c>
      <c r="F4" s="983" t="s">
        <v>1622</v>
      </c>
      <c r="G4" s="979" t="s">
        <v>1622</v>
      </c>
      <c r="H4" s="980" t="s">
        <v>1627</v>
      </c>
      <c r="I4" s="987">
        <f>'00 - Cover'!F14</f>
        <v>45473</v>
      </c>
    </row>
    <row r="5" spans="1:9" ht="39.5" thickBot="1" x14ac:dyDescent="0.3">
      <c r="A5" s="982" t="s">
        <v>1813</v>
      </c>
      <c r="B5" s="970" t="s">
        <v>1618</v>
      </c>
      <c r="C5" s="968" t="s">
        <v>1817</v>
      </c>
      <c r="D5" s="977" t="s">
        <v>1818</v>
      </c>
      <c r="E5" s="978" t="s">
        <v>1819</v>
      </c>
      <c r="F5" s="979" t="s">
        <v>1622</v>
      </c>
      <c r="G5" s="979" t="s">
        <v>1666</v>
      </c>
      <c r="H5" s="980" t="s">
        <v>1659</v>
      </c>
      <c r="I5" s="980" t="s">
        <v>2424</v>
      </c>
    </row>
    <row r="6" spans="1:9" ht="39.5" thickBot="1" x14ac:dyDescent="0.3">
      <c r="A6" s="982" t="s">
        <v>1813</v>
      </c>
      <c r="B6" s="970" t="s">
        <v>1618</v>
      </c>
      <c r="C6" s="968" t="s">
        <v>1820</v>
      </c>
      <c r="D6" s="977" t="s">
        <v>1821</v>
      </c>
      <c r="E6" s="978" t="s">
        <v>1822</v>
      </c>
      <c r="F6" s="979" t="s">
        <v>1622</v>
      </c>
      <c r="G6" s="979" t="s">
        <v>1666</v>
      </c>
      <c r="H6" s="980" t="s">
        <v>1659</v>
      </c>
      <c r="I6" s="980" t="s">
        <v>2424</v>
      </c>
    </row>
    <row r="7" spans="1:9" ht="39.5" thickBot="1" x14ac:dyDescent="0.3">
      <c r="A7" s="982" t="s">
        <v>1813</v>
      </c>
      <c r="B7" s="970" t="s">
        <v>1618</v>
      </c>
      <c r="C7" s="968" t="s">
        <v>1823</v>
      </c>
      <c r="D7" s="977" t="s">
        <v>1824</v>
      </c>
      <c r="E7" s="978" t="s">
        <v>1825</v>
      </c>
      <c r="F7" s="979" t="s">
        <v>1622</v>
      </c>
      <c r="G7" s="979" t="s">
        <v>1666</v>
      </c>
      <c r="H7" s="980" t="s">
        <v>1659</v>
      </c>
      <c r="I7" s="980" t="s">
        <v>2424</v>
      </c>
    </row>
    <row r="8" spans="1:9" ht="39.5" thickBot="1" x14ac:dyDescent="0.3">
      <c r="A8" s="982" t="s">
        <v>1813</v>
      </c>
      <c r="B8" s="970" t="s">
        <v>1618</v>
      </c>
      <c r="C8" s="968" t="s">
        <v>1826</v>
      </c>
      <c r="D8" s="977" t="s">
        <v>1827</v>
      </c>
      <c r="E8" s="978" t="s">
        <v>1828</v>
      </c>
      <c r="F8" s="979" t="s">
        <v>1622</v>
      </c>
      <c r="G8" s="979" t="s">
        <v>1666</v>
      </c>
      <c r="H8" s="980" t="s">
        <v>1775</v>
      </c>
      <c r="I8" s="980" t="s">
        <v>2424</v>
      </c>
    </row>
    <row r="9" spans="1:9" ht="39.5" thickBot="1" x14ac:dyDescent="0.3">
      <c r="A9" s="982" t="s">
        <v>1813</v>
      </c>
      <c r="B9" s="970" t="s">
        <v>1618</v>
      </c>
      <c r="C9" s="968" t="s">
        <v>1829</v>
      </c>
      <c r="D9" s="977" t="s">
        <v>1830</v>
      </c>
      <c r="E9" s="978" t="s">
        <v>1831</v>
      </c>
      <c r="F9" s="979" t="s">
        <v>1622</v>
      </c>
      <c r="G9" s="979" t="s">
        <v>1666</v>
      </c>
      <c r="H9" s="980" t="s">
        <v>1659</v>
      </c>
      <c r="I9" s="980" t="s">
        <v>2424</v>
      </c>
    </row>
    <row r="10" spans="1:9" ht="100.5" thickBot="1" x14ac:dyDescent="0.3">
      <c r="A10" s="982" t="s">
        <v>1813</v>
      </c>
      <c r="B10" s="970" t="s">
        <v>1618</v>
      </c>
      <c r="C10" s="968" t="s">
        <v>1832</v>
      </c>
      <c r="D10" s="977" t="s">
        <v>1833</v>
      </c>
      <c r="E10" s="978" t="s">
        <v>1834</v>
      </c>
      <c r="F10" s="979" t="s">
        <v>1622</v>
      </c>
      <c r="G10" s="979" t="s">
        <v>1622</v>
      </c>
      <c r="H10" s="980" t="s">
        <v>1649</v>
      </c>
      <c r="I10" s="980" t="s">
        <v>883</v>
      </c>
    </row>
    <row r="11" spans="1:9" ht="88" thickBot="1" x14ac:dyDescent="0.3">
      <c r="A11" s="982" t="s">
        <v>1813</v>
      </c>
      <c r="B11" s="970" t="s">
        <v>1618</v>
      </c>
      <c r="C11" s="968" t="s">
        <v>1835</v>
      </c>
      <c r="D11" s="977" t="s">
        <v>1836</v>
      </c>
      <c r="E11" s="978" t="s">
        <v>1837</v>
      </c>
      <c r="F11" s="979" t="s">
        <v>1622</v>
      </c>
      <c r="G11" s="979" t="s">
        <v>1666</v>
      </c>
      <c r="H11" s="980" t="s">
        <v>1649</v>
      </c>
      <c r="I11" s="980" t="s">
        <v>883</v>
      </c>
    </row>
    <row r="12" spans="1:9" ht="50.5" thickBot="1" x14ac:dyDescent="0.3">
      <c r="A12" s="982" t="s">
        <v>1813</v>
      </c>
      <c r="B12" s="970" t="s">
        <v>1618</v>
      </c>
      <c r="C12" s="968" t="s">
        <v>1838</v>
      </c>
      <c r="D12" s="977" t="s">
        <v>1839</v>
      </c>
      <c r="E12" s="978" t="s">
        <v>1840</v>
      </c>
      <c r="F12" s="979" t="s">
        <v>1622</v>
      </c>
      <c r="G12" s="979" t="s">
        <v>1666</v>
      </c>
      <c r="H12" s="980" t="s">
        <v>1670</v>
      </c>
      <c r="I12" s="980" t="s">
        <v>883</v>
      </c>
    </row>
    <row r="13" spans="1:9" ht="50.5" thickBot="1" x14ac:dyDescent="0.3">
      <c r="A13" s="982" t="s">
        <v>1813</v>
      </c>
      <c r="B13" s="970" t="s">
        <v>1618</v>
      </c>
      <c r="C13" s="968" t="s">
        <v>1841</v>
      </c>
      <c r="D13" s="977" t="s">
        <v>1842</v>
      </c>
      <c r="E13" s="978" t="s">
        <v>1843</v>
      </c>
      <c r="F13" s="979" t="s">
        <v>1622</v>
      </c>
      <c r="G13" s="979" t="s">
        <v>1666</v>
      </c>
      <c r="H13" s="980" t="s">
        <v>1670</v>
      </c>
      <c r="I13" s="980" t="s">
        <v>2424</v>
      </c>
    </row>
    <row r="14" spans="1:9" ht="39.5" thickBot="1" x14ac:dyDescent="0.3">
      <c r="A14" s="982" t="s">
        <v>1813</v>
      </c>
      <c r="B14" s="970" t="s">
        <v>1618</v>
      </c>
      <c r="C14" s="968" t="s">
        <v>1844</v>
      </c>
      <c r="D14" s="977" t="s">
        <v>1845</v>
      </c>
      <c r="E14" s="978" t="s">
        <v>1846</v>
      </c>
      <c r="F14" s="979" t="s">
        <v>1622</v>
      </c>
      <c r="G14" s="979" t="s">
        <v>1666</v>
      </c>
      <c r="H14" s="980" t="s">
        <v>1847</v>
      </c>
      <c r="I14" s="980" t="s">
        <v>2424</v>
      </c>
    </row>
    <row r="15" spans="1:9" ht="50.5" thickBot="1" x14ac:dyDescent="0.3">
      <c r="A15" s="982" t="s">
        <v>1813</v>
      </c>
      <c r="B15" s="970" t="s">
        <v>1618</v>
      </c>
      <c r="C15" s="968" t="s">
        <v>1848</v>
      </c>
      <c r="D15" s="977" t="s">
        <v>1849</v>
      </c>
      <c r="E15" s="978" t="s">
        <v>1850</v>
      </c>
      <c r="F15" s="979" t="s">
        <v>1622</v>
      </c>
      <c r="G15" s="979" t="s">
        <v>1666</v>
      </c>
      <c r="H15" s="980" t="s">
        <v>1670</v>
      </c>
      <c r="I15" s="980" t="s">
        <v>2424</v>
      </c>
    </row>
    <row r="16" spans="1:9" ht="39.5" thickBot="1" x14ac:dyDescent="0.3">
      <c r="A16" s="982" t="s">
        <v>1813</v>
      </c>
      <c r="B16" s="970" t="s">
        <v>1618</v>
      </c>
      <c r="C16" s="968" t="s">
        <v>1851</v>
      </c>
      <c r="D16" s="977" t="s">
        <v>1852</v>
      </c>
      <c r="E16" s="978" t="s">
        <v>1853</v>
      </c>
      <c r="F16" s="979" t="s">
        <v>1622</v>
      </c>
      <c r="G16" s="979" t="s">
        <v>1666</v>
      </c>
      <c r="H16" s="980" t="s">
        <v>1692</v>
      </c>
      <c r="I16" s="980" t="s">
        <v>2424</v>
      </c>
    </row>
    <row r="17" spans="1:10" ht="39.5" thickBot="1" x14ac:dyDescent="0.3">
      <c r="A17" s="982" t="s">
        <v>1813</v>
      </c>
      <c r="B17" s="970" t="s">
        <v>1618</v>
      </c>
      <c r="C17" s="968" t="s">
        <v>1854</v>
      </c>
      <c r="D17" s="977" t="s">
        <v>1855</v>
      </c>
      <c r="E17" s="978" t="s">
        <v>1856</v>
      </c>
      <c r="F17" s="979" t="s">
        <v>1622</v>
      </c>
      <c r="G17" s="979" t="s">
        <v>1666</v>
      </c>
      <c r="H17" s="980" t="s">
        <v>1692</v>
      </c>
      <c r="I17" s="980" t="s">
        <v>2424</v>
      </c>
    </row>
    <row r="18" spans="1:10" ht="39.5" thickBot="1" x14ac:dyDescent="0.3">
      <c r="A18" s="982" t="s">
        <v>1813</v>
      </c>
      <c r="B18" s="970" t="s">
        <v>1618</v>
      </c>
      <c r="C18" s="968" t="s">
        <v>1857</v>
      </c>
      <c r="D18" s="977" t="s">
        <v>1858</v>
      </c>
      <c r="E18" s="978" t="s">
        <v>1859</v>
      </c>
      <c r="F18" s="979" t="s">
        <v>1622</v>
      </c>
      <c r="G18" s="979" t="s">
        <v>1666</v>
      </c>
      <c r="H18" s="980" t="s">
        <v>1670</v>
      </c>
      <c r="I18" s="980" t="s">
        <v>2424</v>
      </c>
    </row>
    <row r="19" spans="1:10" ht="400.5" thickBot="1" x14ac:dyDescent="0.3">
      <c r="A19" s="982" t="s">
        <v>1813</v>
      </c>
      <c r="B19" s="970" t="s">
        <v>1618</v>
      </c>
      <c r="C19" s="968" t="s">
        <v>1860</v>
      </c>
      <c r="D19" s="981" t="s">
        <v>1861</v>
      </c>
      <c r="E19" s="978" t="s">
        <v>1862</v>
      </c>
      <c r="F19" s="979" t="s">
        <v>1622</v>
      </c>
      <c r="G19" s="979" t="s">
        <v>1666</v>
      </c>
      <c r="H19" s="980" t="s">
        <v>1649</v>
      </c>
      <c r="I19" s="980" t="s">
        <v>2424</v>
      </c>
    </row>
    <row r="20" spans="1:10" ht="39.5" thickBot="1" x14ac:dyDescent="0.3">
      <c r="A20" s="982" t="s">
        <v>1813</v>
      </c>
      <c r="B20" s="970" t="s">
        <v>1618</v>
      </c>
      <c r="C20" s="968" t="s">
        <v>1863</v>
      </c>
      <c r="D20" s="981" t="s">
        <v>1864</v>
      </c>
      <c r="E20" s="978" t="s">
        <v>1865</v>
      </c>
      <c r="F20" s="979" t="s">
        <v>1622</v>
      </c>
      <c r="G20" s="979" t="s">
        <v>1666</v>
      </c>
      <c r="H20" s="980" t="s">
        <v>1627</v>
      </c>
      <c r="I20" s="980" t="s">
        <v>2424</v>
      </c>
    </row>
    <row r="21" spans="1:10" ht="39.5" thickBot="1" x14ac:dyDescent="0.3">
      <c r="A21" s="982" t="s">
        <v>1813</v>
      </c>
      <c r="B21" s="970" t="s">
        <v>1618</v>
      </c>
      <c r="C21" s="968" t="s">
        <v>1866</v>
      </c>
      <c r="D21" s="981" t="s">
        <v>1867</v>
      </c>
      <c r="E21" s="978" t="s">
        <v>1868</v>
      </c>
      <c r="F21" s="979" t="s">
        <v>1622</v>
      </c>
      <c r="G21" s="979" t="s">
        <v>1666</v>
      </c>
      <c r="H21" s="980" t="s">
        <v>1670</v>
      </c>
      <c r="I21" s="980" t="s">
        <v>2424</v>
      </c>
    </row>
    <row r="22" spans="1:10" ht="39.5" thickBot="1" x14ac:dyDescent="0.3">
      <c r="A22" s="982" t="s">
        <v>1813</v>
      </c>
      <c r="B22" s="970" t="s">
        <v>1618</v>
      </c>
      <c r="C22" s="968" t="s">
        <v>1869</v>
      </c>
      <c r="D22" s="981" t="s">
        <v>1870</v>
      </c>
      <c r="E22" s="978" t="s">
        <v>1871</v>
      </c>
      <c r="F22" s="979" t="s">
        <v>1622</v>
      </c>
      <c r="G22" s="979" t="s">
        <v>1666</v>
      </c>
      <c r="H22" s="980" t="s">
        <v>1872</v>
      </c>
      <c r="I22" s="980" t="s">
        <v>2424</v>
      </c>
    </row>
    <row r="23" spans="1:10" ht="39.5" thickBot="1" x14ac:dyDescent="0.3">
      <c r="A23" s="982" t="s">
        <v>1813</v>
      </c>
      <c r="B23" s="970" t="s">
        <v>1618</v>
      </c>
      <c r="C23" s="968" t="s">
        <v>1873</v>
      </c>
      <c r="D23" s="981" t="s">
        <v>1874</v>
      </c>
      <c r="E23" s="978" t="s">
        <v>1875</v>
      </c>
      <c r="F23" s="979" t="s">
        <v>1622</v>
      </c>
      <c r="G23" s="979" t="s">
        <v>1666</v>
      </c>
      <c r="H23" s="980" t="s">
        <v>1872</v>
      </c>
      <c r="I23" s="980" t="s">
        <v>2424</v>
      </c>
    </row>
    <row r="24" spans="1:10" ht="39.5" thickBot="1" x14ac:dyDescent="0.3">
      <c r="A24" s="982" t="s">
        <v>1813</v>
      </c>
      <c r="B24" s="970" t="s">
        <v>1618</v>
      </c>
      <c r="C24" s="968" t="s">
        <v>1876</v>
      </c>
      <c r="D24" s="981" t="s">
        <v>1877</v>
      </c>
      <c r="E24" s="978" t="s">
        <v>1878</v>
      </c>
      <c r="F24" s="979" t="s">
        <v>1622</v>
      </c>
      <c r="G24" s="979" t="s">
        <v>1666</v>
      </c>
      <c r="H24" s="980" t="s">
        <v>1692</v>
      </c>
      <c r="I24" s="980" t="s">
        <v>2424</v>
      </c>
    </row>
    <row r="25" spans="1:10" ht="39.5" thickBot="1" x14ac:dyDescent="0.3">
      <c r="A25" s="982" t="s">
        <v>1813</v>
      </c>
      <c r="B25" s="970" t="s">
        <v>1618</v>
      </c>
      <c r="C25" s="968" t="s">
        <v>1879</v>
      </c>
      <c r="D25" s="981" t="s">
        <v>1880</v>
      </c>
      <c r="E25" s="978" t="s">
        <v>1881</v>
      </c>
      <c r="F25" s="979" t="s">
        <v>1622</v>
      </c>
      <c r="G25" s="979" t="s">
        <v>1666</v>
      </c>
      <c r="H25" s="980" t="s">
        <v>1627</v>
      </c>
      <c r="I25" s="980" t="s">
        <v>2424</v>
      </c>
    </row>
    <row r="26" spans="1:10" ht="39.5" thickBot="1" x14ac:dyDescent="0.3">
      <c r="A26" s="982" t="s">
        <v>1813</v>
      </c>
      <c r="B26" s="970" t="s">
        <v>1618</v>
      </c>
      <c r="C26" s="968" t="s">
        <v>1882</v>
      </c>
      <c r="D26" s="981" t="s">
        <v>1883</v>
      </c>
      <c r="E26" s="978" t="s">
        <v>1884</v>
      </c>
      <c r="F26" s="979" t="s">
        <v>1622</v>
      </c>
      <c r="G26" s="979" t="s">
        <v>1666</v>
      </c>
      <c r="H26" s="980" t="s">
        <v>1670</v>
      </c>
      <c r="I26" s="980" t="s">
        <v>2424</v>
      </c>
    </row>
    <row r="27" spans="1:10" ht="39.5" thickBot="1" x14ac:dyDescent="0.3">
      <c r="A27" s="982" t="s">
        <v>1813</v>
      </c>
      <c r="B27" s="970" t="s">
        <v>1885</v>
      </c>
      <c r="C27" s="971" t="s">
        <v>1886</v>
      </c>
      <c r="D27" s="972"/>
      <c r="E27" s="973"/>
      <c r="F27" s="974" t="s">
        <v>657</v>
      </c>
      <c r="G27" s="974" t="s">
        <v>657</v>
      </c>
      <c r="H27" s="975"/>
      <c r="I27" s="976"/>
    </row>
    <row r="28" spans="1:10" ht="39.5" thickBot="1" x14ac:dyDescent="0.3">
      <c r="A28" s="982" t="s">
        <v>1813</v>
      </c>
      <c r="B28" s="970" t="s">
        <v>1885</v>
      </c>
      <c r="C28" s="968" t="s">
        <v>1887</v>
      </c>
      <c r="D28" s="977" t="s">
        <v>1620</v>
      </c>
      <c r="E28" s="978" t="s">
        <v>1888</v>
      </c>
      <c r="F28" s="979" t="s">
        <v>1622</v>
      </c>
      <c r="G28" s="979" t="s">
        <v>1622</v>
      </c>
      <c r="H28" s="980" t="s">
        <v>1623</v>
      </c>
      <c r="I28" s="987" t="str">
        <f>'00 - Cover'!F11</f>
        <v>969500Z05GRNU3KPEY94</v>
      </c>
      <c r="J28" s="987" t="str">
        <f>I28</f>
        <v>969500Z05GRNU3KPEY94</v>
      </c>
    </row>
    <row r="29" spans="1:10" ht="39.5" thickBot="1" x14ac:dyDescent="0.3">
      <c r="A29" s="982" t="s">
        <v>1813</v>
      </c>
      <c r="B29" s="970" t="s">
        <v>1885</v>
      </c>
      <c r="C29" s="968" t="s">
        <v>1889</v>
      </c>
      <c r="D29" s="977" t="s">
        <v>1890</v>
      </c>
      <c r="E29" s="978" t="s">
        <v>1891</v>
      </c>
      <c r="F29" s="979" t="s">
        <v>1622</v>
      </c>
      <c r="G29" s="979" t="s">
        <v>1622</v>
      </c>
      <c r="H29" s="980" t="s">
        <v>1768</v>
      </c>
      <c r="I29" s="978" t="s">
        <v>722</v>
      </c>
      <c r="J29" s="978" t="s">
        <v>723</v>
      </c>
    </row>
    <row r="30" spans="1:10" ht="39.5" thickBot="1" x14ac:dyDescent="0.3">
      <c r="A30" s="982" t="s">
        <v>1813</v>
      </c>
      <c r="B30" s="970" t="s">
        <v>1885</v>
      </c>
      <c r="C30" s="968" t="s">
        <v>1892</v>
      </c>
      <c r="D30" s="977" t="s">
        <v>1893</v>
      </c>
      <c r="E30" s="978" t="s">
        <v>1894</v>
      </c>
      <c r="F30" s="979" t="s">
        <v>1622</v>
      </c>
      <c r="G30" s="979" t="s">
        <v>1622</v>
      </c>
      <c r="H30" s="980" t="s">
        <v>1768</v>
      </c>
      <c r="I30" s="978" t="str">
        <f>I29</f>
        <v>FR001400MGQ7</v>
      </c>
      <c r="J30" s="978" t="str">
        <f>J29</f>
        <v>FR001400MGO2</v>
      </c>
    </row>
    <row r="31" spans="1:10" ht="39.5" thickBot="1" x14ac:dyDescent="0.3">
      <c r="A31" s="982" t="s">
        <v>1813</v>
      </c>
      <c r="B31" s="970" t="s">
        <v>1885</v>
      </c>
      <c r="C31" s="968" t="s">
        <v>1895</v>
      </c>
      <c r="D31" s="977" t="s">
        <v>1896</v>
      </c>
      <c r="E31" s="978" t="s">
        <v>1897</v>
      </c>
      <c r="F31" s="979" t="s">
        <v>1622</v>
      </c>
      <c r="G31" s="979" t="s">
        <v>1666</v>
      </c>
      <c r="H31" s="980" t="s">
        <v>1898</v>
      </c>
      <c r="I31" s="978" t="str">
        <f>I30</f>
        <v>FR001400MGQ7</v>
      </c>
      <c r="J31" s="978" t="str">
        <f>J30</f>
        <v>FR001400MGO2</v>
      </c>
    </row>
    <row r="32" spans="1:10" ht="39.5" thickBot="1" x14ac:dyDescent="0.3">
      <c r="A32" s="982" t="s">
        <v>1813</v>
      </c>
      <c r="B32" s="970" t="s">
        <v>1885</v>
      </c>
      <c r="C32" s="968" t="s">
        <v>1899</v>
      </c>
      <c r="D32" s="977" t="s">
        <v>1900</v>
      </c>
      <c r="E32" s="978" t="s">
        <v>1901</v>
      </c>
      <c r="F32" s="979" t="s">
        <v>1622</v>
      </c>
      <c r="G32" s="979" t="s">
        <v>1666</v>
      </c>
      <c r="H32" s="980" t="s">
        <v>1631</v>
      </c>
      <c r="I32" s="993" t="str">
        <f>'11 - Notes Follow-up'!E12</f>
        <v>Class A Notes</v>
      </c>
      <c r="J32" s="993" t="str">
        <f>'11 - Notes Follow-up'!M12</f>
        <v>Class B Notes</v>
      </c>
    </row>
    <row r="33" spans="1:10" ht="88" thickBot="1" x14ac:dyDescent="0.3">
      <c r="A33" s="982" t="s">
        <v>1813</v>
      </c>
      <c r="B33" s="970" t="s">
        <v>1885</v>
      </c>
      <c r="C33" s="968" t="s">
        <v>1902</v>
      </c>
      <c r="D33" s="977" t="s">
        <v>1903</v>
      </c>
      <c r="E33" s="978" t="s">
        <v>1904</v>
      </c>
      <c r="F33" s="979" t="s">
        <v>1622</v>
      </c>
      <c r="G33" s="979" t="s">
        <v>1622</v>
      </c>
      <c r="H33" s="980" t="s">
        <v>1649</v>
      </c>
      <c r="I33" s="978" t="s">
        <v>883</v>
      </c>
      <c r="J33" s="978" t="s">
        <v>883</v>
      </c>
    </row>
    <row r="34" spans="1:10" ht="39.5" thickBot="1" x14ac:dyDescent="0.3">
      <c r="A34" s="982" t="s">
        <v>1813</v>
      </c>
      <c r="B34" s="970" t="s">
        <v>1885</v>
      </c>
      <c r="C34" s="968" t="s">
        <v>1905</v>
      </c>
      <c r="D34" s="977" t="s">
        <v>1906</v>
      </c>
      <c r="E34" s="978" t="s">
        <v>1907</v>
      </c>
      <c r="F34" s="979" t="s">
        <v>1622</v>
      </c>
      <c r="G34" s="979" t="s">
        <v>1622</v>
      </c>
      <c r="H34" s="980" t="s">
        <v>1872</v>
      </c>
      <c r="I34" s="978" t="s">
        <v>687</v>
      </c>
      <c r="J34" s="978" t="s">
        <v>687</v>
      </c>
    </row>
    <row r="35" spans="1:10" ht="39.5" thickBot="1" x14ac:dyDescent="0.3">
      <c r="A35" s="982" t="s">
        <v>1813</v>
      </c>
      <c r="B35" s="970" t="s">
        <v>1885</v>
      </c>
      <c r="C35" s="968" t="s">
        <v>1908</v>
      </c>
      <c r="D35" s="977" t="s">
        <v>1909</v>
      </c>
      <c r="E35" s="978" t="s">
        <v>1910</v>
      </c>
      <c r="F35" s="979" t="s">
        <v>1622</v>
      </c>
      <c r="G35" s="979" t="s">
        <v>1622</v>
      </c>
      <c r="H35" s="980" t="s">
        <v>1670</v>
      </c>
      <c r="I35" s="995" t="str">
        <f>TEXT(683500000,"### ###,00")&amp;" EUR"</f>
        <v>683 500 000,00 EUR</v>
      </c>
      <c r="J35" s="995" t="str">
        <f>TEXT(67585000,"### ###,00")&amp;" EUR"</f>
        <v>67 585 000,00 EUR</v>
      </c>
    </row>
    <row r="36" spans="1:10" ht="39.5" thickBot="1" x14ac:dyDescent="0.3">
      <c r="A36" s="982" t="s">
        <v>1813</v>
      </c>
      <c r="B36" s="970" t="s">
        <v>1885</v>
      </c>
      <c r="C36" s="968" t="s">
        <v>1911</v>
      </c>
      <c r="D36" s="977" t="s">
        <v>1912</v>
      </c>
      <c r="E36" s="978" t="s">
        <v>1913</v>
      </c>
      <c r="F36" s="979" t="s">
        <v>1622</v>
      </c>
      <c r="G36" s="979" t="s">
        <v>1622</v>
      </c>
      <c r="H36" s="980" t="s">
        <v>1670</v>
      </c>
      <c r="I36" s="978" t="str">
        <f>TEXT('11 - Notes Follow-up'!G24,"### ###,00")&amp;" EUR"</f>
        <v>633 803 781,08 EUR</v>
      </c>
      <c r="J36" s="978" t="str">
        <f>TEXT('11 - Notes Follow-up'!O24,"### ###,00")&amp;" EUR"</f>
        <v>67 585 000,00 EUR</v>
      </c>
    </row>
    <row r="37" spans="1:10" ht="88" thickBot="1" x14ac:dyDescent="0.3">
      <c r="A37" s="982" t="s">
        <v>1813</v>
      </c>
      <c r="B37" s="970" t="s">
        <v>1885</v>
      </c>
      <c r="C37" s="968" t="s">
        <v>1914</v>
      </c>
      <c r="D37" s="977" t="s">
        <v>1915</v>
      </c>
      <c r="E37" s="978" t="s">
        <v>1916</v>
      </c>
      <c r="F37" s="979" t="s">
        <v>1622</v>
      </c>
      <c r="G37" s="979" t="s">
        <v>1622</v>
      </c>
      <c r="H37" s="980" t="s">
        <v>1649</v>
      </c>
      <c r="I37" s="978" t="s">
        <v>886</v>
      </c>
      <c r="J37" s="978" t="s">
        <v>886</v>
      </c>
    </row>
    <row r="38" spans="1:10" ht="39.5" thickBot="1" x14ac:dyDescent="0.3">
      <c r="A38" s="982" t="s">
        <v>1813</v>
      </c>
      <c r="B38" s="970" t="s">
        <v>1885</v>
      </c>
      <c r="C38" s="968" t="s">
        <v>1917</v>
      </c>
      <c r="D38" s="977" t="s">
        <v>675</v>
      </c>
      <c r="E38" s="978" t="s">
        <v>1918</v>
      </c>
      <c r="F38" s="979" t="s">
        <v>1622</v>
      </c>
      <c r="G38" s="979" t="s">
        <v>1666</v>
      </c>
      <c r="H38" s="980" t="s">
        <v>1627</v>
      </c>
      <c r="I38" s="994">
        <f>'11 - Notes Follow-up'!B24</f>
        <v>45498</v>
      </c>
      <c r="J38" s="994">
        <f>I38</f>
        <v>45498</v>
      </c>
    </row>
    <row r="39" spans="1:10" ht="39.5" thickBot="1" x14ac:dyDescent="0.3">
      <c r="A39" s="982" t="s">
        <v>1813</v>
      </c>
      <c r="B39" s="970" t="s">
        <v>1885</v>
      </c>
      <c r="C39" s="968" t="s">
        <v>1919</v>
      </c>
      <c r="D39" s="977" t="s">
        <v>1920</v>
      </c>
      <c r="E39" s="978" t="s">
        <v>1921</v>
      </c>
      <c r="F39" s="979" t="s">
        <v>1622</v>
      </c>
      <c r="G39" s="979" t="s">
        <v>1666</v>
      </c>
      <c r="H39" s="980" t="s">
        <v>1627</v>
      </c>
      <c r="I39" s="994">
        <f>I38</f>
        <v>45498</v>
      </c>
      <c r="J39" s="994">
        <f>J38</f>
        <v>45498</v>
      </c>
    </row>
    <row r="40" spans="1:10" ht="39.5" thickBot="1" x14ac:dyDescent="0.3">
      <c r="A40" s="982" t="s">
        <v>1813</v>
      </c>
      <c r="B40" s="970" t="s">
        <v>1885</v>
      </c>
      <c r="C40" s="968" t="s">
        <v>1922</v>
      </c>
      <c r="D40" s="977" t="s">
        <v>1923</v>
      </c>
      <c r="E40" s="978" t="s">
        <v>1924</v>
      </c>
      <c r="F40" s="979" t="s">
        <v>1622</v>
      </c>
      <c r="G40" s="979" t="s">
        <v>1622</v>
      </c>
      <c r="H40" s="980" t="s">
        <v>1692</v>
      </c>
      <c r="I40" s="996">
        <f>'12 - Notes Interest'!G17</f>
        <v>2.5000000000000001E-3</v>
      </c>
      <c r="J40" s="996">
        <f>'12 - Notes Interest'!G23</f>
        <v>0</v>
      </c>
    </row>
    <row r="41" spans="1:10" ht="39.5" thickBot="1" x14ac:dyDescent="0.3">
      <c r="A41" s="982" t="s">
        <v>1813</v>
      </c>
      <c r="B41" s="970" t="s">
        <v>1885</v>
      </c>
      <c r="C41" s="968" t="s">
        <v>1925</v>
      </c>
      <c r="D41" s="977" t="s">
        <v>1926</v>
      </c>
      <c r="E41" s="978" t="s">
        <v>1927</v>
      </c>
      <c r="F41" s="979" t="s">
        <v>1622</v>
      </c>
      <c r="G41" s="979" t="s">
        <v>1666</v>
      </c>
      <c r="H41" s="980" t="s">
        <v>1692</v>
      </c>
      <c r="I41" s="1009">
        <f>I40</f>
        <v>2.5000000000000001E-3</v>
      </c>
      <c r="J41" s="1009">
        <f>J40</f>
        <v>0</v>
      </c>
    </row>
    <row r="42" spans="1:10" ht="39.5" thickBot="1" x14ac:dyDescent="0.3">
      <c r="A42" s="982" t="s">
        <v>1813</v>
      </c>
      <c r="B42" s="970" t="s">
        <v>1885</v>
      </c>
      <c r="C42" s="968" t="s">
        <v>1928</v>
      </c>
      <c r="D42" s="977" t="s">
        <v>1929</v>
      </c>
      <c r="E42" s="978" t="s">
        <v>1930</v>
      </c>
      <c r="F42" s="979" t="s">
        <v>1622</v>
      </c>
      <c r="G42" s="979" t="s">
        <v>1666</v>
      </c>
      <c r="H42" s="980" t="s">
        <v>1692</v>
      </c>
      <c r="I42" s="978" t="s">
        <v>2424</v>
      </c>
      <c r="J42" s="978" t="s">
        <v>2424</v>
      </c>
    </row>
    <row r="43" spans="1:10" ht="39.5" thickBot="1" x14ac:dyDescent="0.3">
      <c r="A43" s="982" t="s">
        <v>1813</v>
      </c>
      <c r="B43" s="970" t="s">
        <v>1885</v>
      </c>
      <c r="C43" s="968" t="s">
        <v>1931</v>
      </c>
      <c r="D43" s="977" t="s">
        <v>1932</v>
      </c>
      <c r="E43" s="978" t="s">
        <v>1933</v>
      </c>
      <c r="F43" s="979" t="s">
        <v>1622</v>
      </c>
      <c r="G43" s="979" t="s">
        <v>1666</v>
      </c>
      <c r="H43" s="980" t="s">
        <v>1692</v>
      </c>
      <c r="I43" s="978" t="s">
        <v>2424</v>
      </c>
      <c r="J43" s="978" t="s">
        <v>2424</v>
      </c>
    </row>
    <row r="44" spans="1:10" ht="39.5" thickBot="1" x14ac:dyDescent="0.3">
      <c r="A44" s="982" t="s">
        <v>1813</v>
      </c>
      <c r="B44" s="970" t="s">
        <v>1885</v>
      </c>
      <c r="C44" s="968" t="s">
        <v>1934</v>
      </c>
      <c r="D44" s="977" t="s">
        <v>1935</v>
      </c>
      <c r="E44" s="978" t="s">
        <v>1936</v>
      </c>
      <c r="F44" s="979" t="s">
        <v>1622</v>
      </c>
      <c r="G44" s="979" t="s">
        <v>1666</v>
      </c>
      <c r="H44" s="980" t="s">
        <v>1692</v>
      </c>
      <c r="I44" s="978" t="s">
        <v>2424</v>
      </c>
      <c r="J44" s="978" t="s">
        <v>2424</v>
      </c>
    </row>
    <row r="45" spans="1:10" ht="39.5" thickBot="1" x14ac:dyDescent="0.3">
      <c r="A45" s="982" t="s">
        <v>1813</v>
      </c>
      <c r="B45" s="970" t="s">
        <v>1885</v>
      </c>
      <c r="C45" s="968" t="s">
        <v>1937</v>
      </c>
      <c r="D45" s="977" t="s">
        <v>1938</v>
      </c>
      <c r="E45" s="978" t="s">
        <v>1939</v>
      </c>
      <c r="F45" s="979" t="s">
        <v>1622</v>
      </c>
      <c r="G45" s="979" t="s">
        <v>1666</v>
      </c>
      <c r="H45" s="980" t="s">
        <v>1627</v>
      </c>
      <c r="I45" s="978" t="s">
        <v>2424</v>
      </c>
      <c r="J45" s="978" t="s">
        <v>2424</v>
      </c>
    </row>
    <row r="46" spans="1:10" ht="75.5" thickBot="1" x14ac:dyDescent="0.3">
      <c r="A46" s="982" t="s">
        <v>1813</v>
      </c>
      <c r="B46" s="970" t="s">
        <v>1885</v>
      </c>
      <c r="C46" s="968" t="s">
        <v>1940</v>
      </c>
      <c r="D46" s="977" t="s">
        <v>1941</v>
      </c>
      <c r="E46" s="978" t="s">
        <v>1942</v>
      </c>
      <c r="F46" s="979" t="s">
        <v>1622</v>
      </c>
      <c r="G46" s="979" t="s">
        <v>1666</v>
      </c>
      <c r="H46" s="980" t="s">
        <v>1649</v>
      </c>
      <c r="I46" s="978" t="s">
        <v>2443</v>
      </c>
      <c r="J46" s="978" t="s">
        <v>2443</v>
      </c>
    </row>
    <row r="47" spans="1:10" ht="409.6" thickBot="1" x14ac:dyDescent="0.3">
      <c r="A47" s="982" t="s">
        <v>1813</v>
      </c>
      <c r="B47" s="970" t="s">
        <v>1885</v>
      </c>
      <c r="C47" s="968" t="s">
        <v>1943</v>
      </c>
      <c r="D47" s="977" t="s">
        <v>1944</v>
      </c>
      <c r="E47" s="978" t="s">
        <v>1945</v>
      </c>
      <c r="F47" s="979" t="s">
        <v>1622</v>
      </c>
      <c r="G47" s="979" t="s">
        <v>1666</v>
      </c>
      <c r="H47" s="980" t="s">
        <v>1649</v>
      </c>
      <c r="I47" s="978" t="s">
        <v>2424</v>
      </c>
      <c r="J47" s="978" t="s">
        <v>2424</v>
      </c>
    </row>
    <row r="48" spans="1:10" ht="200.5" thickBot="1" x14ac:dyDescent="0.3">
      <c r="A48" s="982" t="s">
        <v>1813</v>
      </c>
      <c r="B48" s="970" t="s">
        <v>1885</v>
      </c>
      <c r="C48" s="968" t="s">
        <v>1946</v>
      </c>
      <c r="D48" s="977" t="s">
        <v>1947</v>
      </c>
      <c r="E48" s="978" t="s">
        <v>1948</v>
      </c>
      <c r="F48" s="979" t="s">
        <v>1622</v>
      </c>
      <c r="G48" s="979" t="s">
        <v>1666</v>
      </c>
      <c r="H48" s="980" t="s">
        <v>1649</v>
      </c>
      <c r="I48" s="978" t="s">
        <v>2424</v>
      </c>
      <c r="J48" s="978" t="s">
        <v>2424</v>
      </c>
    </row>
    <row r="49" spans="1:10" ht="39.5" thickBot="1" x14ac:dyDescent="0.3">
      <c r="A49" s="982" t="s">
        <v>1813</v>
      </c>
      <c r="B49" s="970" t="s">
        <v>1885</v>
      </c>
      <c r="C49" s="968" t="s">
        <v>1949</v>
      </c>
      <c r="D49" s="977" t="s">
        <v>676</v>
      </c>
      <c r="E49" s="978" t="s">
        <v>1950</v>
      </c>
      <c r="F49" s="979" t="s">
        <v>1622</v>
      </c>
      <c r="G49" s="979" t="s">
        <v>1622</v>
      </c>
      <c r="H49" s="980" t="s">
        <v>1627</v>
      </c>
      <c r="I49" s="994">
        <f>'00 - Cover'!$F$18</f>
        <v>45268</v>
      </c>
      <c r="J49" s="994">
        <f>'00 - Cover'!$F$18</f>
        <v>45268</v>
      </c>
    </row>
    <row r="50" spans="1:10" ht="39.5" thickBot="1" x14ac:dyDescent="0.3">
      <c r="A50" s="982" t="s">
        <v>1813</v>
      </c>
      <c r="B50" s="970" t="s">
        <v>1885</v>
      </c>
      <c r="C50" s="968" t="s">
        <v>1951</v>
      </c>
      <c r="D50" s="977" t="s">
        <v>1952</v>
      </c>
      <c r="E50" s="978" t="s">
        <v>1953</v>
      </c>
      <c r="F50" s="979" t="s">
        <v>1622</v>
      </c>
      <c r="G50" s="979" t="s">
        <v>1666</v>
      </c>
      <c r="H50" s="980" t="s">
        <v>1627</v>
      </c>
      <c r="I50" s="994">
        <f>'17 - Calendar'!$K$39</f>
        <v>45407</v>
      </c>
      <c r="J50" s="994">
        <f>'17 - Calendar'!$K$39</f>
        <v>45407</v>
      </c>
    </row>
    <row r="51" spans="1:10" ht="39.5" thickBot="1" x14ac:dyDescent="0.3">
      <c r="A51" s="982" t="s">
        <v>1813</v>
      </c>
      <c r="B51" s="970" t="s">
        <v>1885</v>
      </c>
      <c r="C51" s="968" t="s">
        <v>1954</v>
      </c>
      <c r="D51" s="977" t="s">
        <v>1955</v>
      </c>
      <c r="E51" s="978" t="s">
        <v>1956</v>
      </c>
      <c r="F51" s="979" t="s">
        <v>1622</v>
      </c>
      <c r="G51" s="979" t="s">
        <v>1666</v>
      </c>
      <c r="H51" s="980" t="s">
        <v>1627</v>
      </c>
      <c r="I51" s="994">
        <v>55451</v>
      </c>
      <c r="J51" s="994">
        <v>55451</v>
      </c>
    </row>
    <row r="52" spans="1:10" ht="88" thickBot="1" x14ac:dyDescent="0.3">
      <c r="A52" s="982" t="s">
        <v>1813</v>
      </c>
      <c r="B52" s="970" t="s">
        <v>1885</v>
      </c>
      <c r="C52" s="968" t="s">
        <v>1957</v>
      </c>
      <c r="D52" s="977" t="s">
        <v>1958</v>
      </c>
      <c r="E52" s="978" t="s">
        <v>1959</v>
      </c>
      <c r="F52" s="979" t="s">
        <v>1622</v>
      </c>
      <c r="G52" s="979" t="s">
        <v>1666</v>
      </c>
      <c r="H52" s="980" t="s">
        <v>1649</v>
      </c>
      <c r="I52" s="978" t="s">
        <v>2424</v>
      </c>
      <c r="J52" s="978" t="s">
        <v>2424</v>
      </c>
    </row>
    <row r="53" spans="1:10" ht="39.5" thickBot="1" x14ac:dyDescent="0.3">
      <c r="A53" s="982" t="s">
        <v>1813</v>
      </c>
      <c r="B53" s="970" t="s">
        <v>1885</v>
      </c>
      <c r="C53" s="968" t="s">
        <v>1960</v>
      </c>
      <c r="D53" s="977" t="s">
        <v>1961</v>
      </c>
      <c r="E53" s="978" t="s">
        <v>1962</v>
      </c>
      <c r="F53" s="979" t="s">
        <v>1622</v>
      </c>
      <c r="G53" s="979" t="s">
        <v>1666</v>
      </c>
      <c r="H53" s="980" t="s">
        <v>1627</v>
      </c>
      <c r="I53" s="978" t="s">
        <v>2424</v>
      </c>
      <c r="J53" s="978" t="s">
        <v>2424</v>
      </c>
    </row>
    <row r="54" spans="1:10" ht="39.5" thickBot="1" x14ac:dyDescent="0.3">
      <c r="A54" s="982" t="s">
        <v>1813</v>
      </c>
      <c r="B54" s="970" t="s">
        <v>1885</v>
      </c>
      <c r="C54" s="968" t="s">
        <v>1963</v>
      </c>
      <c r="D54" s="977" t="s">
        <v>1964</v>
      </c>
      <c r="E54" s="978" t="s">
        <v>1965</v>
      </c>
      <c r="F54" s="979" t="s">
        <v>1622</v>
      </c>
      <c r="G54" s="979" t="s">
        <v>1666</v>
      </c>
      <c r="H54" s="980" t="s">
        <v>1768</v>
      </c>
      <c r="I54" s="978" t="s">
        <v>2424</v>
      </c>
      <c r="J54" s="978" t="s">
        <v>2424</v>
      </c>
    </row>
    <row r="55" spans="1:10" ht="39.5" thickBot="1" x14ac:dyDescent="0.3">
      <c r="A55" s="982" t="s">
        <v>1813</v>
      </c>
      <c r="B55" s="970" t="s">
        <v>1885</v>
      </c>
      <c r="C55" s="968" t="s">
        <v>1966</v>
      </c>
      <c r="D55" s="977" t="s">
        <v>1967</v>
      </c>
      <c r="E55" s="978" t="s">
        <v>1968</v>
      </c>
      <c r="F55" s="979" t="s">
        <v>1622</v>
      </c>
      <c r="G55" s="979" t="s">
        <v>1666</v>
      </c>
      <c r="H55" s="980" t="s">
        <v>1627</v>
      </c>
      <c r="I55" s="978" t="s">
        <v>2424</v>
      </c>
      <c r="J55" s="978" t="s">
        <v>2424</v>
      </c>
    </row>
    <row r="56" spans="1:10" ht="138" thickBot="1" x14ac:dyDescent="0.3">
      <c r="A56" s="982" t="s">
        <v>1813</v>
      </c>
      <c r="B56" s="970" t="s">
        <v>1885</v>
      </c>
      <c r="C56" s="968" t="s">
        <v>1969</v>
      </c>
      <c r="D56" s="977" t="s">
        <v>1970</v>
      </c>
      <c r="E56" s="978" t="s">
        <v>1971</v>
      </c>
      <c r="F56" s="979" t="s">
        <v>1622</v>
      </c>
      <c r="G56" s="979" t="s">
        <v>1666</v>
      </c>
      <c r="H56" s="980" t="s">
        <v>1649</v>
      </c>
      <c r="I56" s="978" t="s">
        <v>2446</v>
      </c>
      <c r="J56" s="978" t="s">
        <v>2424</v>
      </c>
    </row>
    <row r="57" spans="1:10" ht="39.5" thickBot="1" x14ac:dyDescent="0.3">
      <c r="A57" s="982" t="s">
        <v>1813</v>
      </c>
      <c r="B57" s="970" t="s">
        <v>1885</v>
      </c>
      <c r="C57" s="968" t="s">
        <v>1972</v>
      </c>
      <c r="D57" s="977" t="s">
        <v>1973</v>
      </c>
      <c r="E57" s="978" t="s">
        <v>2550</v>
      </c>
      <c r="F57" s="979" t="s">
        <v>1622</v>
      </c>
      <c r="G57" s="979" t="s">
        <v>1666</v>
      </c>
      <c r="H57" s="980" t="s">
        <v>1649</v>
      </c>
      <c r="I57" s="978" t="s">
        <v>883</v>
      </c>
      <c r="J57" s="978" t="s">
        <v>883</v>
      </c>
    </row>
    <row r="58" spans="1:10" ht="39.5" thickBot="1" x14ac:dyDescent="0.3">
      <c r="A58" s="982" t="s">
        <v>1813</v>
      </c>
      <c r="B58" s="970" t="s">
        <v>1885</v>
      </c>
      <c r="C58" s="968" t="s">
        <v>1974</v>
      </c>
      <c r="D58" s="977" t="s">
        <v>1975</v>
      </c>
      <c r="E58" s="978" t="s">
        <v>1976</v>
      </c>
      <c r="F58" s="979" t="s">
        <v>1622</v>
      </c>
      <c r="G58" s="979" t="s">
        <v>1666</v>
      </c>
      <c r="H58" s="980" t="s">
        <v>1692</v>
      </c>
      <c r="I58" s="978" t="s">
        <v>2424</v>
      </c>
      <c r="J58" s="978" t="s">
        <v>2424</v>
      </c>
    </row>
    <row r="59" spans="1:10" ht="39.5" thickBot="1" x14ac:dyDescent="0.3">
      <c r="A59" s="982" t="s">
        <v>1813</v>
      </c>
      <c r="B59" s="970" t="s">
        <v>1885</v>
      </c>
      <c r="C59" s="968" t="s">
        <v>1977</v>
      </c>
      <c r="D59" s="977" t="s">
        <v>1978</v>
      </c>
      <c r="E59" s="978" t="s">
        <v>1979</v>
      </c>
      <c r="F59" s="979" t="s">
        <v>1622</v>
      </c>
      <c r="G59" s="979" t="s">
        <v>1666</v>
      </c>
      <c r="H59" s="980" t="s">
        <v>1692</v>
      </c>
      <c r="I59" s="978" t="s">
        <v>2424</v>
      </c>
      <c r="J59" s="978" t="s">
        <v>2424</v>
      </c>
    </row>
    <row r="60" spans="1:10" ht="39.5" thickBot="1" x14ac:dyDescent="0.3">
      <c r="A60" s="982" t="s">
        <v>1813</v>
      </c>
      <c r="B60" s="970" t="s">
        <v>1885</v>
      </c>
      <c r="C60" s="968" t="s">
        <v>1980</v>
      </c>
      <c r="D60" s="977" t="s">
        <v>1981</v>
      </c>
      <c r="E60" s="978" t="s">
        <v>1982</v>
      </c>
      <c r="F60" s="979" t="s">
        <v>1622</v>
      </c>
      <c r="G60" s="979" t="s">
        <v>1622</v>
      </c>
      <c r="H60" s="980" t="s">
        <v>1692</v>
      </c>
      <c r="I60" s="1008">
        <f>('16 - Simplified Balance Sheet'!K15+'16 - Simplified Balance Sheet'!F20)/'16 - Simplified Balance Sheet'!K13</f>
        <v>0.12202396680296559</v>
      </c>
      <c r="J60" s="1007">
        <v>0</v>
      </c>
    </row>
    <row r="61" spans="1:10" ht="39.5" thickBot="1" x14ac:dyDescent="0.3">
      <c r="A61" s="982" t="s">
        <v>1813</v>
      </c>
      <c r="B61" s="970" t="s">
        <v>1885</v>
      </c>
      <c r="C61" s="968" t="s">
        <v>1983</v>
      </c>
      <c r="D61" s="977" t="s">
        <v>1984</v>
      </c>
      <c r="E61" s="978" t="s">
        <v>1985</v>
      </c>
      <c r="F61" s="979" t="s">
        <v>1622</v>
      </c>
      <c r="G61" s="979" t="s">
        <v>1666</v>
      </c>
      <c r="H61" s="980" t="s">
        <v>1692</v>
      </c>
      <c r="I61" s="978" t="s">
        <v>2424</v>
      </c>
      <c r="J61" s="978" t="s">
        <v>2424</v>
      </c>
    </row>
    <row r="62" spans="1:10" ht="39.5" thickBot="1" x14ac:dyDescent="0.3">
      <c r="A62" s="982" t="s">
        <v>1813</v>
      </c>
      <c r="B62" s="970" t="s">
        <v>1885</v>
      </c>
      <c r="C62" s="968" t="s">
        <v>1986</v>
      </c>
      <c r="D62" s="977" t="s">
        <v>1987</v>
      </c>
      <c r="E62" s="978" t="s">
        <v>1988</v>
      </c>
      <c r="F62" s="979" t="s">
        <v>1622</v>
      </c>
      <c r="G62" s="979" t="s">
        <v>1622</v>
      </c>
      <c r="H62" s="980" t="s">
        <v>1768</v>
      </c>
      <c r="I62" s="978" t="s">
        <v>2507</v>
      </c>
      <c r="J62" s="978" t="s">
        <v>2508</v>
      </c>
    </row>
    <row r="63" spans="1:10" ht="39.5" thickBot="1" x14ac:dyDescent="0.3">
      <c r="A63" s="982" t="s">
        <v>1813</v>
      </c>
      <c r="B63" s="970" t="s">
        <v>1885</v>
      </c>
      <c r="C63" s="968" t="s">
        <v>1989</v>
      </c>
      <c r="D63" s="977" t="s">
        <v>1990</v>
      </c>
      <c r="E63" s="978" t="s">
        <v>1991</v>
      </c>
      <c r="F63" s="979" t="s">
        <v>1622</v>
      </c>
      <c r="G63" s="979" t="s">
        <v>1666</v>
      </c>
      <c r="H63" s="980" t="s">
        <v>1898</v>
      </c>
      <c r="I63" s="978" t="str">
        <f>I29</f>
        <v>FR001400MGQ7</v>
      </c>
      <c r="J63" s="978" t="str">
        <f>J29</f>
        <v>FR001400MGO2</v>
      </c>
    </row>
    <row r="64" spans="1:10" ht="39.5" thickBot="1" x14ac:dyDescent="0.3">
      <c r="A64" s="982" t="s">
        <v>1813</v>
      </c>
      <c r="B64" s="970" t="s">
        <v>1885</v>
      </c>
      <c r="C64" s="968" t="s">
        <v>1992</v>
      </c>
      <c r="D64" s="977" t="s">
        <v>1993</v>
      </c>
      <c r="E64" s="978" t="s">
        <v>1994</v>
      </c>
      <c r="F64" s="979" t="s">
        <v>1622</v>
      </c>
      <c r="G64" s="979" t="s">
        <v>1666</v>
      </c>
      <c r="H64" s="980" t="s">
        <v>1898</v>
      </c>
      <c r="I64" s="978" t="s">
        <v>726</v>
      </c>
      <c r="J64" s="978" t="s">
        <v>2445</v>
      </c>
    </row>
    <row r="65" spans="1:18" ht="39.5" thickBot="1" x14ac:dyDescent="0.3">
      <c r="A65" s="982" t="s">
        <v>1813</v>
      </c>
      <c r="B65" s="970" t="s">
        <v>1885</v>
      </c>
      <c r="C65" s="968" t="s">
        <v>1995</v>
      </c>
      <c r="D65" s="977" t="s">
        <v>1996</v>
      </c>
      <c r="E65" s="978" t="s">
        <v>1997</v>
      </c>
      <c r="F65" s="979" t="s">
        <v>1622</v>
      </c>
      <c r="G65" s="979" t="s">
        <v>1666</v>
      </c>
      <c r="H65" s="980" t="s">
        <v>1670</v>
      </c>
      <c r="I65" s="995" t="str">
        <f>TEXT('10 -Principal Deficiency Ledger'!K12,"### ###0,00")&amp;" EUR"</f>
        <v>0,00 EUR</v>
      </c>
      <c r="J65" s="978" t="str">
        <f>TEXT('10 -Principal Deficiency Ledger'!H12,"### ###0,00")&amp;" EUR"</f>
        <v>0,00 EUR</v>
      </c>
    </row>
    <row r="66" spans="1:18" ht="39.5" thickBot="1" x14ac:dyDescent="0.3">
      <c r="A66" s="982" t="s">
        <v>1813</v>
      </c>
      <c r="B66" s="970" t="s">
        <v>1885</v>
      </c>
      <c r="C66" s="968" t="s">
        <v>1998</v>
      </c>
      <c r="D66" s="977" t="s">
        <v>1999</v>
      </c>
      <c r="E66" s="978" t="s">
        <v>2000</v>
      </c>
      <c r="F66" s="979" t="s">
        <v>1622</v>
      </c>
      <c r="G66" s="979" t="s">
        <v>1666</v>
      </c>
      <c r="H66" s="980" t="s">
        <v>2001</v>
      </c>
      <c r="I66" s="978" t="s">
        <v>2424</v>
      </c>
      <c r="J66" s="978" t="s">
        <v>2424</v>
      </c>
    </row>
    <row r="67" spans="1:18" ht="39.5" thickBot="1" x14ac:dyDescent="0.3">
      <c r="A67" s="982" t="s">
        <v>1813</v>
      </c>
      <c r="B67" s="970" t="s">
        <v>1885</v>
      </c>
      <c r="C67" s="968" t="s">
        <v>2002</v>
      </c>
      <c r="D67" s="977" t="s">
        <v>2003</v>
      </c>
      <c r="E67" s="978" t="s">
        <v>2004</v>
      </c>
      <c r="F67" s="979" t="s">
        <v>1622</v>
      </c>
      <c r="G67" s="979" t="s">
        <v>1666</v>
      </c>
      <c r="H67" s="980" t="s">
        <v>1768</v>
      </c>
      <c r="I67" s="978" t="s">
        <v>2424</v>
      </c>
      <c r="J67" s="978" t="s">
        <v>2424</v>
      </c>
    </row>
    <row r="68" spans="1:18" ht="39.5" thickBot="1" x14ac:dyDescent="0.3">
      <c r="A68" s="982" t="s">
        <v>1813</v>
      </c>
      <c r="B68" s="970" t="s">
        <v>1885</v>
      </c>
      <c r="C68" s="968" t="s">
        <v>2005</v>
      </c>
      <c r="D68" s="977" t="s">
        <v>2006</v>
      </c>
      <c r="E68" s="978" t="s">
        <v>2007</v>
      </c>
      <c r="F68" s="979" t="s">
        <v>1622</v>
      </c>
      <c r="G68" s="979" t="s">
        <v>1666</v>
      </c>
      <c r="H68" s="980" t="s">
        <v>2008</v>
      </c>
      <c r="I68" s="978" t="s">
        <v>2424</v>
      </c>
      <c r="J68" s="978" t="s">
        <v>2424</v>
      </c>
    </row>
    <row r="69" spans="1:18" ht="100.5" thickBot="1" x14ac:dyDescent="0.3">
      <c r="A69" s="982" t="s">
        <v>1813</v>
      </c>
      <c r="B69" s="970" t="s">
        <v>1885</v>
      </c>
      <c r="C69" s="968" t="s">
        <v>2009</v>
      </c>
      <c r="D69" s="977" t="s">
        <v>2010</v>
      </c>
      <c r="E69" s="978" t="s">
        <v>2011</v>
      </c>
      <c r="F69" s="979" t="s">
        <v>1622</v>
      </c>
      <c r="G69" s="979" t="s">
        <v>1666</v>
      </c>
      <c r="H69" s="980" t="s">
        <v>1649</v>
      </c>
      <c r="I69" s="978" t="s">
        <v>2424</v>
      </c>
      <c r="J69" s="978" t="s">
        <v>2424</v>
      </c>
    </row>
    <row r="70" spans="1:18" ht="39.5" thickBot="1" x14ac:dyDescent="0.3">
      <c r="A70" s="982" t="s">
        <v>1813</v>
      </c>
      <c r="B70" s="970" t="s">
        <v>2012</v>
      </c>
      <c r="C70" s="971" t="s">
        <v>2013</v>
      </c>
      <c r="D70" s="972"/>
      <c r="E70" s="973"/>
      <c r="F70" s="974" t="s">
        <v>657</v>
      </c>
      <c r="G70" s="974" t="s">
        <v>657</v>
      </c>
      <c r="H70" s="975"/>
      <c r="I70" s="976"/>
    </row>
    <row r="71" spans="1:18" ht="39.5" thickBot="1" x14ac:dyDescent="0.3">
      <c r="A71" s="982" t="s">
        <v>1813</v>
      </c>
      <c r="B71" s="970" t="s">
        <v>2012</v>
      </c>
      <c r="C71" s="968" t="s">
        <v>2014</v>
      </c>
      <c r="D71" s="977" t="s">
        <v>1620</v>
      </c>
      <c r="E71" s="978" t="s">
        <v>1888</v>
      </c>
      <c r="F71" s="979" t="s">
        <v>1622</v>
      </c>
      <c r="G71" s="979" t="s">
        <v>1622</v>
      </c>
      <c r="H71" s="980" t="s">
        <v>1623</v>
      </c>
      <c r="I71" s="987" t="str">
        <f>I3</f>
        <v>969500Z05GRNU3KPEY94</v>
      </c>
      <c r="J71" s="987" t="str">
        <f>I71</f>
        <v>969500Z05GRNU3KPEY94</v>
      </c>
      <c r="K71" s="987" t="str">
        <f t="shared" ref="K71:L71" si="0">J71</f>
        <v>969500Z05GRNU3KPEY94</v>
      </c>
      <c r="L71" s="987" t="str">
        <f t="shared" si="0"/>
        <v>969500Z05GRNU3KPEY94</v>
      </c>
    </row>
    <row r="72" spans="1:18" ht="39.5" thickBot="1" x14ac:dyDescent="0.3">
      <c r="A72" s="982" t="s">
        <v>1813</v>
      </c>
      <c r="B72" s="970" t="s">
        <v>2012</v>
      </c>
      <c r="C72" s="968" t="s">
        <v>2015</v>
      </c>
      <c r="D72" s="977" t="s">
        <v>2016</v>
      </c>
      <c r="E72" s="978" t="s">
        <v>2017</v>
      </c>
      <c r="F72" s="979" t="s">
        <v>1622</v>
      </c>
      <c r="G72" s="979" t="s">
        <v>1622</v>
      </c>
      <c r="H72" s="980" t="s">
        <v>1768</v>
      </c>
      <c r="I72" s="980" t="str">
        <f>'13 - Issuer Account'!C10</f>
        <v>General Account 479325K</v>
      </c>
      <c r="J72" s="980" t="str">
        <f>'13 - Issuer Account'!C30</f>
        <v>Principal Account 479327R</v>
      </c>
      <c r="K72" s="980" t="str">
        <f>'13 - Issuer Account'!C41</f>
        <v>Interest Account 479326M</v>
      </c>
      <c r="L72" s="980" t="str">
        <f>'13 - Issuer Account'!C52</f>
        <v>Reserve Account 479328U</v>
      </c>
    </row>
    <row r="73" spans="1:18" ht="39.5" thickBot="1" x14ac:dyDescent="0.3">
      <c r="A73" s="982" t="s">
        <v>1813</v>
      </c>
      <c r="B73" s="970" t="s">
        <v>2012</v>
      </c>
      <c r="C73" s="968" t="s">
        <v>2018</v>
      </c>
      <c r="D73" s="977" t="s">
        <v>2019</v>
      </c>
      <c r="E73" s="978" t="s">
        <v>2020</v>
      </c>
      <c r="F73" s="979" t="s">
        <v>1622</v>
      </c>
      <c r="G73" s="979" t="s">
        <v>1622</v>
      </c>
      <c r="H73" s="980" t="s">
        <v>1768</v>
      </c>
      <c r="I73" s="980" t="str">
        <f>I72</f>
        <v>General Account 479325K</v>
      </c>
      <c r="J73" s="980" t="str">
        <f t="shared" ref="J73:L73" si="1">J72</f>
        <v>Principal Account 479327R</v>
      </c>
      <c r="K73" s="980" t="str">
        <f t="shared" si="1"/>
        <v>Interest Account 479326M</v>
      </c>
      <c r="L73" s="980" t="str">
        <f t="shared" si="1"/>
        <v>Reserve Account 479328U</v>
      </c>
    </row>
    <row r="74" spans="1:18" ht="100.5" thickBot="1" x14ac:dyDescent="0.3">
      <c r="A74" s="982" t="s">
        <v>1813</v>
      </c>
      <c r="B74" s="970" t="s">
        <v>2012</v>
      </c>
      <c r="C74" s="968" t="s">
        <v>2021</v>
      </c>
      <c r="D74" s="977" t="s">
        <v>2022</v>
      </c>
      <c r="E74" s="978" t="s">
        <v>2023</v>
      </c>
      <c r="F74" s="979" t="s">
        <v>1622</v>
      </c>
      <c r="G74" s="979" t="s">
        <v>1622</v>
      </c>
      <c r="H74" s="980" t="s">
        <v>1649</v>
      </c>
      <c r="I74" s="980" t="s">
        <v>883</v>
      </c>
      <c r="J74" s="980" t="s">
        <v>883</v>
      </c>
      <c r="K74" s="980" t="s">
        <v>883</v>
      </c>
      <c r="L74" s="980" t="s">
        <v>2444</v>
      </c>
    </row>
    <row r="75" spans="1:18" ht="50.5" thickBot="1" x14ac:dyDescent="0.3">
      <c r="A75" s="982" t="s">
        <v>1813</v>
      </c>
      <c r="B75" s="970" t="s">
        <v>2012</v>
      </c>
      <c r="C75" s="968" t="s">
        <v>2024</v>
      </c>
      <c r="D75" s="977" t="s">
        <v>2025</v>
      </c>
      <c r="E75" s="978" t="s">
        <v>2026</v>
      </c>
      <c r="F75" s="979" t="s">
        <v>1622</v>
      </c>
      <c r="G75" s="979" t="s">
        <v>1666</v>
      </c>
      <c r="H75" s="980" t="s">
        <v>1670</v>
      </c>
      <c r="I75" s="1004" t="s">
        <v>2483</v>
      </c>
      <c r="J75" s="1004" t="s">
        <v>2483</v>
      </c>
      <c r="K75" s="1004" t="s">
        <v>2483</v>
      </c>
      <c r="L75" s="1004" t="str">
        <f>TEXT(10252500,"### ###,00")&amp;" EUR"</f>
        <v>10 252 500,00 EUR</v>
      </c>
    </row>
    <row r="76" spans="1:18" ht="39.5" thickBot="1" x14ac:dyDescent="0.3">
      <c r="A76" s="982" t="s">
        <v>1813</v>
      </c>
      <c r="B76" s="970" t="s">
        <v>2012</v>
      </c>
      <c r="C76" s="968" t="s">
        <v>2027</v>
      </c>
      <c r="D76" s="977" t="s">
        <v>2028</v>
      </c>
      <c r="E76" s="978" t="s">
        <v>2029</v>
      </c>
      <c r="F76" s="979" t="s">
        <v>1622</v>
      </c>
      <c r="G76" s="979" t="s">
        <v>1622</v>
      </c>
      <c r="H76" s="980" t="s">
        <v>1670</v>
      </c>
      <c r="I76" s="980" t="str">
        <f>TEXT('13 - Issuer Account'!I26,"### ###0,00")&amp;" EUR"</f>
        <v>0,00 EUR</v>
      </c>
      <c r="J76" s="980" t="str">
        <f>TEXT('13 - Issuer Account'!I36,"### ###0,00")&amp;" EUR"</f>
        <v>0,00 EUR</v>
      </c>
      <c r="K76" s="980" t="str">
        <f>TEXT('13 - Issuer Account'!I48,"### ###0,00")&amp;" EUR"</f>
        <v>0,00 EUR</v>
      </c>
      <c r="L76" s="980" t="str">
        <f>TEXT('13 - Issuer Account'!I61,"### ###0,00")&amp;" EUR"</f>
        <v>9 754 251,54 EUR</v>
      </c>
    </row>
    <row r="77" spans="1:18" ht="39.5" thickBot="1" x14ac:dyDescent="0.3">
      <c r="A77" s="982" t="s">
        <v>1813</v>
      </c>
      <c r="B77" s="970" t="s">
        <v>2012</v>
      </c>
      <c r="C77" s="968" t="s">
        <v>2030</v>
      </c>
      <c r="D77" s="977" t="s">
        <v>2031</v>
      </c>
      <c r="E77" s="978" t="s">
        <v>2032</v>
      </c>
      <c r="F77" s="979" t="s">
        <v>1622</v>
      </c>
      <c r="G77" s="979" t="s">
        <v>1622</v>
      </c>
      <c r="H77" s="980" t="s">
        <v>1659</v>
      </c>
      <c r="I77" s="980" t="s">
        <v>2422</v>
      </c>
      <c r="J77" s="980" t="s">
        <v>2422</v>
      </c>
      <c r="K77" s="980" t="s">
        <v>2422</v>
      </c>
      <c r="L77" s="980" t="s">
        <v>2422</v>
      </c>
    </row>
    <row r="78" spans="1:18" ht="39.5" thickBot="1" x14ac:dyDescent="0.3">
      <c r="A78" s="982" t="s">
        <v>1813</v>
      </c>
      <c r="B78" s="970" t="s">
        <v>2033</v>
      </c>
      <c r="C78" s="971" t="s">
        <v>2034</v>
      </c>
      <c r="D78" s="972"/>
      <c r="E78" s="973"/>
      <c r="F78" s="974" t="s">
        <v>657</v>
      </c>
      <c r="G78" s="974" t="s">
        <v>657</v>
      </c>
      <c r="H78" s="975"/>
      <c r="I78" s="976"/>
    </row>
    <row r="79" spans="1:18" ht="39.5" thickBot="1" x14ac:dyDescent="0.3">
      <c r="A79" s="982" t="s">
        <v>1813</v>
      </c>
      <c r="B79" s="970" t="s">
        <v>2033</v>
      </c>
      <c r="C79" s="968" t="s">
        <v>2035</v>
      </c>
      <c r="D79" s="977" t="s">
        <v>1620</v>
      </c>
      <c r="E79" s="978" t="s">
        <v>1888</v>
      </c>
      <c r="F79" s="979" t="s">
        <v>1622</v>
      </c>
      <c r="G79" s="979" t="s">
        <v>1622</v>
      </c>
      <c r="H79" s="980" t="s">
        <v>1623</v>
      </c>
      <c r="I79" s="987" t="str">
        <f>'00 - Cover'!$F$11</f>
        <v>969500Z05GRNU3KPEY94</v>
      </c>
      <c r="J79" s="987" t="str">
        <f>'00 - Cover'!$F$11</f>
        <v>969500Z05GRNU3KPEY94</v>
      </c>
      <c r="K79" s="987" t="str">
        <f>'00 - Cover'!$F$11</f>
        <v>969500Z05GRNU3KPEY94</v>
      </c>
      <c r="L79" s="987" t="str">
        <f>'00 - Cover'!$F$11</f>
        <v>969500Z05GRNU3KPEY94</v>
      </c>
      <c r="M79" s="987" t="str">
        <f>'00 - Cover'!$F$11</f>
        <v>969500Z05GRNU3KPEY94</v>
      </c>
      <c r="N79" s="987" t="str">
        <f>'00 - Cover'!$F$11</f>
        <v>969500Z05GRNU3KPEY94</v>
      </c>
      <c r="O79" s="987" t="str">
        <f>'00 - Cover'!$F$11</f>
        <v>969500Z05GRNU3KPEY94</v>
      </c>
      <c r="P79" s="987" t="str">
        <f>'00 - Cover'!$F$11</f>
        <v>969500Z05GRNU3KPEY94</v>
      </c>
      <c r="Q79" s="987" t="str">
        <f>'00 - Cover'!$F$11</f>
        <v>969500Z05GRNU3KPEY94</v>
      </c>
      <c r="R79" s="987" t="str">
        <f>'00 - Cover'!$F$11</f>
        <v>969500Z05GRNU3KPEY94</v>
      </c>
    </row>
    <row r="80" spans="1:18" ht="39.5" thickBot="1" x14ac:dyDescent="0.3">
      <c r="A80" s="982" t="s">
        <v>1813</v>
      </c>
      <c r="B80" s="970" t="s">
        <v>2033</v>
      </c>
      <c r="C80" s="968" t="s">
        <v>2036</v>
      </c>
      <c r="D80" s="977" t="s">
        <v>2037</v>
      </c>
      <c r="E80" s="978" t="s">
        <v>2038</v>
      </c>
      <c r="F80" s="979" t="s">
        <v>1622</v>
      </c>
      <c r="G80" s="979" t="s">
        <v>1622</v>
      </c>
      <c r="H80" s="980" t="s">
        <v>2001</v>
      </c>
      <c r="I80" s="980" t="s">
        <v>2492</v>
      </c>
      <c r="J80" s="980" t="s">
        <v>899</v>
      </c>
      <c r="K80" s="980" t="s">
        <v>899</v>
      </c>
      <c r="L80" s="980" t="s">
        <v>899</v>
      </c>
      <c r="M80" s="980" t="s">
        <v>899</v>
      </c>
      <c r="N80" s="980" t="s">
        <v>2486</v>
      </c>
      <c r="O80" s="980" t="s">
        <v>2486</v>
      </c>
      <c r="P80" s="980" t="s">
        <v>2486</v>
      </c>
      <c r="Q80" s="980" t="s">
        <v>2488</v>
      </c>
      <c r="R80" s="980" t="s">
        <v>2490</v>
      </c>
    </row>
    <row r="81" spans="1:18" ht="39.5" thickBot="1" x14ac:dyDescent="0.3">
      <c r="A81" s="982" t="s">
        <v>1813</v>
      </c>
      <c r="B81" s="970" t="s">
        <v>2033</v>
      </c>
      <c r="C81" s="968" t="s">
        <v>2039</v>
      </c>
      <c r="D81" s="977" t="s">
        <v>2040</v>
      </c>
      <c r="E81" s="978" t="s">
        <v>2041</v>
      </c>
      <c r="F81" s="979" t="s">
        <v>1622</v>
      </c>
      <c r="G81" s="979" t="s">
        <v>1622</v>
      </c>
      <c r="H81" s="980" t="s">
        <v>1631</v>
      </c>
      <c r="I81" s="980" t="s">
        <v>249</v>
      </c>
      <c r="J81" s="980" t="s">
        <v>250</v>
      </c>
      <c r="K81" s="980" t="s">
        <v>250</v>
      </c>
      <c r="L81" s="980" t="s">
        <v>250</v>
      </c>
      <c r="M81" s="980" t="s">
        <v>250</v>
      </c>
      <c r="N81" s="980" t="s">
        <v>1518</v>
      </c>
      <c r="O81" s="980" t="s">
        <v>1518</v>
      </c>
      <c r="P81" s="980" t="s">
        <v>1518</v>
      </c>
      <c r="Q81" s="980" t="s">
        <v>2489</v>
      </c>
      <c r="R81" s="980" t="s">
        <v>2491</v>
      </c>
    </row>
    <row r="82" spans="1:18" ht="409.6" thickBot="1" x14ac:dyDescent="0.3">
      <c r="A82" s="982" t="s">
        <v>1813</v>
      </c>
      <c r="B82" s="970" t="s">
        <v>2033</v>
      </c>
      <c r="C82" s="968" t="s">
        <v>2042</v>
      </c>
      <c r="D82" s="977" t="s">
        <v>2043</v>
      </c>
      <c r="E82" s="985" t="s">
        <v>2044</v>
      </c>
      <c r="F82" s="979" t="s">
        <v>1622</v>
      </c>
      <c r="G82" s="979" t="s">
        <v>1622</v>
      </c>
      <c r="H82" s="980" t="s">
        <v>1649</v>
      </c>
      <c r="I82" s="980" t="s">
        <v>2497</v>
      </c>
      <c r="J82" s="980" t="s">
        <v>2502</v>
      </c>
      <c r="K82" s="980" t="s">
        <v>2420</v>
      </c>
      <c r="L82" s="980" t="s">
        <v>2498</v>
      </c>
      <c r="M82" s="980" t="s">
        <v>2501</v>
      </c>
      <c r="N82" s="980" t="s">
        <v>2500</v>
      </c>
      <c r="O82" s="980" t="s">
        <v>2499</v>
      </c>
      <c r="P82" s="980" t="s">
        <v>2503</v>
      </c>
      <c r="Q82" s="980" t="s">
        <v>2504</v>
      </c>
      <c r="R82" s="980" t="s">
        <v>2505</v>
      </c>
    </row>
    <row r="83" spans="1:18" ht="39.5" thickBot="1" x14ac:dyDescent="0.3">
      <c r="A83" s="982" t="s">
        <v>1813</v>
      </c>
      <c r="B83" s="970" t="s">
        <v>2033</v>
      </c>
      <c r="C83" s="968" t="s">
        <v>2045</v>
      </c>
      <c r="D83" s="977" t="s">
        <v>2046</v>
      </c>
      <c r="E83" s="978" t="s">
        <v>2047</v>
      </c>
      <c r="F83" s="979" t="s">
        <v>1622</v>
      </c>
      <c r="G83" s="979" t="s">
        <v>1622</v>
      </c>
      <c r="H83" s="980" t="s">
        <v>2048</v>
      </c>
      <c r="I83" s="980" t="s">
        <v>2484</v>
      </c>
      <c r="J83" s="980" t="s">
        <v>2484</v>
      </c>
      <c r="K83" s="980" t="s">
        <v>2484</v>
      </c>
      <c r="L83" s="980" t="s">
        <v>2484</v>
      </c>
      <c r="M83" s="980" t="s">
        <v>2484</v>
      </c>
      <c r="N83" s="980" t="s">
        <v>2487</v>
      </c>
      <c r="O83" s="980" t="s">
        <v>2484</v>
      </c>
      <c r="P83" s="980" t="s">
        <v>2484</v>
      </c>
      <c r="Q83" s="980" t="s">
        <v>2487</v>
      </c>
      <c r="R83" s="980" t="s">
        <v>2484</v>
      </c>
    </row>
    <row r="84" spans="1:18" ht="63" thickBot="1" x14ac:dyDescent="0.3">
      <c r="A84" s="982" t="s">
        <v>1813</v>
      </c>
      <c r="B84" s="970" t="s">
        <v>2033</v>
      </c>
      <c r="C84" s="968" t="s">
        <v>2049</v>
      </c>
      <c r="D84" s="977" t="s">
        <v>2050</v>
      </c>
      <c r="E84" s="978" t="s">
        <v>2051</v>
      </c>
      <c r="F84" s="979" t="s">
        <v>1622</v>
      </c>
      <c r="G84" s="979" t="s">
        <v>1666</v>
      </c>
      <c r="H84" s="980" t="s">
        <v>1775</v>
      </c>
      <c r="I84" s="980" t="s">
        <v>2424</v>
      </c>
      <c r="J84" s="980" t="s">
        <v>2424</v>
      </c>
      <c r="K84" s="980" t="s">
        <v>2424</v>
      </c>
      <c r="L84" s="980" t="s">
        <v>2424</v>
      </c>
      <c r="M84" s="980" t="s">
        <v>2424</v>
      </c>
      <c r="N84" s="980" t="s">
        <v>2485</v>
      </c>
      <c r="O84" s="980" t="s">
        <v>2424</v>
      </c>
      <c r="P84" s="980" t="s">
        <v>2424</v>
      </c>
      <c r="Q84" s="980" t="s">
        <v>2424</v>
      </c>
      <c r="R84" s="980" t="s">
        <v>2424</v>
      </c>
    </row>
    <row r="85" spans="1:18" ht="63" thickBot="1" x14ac:dyDescent="0.3">
      <c r="A85" s="982" t="s">
        <v>1813</v>
      </c>
      <c r="B85" s="970" t="s">
        <v>2033</v>
      </c>
      <c r="C85" s="968" t="s">
        <v>2052</v>
      </c>
      <c r="D85" s="977" t="s">
        <v>2053</v>
      </c>
      <c r="E85" s="978" t="s">
        <v>2054</v>
      </c>
      <c r="F85" s="979" t="s">
        <v>1622</v>
      </c>
      <c r="G85" s="979" t="s">
        <v>1666</v>
      </c>
      <c r="H85" s="980" t="s">
        <v>1775</v>
      </c>
      <c r="I85" s="980" t="s">
        <v>2424</v>
      </c>
      <c r="J85" s="980" t="s">
        <v>2424</v>
      </c>
      <c r="K85" s="980" t="s">
        <v>2424</v>
      </c>
      <c r="L85" s="980" t="s">
        <v>2424</v>
      </c>
      <c r="M85" s="980" t="s">
        <v>2424</v>
      </c>
      <c r="N85" s="980" t="s">
        <v>2495</v>
      </c>
      <c r="O85" s="980" t="s">
        <v>2424</v>
      </c>
      <c r="P85" s="980" t="s">
        <v>2424</v>
      </c>
      <c r="Q85" s="980" t="s">
        <v>2424</v>
      </c>
      <c r="R85" s="980" t="s">
        <v>2424</v>
      </c>
    </row>
    <row r="86" spans="1:18" ht="75.5" thickBot="1" x14ac:dyDescent="0.3">
      <c r="A86" s="982" t="s">
        <v>1813</v>
      </c>
      <c r="B86" s="970" t="s">
        <v>2033</v>
      </c>
      <c r="C86" s="968" t="s">
        <v>2055</v>
      </c>
      <c r="D86" s="977" t="s">
        <v>2056</v>
      </c>
      <c r="E86" s="978" t="s">
        <v>2057</v>
      </c>
      <c r="F86" s="979" t="s">
        <v>1622</v>
      </c>
      <c r="G86" s="979" t="s">
        <v>1666</v>
      </c>
      <c r="H86" s="980" t="s">
        <v>2001</v>
      </c>
      <c r="I86" s="980" t="s">
        <v>2424</v>
      </c>
      <c r="J86" s="980" t="s">
        <v>2424</v>
      </c>
      <c r="K86" s="980" t="s">
        <v>2424</v>
      </c>
      <c r="L86" s="980" t="s">
        <v>2424</v>
      </c>
      <c r="M86" s="980" t="s">
        <v>2424</v>
      </c>
      <c r="N86" s="980" t="s">
        <v>2494</v>
      </c>
      <c r="O86" s="980" t="s">
        <v>2424</v>
      </c>
      <c r="P86" s="980" t="s">
        <v>2424</v>
      </c>
      <c r="Q86" s="980" t="s">
        <v>2424</v>
      </c>
      <c r="R86" s="980" t="s">
        <v>2424</v>
      </c>
    </row>
    <row r="87" spans="1:18" ht="75.5" thickBot="1" x14ac:dyDescent="0.3">
      <c r="A87" s="982" t="s">
        <v>1813</v>
      </c>
      <c r="B87" s="970" t="s">
        <v>2033</v>
      </c>
      <c r="C87" s="968" t="s">
        <v>2058</v>
      </c>
      <c r="D87" s="977" t="s">
        <v>2059</v>
      </c>
      <c r="E87" s="978" t="s">
        <v>2060</v>
      </c>
      <c r="F87" s="979" t="s">
        <v>1622</v>
      </c>
      <c r="G87" s="979" t="s">
        <v>1666</v>
      </c>
      <c r="H87" s="980" t="s">
        <v>1631</v>
      </c>
      <c r="I87" s="980" t="s">
        <v>2424</v>
      </c>
      <c r="J87" s="980" t="s">
        <v>2424</v>
      </c>
      <c r="K87" s="980" t="s">
        <v>2424</v>
      </c>
      <c r="L87" s="980" t="s">
        <v>2424</v>
      </c>
      <c r="M87" s="980" t="s">
        <v>2424</v>
      </c>
      <c r="N87" s="980" t="s">
        <v>2493</v>
      </c>
      <c r="O87" s="980" t="s">
        <v>2424</v>
      </c>
      <c r="P87" s="980" t="s">
        <v>2424</v>
      </c>
      <c r="Q87" s="980" t="s">
        <v>2424</v>
      </c>
      <c r="R87" s="980" t="s">
        <v>2424</v>
      </c>
    </row>
    <row r="88" spans="1:18" ht="39.5" thickBot="1" x14ac:dyDescent="0.3">
      <c r="A88" s="982" t="s">
        <v>1813</v>
      </c>
      <c r="B88" s="970" t="s">
        <v>2061</v>
      </c>
      <c r="C88" s="971" t="s">
        <v>2062</v>
      </c>
      <c r="D88" s="972"/>
      <c r="E88" s="973"/>
      <c r="F88" s="984" t="s">
        <v>657</v>
      </c>
      <c r="G88" s="974" t="s">
        <v>657</v>
      </c>
      <c r="H88" s="975"/>
      <c r="I88" s="976"/>
    </row>
    <row r="89" spans="1:18" ht="39.5" thickBot="1" x14ac:dyDescent="0.3">
      <c r="A89" s="982" t="s">
        <v>1813</v>
      </c>
      <c r="B89" s="970" t="s">
        <v>2061</v>
      </c>
      <c r="C89" s="968" t="s">
        <v>2063</v>
      </c>
      <c r="D89" s="977" t="s">
        <v>1620</v>
      </c>
      <c r="E89" s="978" t="s">
        <v>1888</v>
      </c>
      <c r="F89" s="979" t="s">
        <v>1622</v>
      </c>
      <c r="G89" s="979" t="s">
        <v>1622</v>
      </c>
      <c r="H89" s="980" t="s">
        <v>1623</v>
      </c>
      <c r="I89" s="987" t="str">
        <f>I3</f>
        <v>969500Z05GRNU3KPEY94</v>
      </c>
    </row>
    <row r="90" spans="1:18" ht="39.5" thickBot="1" x14ac:dyDescent="0.3">
      <c r="A90" s="982" t="s">
        <v>1813</v>
      </c>
      <c r="B90" s="970" t="s">
        <v>2061</v>
      </c>
      <c r="C90" s="968" t="s">
        <v>2064</v>
      </c>
      <c r="D90" s="977" t="s">
        <v>2065</v>
      </c>
      <c r="E90" s="978" t="s">
        <v>2066</v>
      </c>
      <c r="F90" s="979" t="s">
        <v>1622</v>
      </c>
      <c r="G90" s="979" t="s">
        <v>1666</v>
      </c>
      <c r="H90" s="980" t="s">
        <v>1627</v>
      </c>
      <c r="I90" s="980" t="s">
        <v>2424</v>
      </c>
    </row>
    <row r="91" spans="1:18" ht="63" thickBot="1" x14ac:dyDescent="0.3">
      <c r="A91" s="982" t="s">
        <v>1813</v>
      </c>
      <c r="B91" s="970" t="s">
        <v>2061</v>
      </c>
      <c r="C91" s="968" t="s">
        <v>2067</v>
      </c>
      <c r="D91" s="977" t="s">
        <v>2068</v>
      </c>
      <c r="E91" s="978" t="s">
        <v>2069</v>
      </c>
      <c r="F91" s="979" t="s">
        <v>1622</v>
      </c>
      <c r="G91" s="979" t="s">
        <v>1666</v>
      </c>
      <c r="H91" s="980" t="s">
        <v>1649</v>
      </c>
      <c r="I91" s="980" t="s">
        <v>2447</v>
      </c>
    </row>
    <row r="92" spans="1:18" ht="88" thickBot="1" x14ac:dyDescent="0.3">
      <c r="A92" s="982" t="s">
        <v>1813</v>
      </c>
      <c r="B92" s="970" t="s">
        <v>2061</v>
      </c>
      <c r="C92" s="968" t="s">
        <v>2070</v>
      </c>
      <c r="D92" s="977" t="s">
        <v>2071</v>
      </c>
      <c r="E92" s="978" t="s">
        <v>2072</v>
      </c>
      <c r="F92" s="979" t="s">
        <v>1622</v>
      </c>
      <c r="G92" s="979" t="s">
        <v>1622</v>
      </c>
      <c r="H92" s="980" t="s">
        <v>1649</v>
      </c>
      <c r="I92" s="980" t="s">
        <v>883</v>
      </c>
    </row>
    <row r="93" spans="1:18" ht="39.5" thickBot="1" x14ac:dyDescent="0.3">
      <c r="A93" s="982" t="s">
        <v>1813</v>
      </c>
      <c r="B93" s="970" t="s">
        <v>2061</v>
      </c>
      <c r="C93" s="968" t="s">
        <v>2073</v>
      </c>
      <c r="D93" s="977" t="s">
        <v>2074</v>
      </c>
      <c r="E93" s="978" t="s">
        <v>2075</v>
      </c>
      <c r="F93" s="979" t="s">
        <v>1622</v>
      </c>
      <c r="G93" s="979" t="s">
        <v>1666</v>
      </c>
      <c r="H93" s="980" t="s">
        <v>1627</v>
      </c>
      <c r="I93" s="980" t="s">
        <v>2424</v>
      </c>
    </row>
    <row r="94" spans="1:18" ht="39.5" thickBot="1" x14ac:dyDescent="0.3">
      <c r="A94" s="982" t="s">
        <v>1813</v>
      </c>
      <c r="B94" s="970" t="s">
        <v>2061</v>
      </c>
      <c r="C94" s="968" t="s">
        <v>2076</v>
      </c>
      <c r="D94" s="977" t="s">
        <v>2077</v>
      </c>
      <c r="E94" s="978" t="s">
        <v>2078</v>
      </c>
      <c r="F94" s="979" t="s">
        <v>1622</v>
      </c>
      <c r="G94" s="979" t="s">
        <v>1666</v>
      </c>
      <c r="H94" s="980" t="s">
        <v>1627</v>
      </c>
      <c r="I94" s="980" t="s">
        <v>2424</v>
      </c>
    </row>
    <row r="95" spans="1:18" ht="50.5" thickBot="1" x14ac:dyDescent="0.3">
      <c r="A95" s="982" t="s">
        <v>1813</v>
      </c>
      <c r="B95" s="970" t="s">
        <v>2061</v>
      </c>
      <c r="C95" s="968" t="s">
        <v>2079</v>
      </c>
      <c r="D95" s="977" t="s">
        <v>2080</v>
      </c>
      <c r="E95" s="978" t="s">
        <v>2081</v>
      </c>
      <c r="F95" s="979" t="s">
        <v>1622</v>
      </c>
      <c r="G95" s="979" t="s">
        <v>1666</v>
      </c>
      <c r="H95" s="980" t="s">
        <v>1692</v>
      </c>
      <c r="I95" s="980" t="s">
        <v>2424</v>
      </c>
    </row>
    <row r="96" spans="1:18" ht="39.5" thickBot="1" x14ac:dyDescent="0.3">
      <c r="A96" s="982" t="s">
        <v>1813</v>
      </c>
      <c r="B96" s="970" t="s">
        <v>2061</v>
      </c>
      <c r="C96" s="968" t="s">
        <v>2082</v>
      </c>
      <c r="D96" s="977" t="s">
        <v>2083</v>
      </c>
      <c r="E96" s="978" t="s">
        <v>2084</v>
      </c>
      <c r="F96" s="979" t="s">
        <v>1622</v>
      </c>
      <c r="G96" s="979" t="s">
        <v>1666</v>
      </c>
      <c r="H96" s="980" t="s">
        <v>1692</v>
      </c>
      <c r="I96" s="980" t="s">
        <v>2424</v>
      </c>
    </row>
    <row r="97" spans="1:9" ht="39.5" thickBot="1" x14ac:dyDescent="0.3">
      <c r="A97" s="982" t="s">
        <v>1813</v>
      </c>
      <c r="B97" s="970" t="s">
        <v>2061</v>
      </c>
      <c r="C97" s="968" t="s">
        <v>2085</v>
      </c>
      <c r="D97" s="977" t="s">
        <v>2086</v>
      </c>
      <c r="E97" s="978" t="s">
        <v>2087</v>
      </c>
      <c r="F97" s="979" t="s">
        <v>1622</v>
      </c>
      <c r="G97" s="979" t="s">
        <v>1666</v>
      </c>
      <c r="H97" s="980" t="s">
        <v>1692</v>
      </c>
      <c r="I97" s="980" t="s">
        <v>2424</v>
      </c>
    </row>
    <row r="98" spans="1:9" ht="39.5" thickBot="1" x14ac:dyDescent="0.3">
      <c r="A98" s="982" t="s">
        <v>1813</v>
      </c>
      <c r="B98" s="970" t="s">
        <v>2061</v>
      </c>
      <c r="C98" s="968" t="s">
        <v>2088</v>
      </c>
      <c r="D98" s="977" t="s">
        <v>2089</v>
      </c>
      <c r="E98" s="978" t="s">
        <v>2090</v>
      </c>
      <c r="F98" s="979" t="s">
        <v>1622</v>
      </c>
      <c r="G98" s="979" t="s">
        <v>1666</v>
      </c>
      <c r="H98" s="980" t="s">
        <v>1692</v>
      </c>
      <c r="I98" s="980" t="s">
        <v>2424</v>
      </c>
    </row>
    <row r="99" spans="1:9" ht="39.5" thickBot="1" x14ac:dyDescent="0.3">
      <c r="A99" s="982" t="s">
        <v>1813</v>
      </c>
      <c r="B99" s="970" t="s">
        <v>2061</v>
      </c>
      <c r="C99" s="968" t="s">
        <v>2091</v>
      </c>
      <c r="D99" s="977" t="s">
        <v>2092</v>
      </c>
      <c r="E99" s="978" t="s">
        <v>2093</v>
      </c>
      <c r="F99" s="979" t="s">
        <v>1622</v>
      </c>
      <c r="G99" s="979" t="s">
        <v>1666</v>
      </c>
      <c r="H99" s="980" t="s">
        <v>1692</v>
      </c>
      <c r="I99" s="980" t="s">
        <v>2424</v>
      </c>
    </row>
    <row r="100" spans="1:9" ht="39.5" thickBot="1" x14ac:dyDescent="0.3">
      <c r="A100" s="982" t="s">
        <v>1813</v>
      </c>
      <c r="B100" s="970" t="s">
        <v>2061</v>
      </c>
      <c r="C100" s="968" t="s">
        <v>2094</v>
      </c>
      <c r="D100" s="977" t="s">
        <v>2095</v>
      </c>
      <c r="E100" s="978" t="s">
        <v>2096</v>
      </c>
      <c r="F100" s="979" t="s">
        <v>1622</v>
      </c>
      <c r="G100" s="979" t="s">
        <v>1666</v>
      </c>
      <c r="H100" s="980" t="s">
        <v>1692</v>
      </c>
      <c r="I100" s="980" t="s">
        <v>2424</v>
      </c>
    </row>
    <row r="101" spans="1:9" ht="39.5" thickBot="1" x14ac:dyDescent="0.3">
      <c r="A101" s="982" t="s">
        <v>1813</v>
      </c>
      <c r="B101" s="970" t="s">
        <v>2061</v>
      </c>
      <c r="C101" s="968" t="s">
        <v>2097</v>
      </c>
      <c r="D101" s="977" t="s">
        <v>2098</v>
      </c>
      <c r="E101" s="978" t="s">
        <v>2099</v>
      </c>
      <c r="F101" s="979" t="s">
        <v>1622</v>
      </c>
      <c r="G101" s="979" t="s">
        <v>1666</v>
      </c>
      <c r="H101" s="980" t="s">
        <v>1692</v>
      </c>
      <c r="I101" s="980" t="s">
        <v>2424</v>
      </c>
    </row>
    <row r="102" spans="1:9" ht="39.5" thickBot="1" x14ac:dyDescent="0.3">
      <c r="A102" s="982" t="s">
        <v>1813</v>
      </c>
      <c r="B102" s="970" t="s">
        <v>2061</v>
      </c>
      <c r="C102" s="968" t="s">
        <v>2100</v>
      </c>
      <c r="D102" s="977" t="s">
        <v>2101</v>
      </c>
      <c r="E102" s="978" t="s">
        <v>2102</v>
      </c>
      <c r="F102" s="979" t="s">
        <v>1622</v>
      </c>
      <c r="G102" s="979" t="s">
        <v>1666</v>
      </c>
      <c r="H102" s="980" t="s">
        <v>1692</v>
      </c>
      <c r="I102" s="980" t="s">
        <v>2424</v>
      </c>
    </row>
    <row r="103" spans="1:9" ht="39.5" thickBot="1" x14ac:dyDescent="0.3">
      <c r="A103" s="982" t="s">
        <v>1813</v>
      </c>
      <c r="B103" s="970" t="s">
        <v>2061</v>
      </c>
      <c r="C103" s="968" t="s">
        <v>2103</v>
      </c>
      <c r="D103" s="977" t="s">
        <v>2104</v>
      </c>
      <c r="E103" s="978" t="s">
        <v>2105</v>
      </c>
      <c r="F103" s="979" t="s">
        <v>1622</v>
      </c>
      <c r="G103" s="979" t="s">
        <v>1666</v>
      </c>
      <c r="H103" s="980" t="s">
        <v>1692</v>
      </c>
      <c r="I103" s="980" t="s">
        <v>2424</v>
      </c>
    </row>
    <row r="104" spans="1:9" ht="39.5" thickBot="1" x14ac:dyDescent="0.3">
      <c r="A104" s="982" t="s">
        <v>1813</v>
      </c>
      <c r="B104" s="970" t="s">
        <v>2061</v>
      </c>
      <c r="C104" s="968" t="s">
        <v>2106</v>
      </c>
      <c r="D104" s="977" t="s">
        <v>2107</v>
      </c>
      <c r="E104" s="978" t="s">
        <v>2108</v>
      </c>
      <c r="F104" s="979" t="s">
        <v>1622</v>
      </c>
      <c r="G104" s="979" t="s">
        <v>1622</v>
      </c>
      <c r="H104" s="980" t="s">
        <v>1670</v>
      </c>
      <c r="I104" s="980" t="s">
        <v>2483</v>
      </c>
    </row>
    <row r="105" spans="1:9" ht="39.5" thickBot="1" x14ac:dyDescent="0.3">
      <c r="A105" s="982" t="s">
        <v>1813</v>
      </c>
      <c r="B105" s="970" t="s">
        <v>2061</v>
      </c>
      <c r="C105" s="968" t="s">
        <v>2109</v>
      </c>
      <c r="D105" s="977" t="s">
        <v>2110</v>
      </c>
      <c r="E105" s="978" t="s">
        <v>2111</v>
      </c>
      <c r="F105" s="979" t="s">
        <v>1622</v>
      </c>
      <c r="G105" s="979" t="s">
        <v>1622</v>
      </c>
      <c r="H105" s="980" t="s">
        <v>1670</v>
      </c>
      <c r="I105" s="980" t="s">
        <v>2483</v>
      </c>
    </row>
    <row r="106" spans="1:9" ht="39.5" thickBot="1" x14ac:dyDescent="0.3">
      <c r="A106" s="982" t="s">
        <v>1813</v>
      </c>
      <c r="B106" s="970" t="s">
        <v>2061</v>
      </c>
      <c r="C106" s="968" t="s">
        <v>2112</v>
      </c>
      <c r="D106" s="977" t="s">
        <v>2113</v>
      </c>
      <c r="E106" s="978" t="s">
        <v>2114</v>
      </c>
      <c r="F106" s="979" t="s">
        <v>1622</v>
      </c>
      <c r="G106" s="979" t="s">
        <v>1622</v>
      </c>
      <c r="H106" s="980" t="s">
        <v>1659</v>
      </c>
      <c r="I106" s="980" t="s">
        <v>2423</v>
      </c>
    </row>
    <row r="107" spans="1:9" ht="39.5" thickBot="1" x14ac:dyDescent="0.3">
      <c r="A107" s="982" t="s">
        <v>1813</v>
      </c>
      <c r="B107" s="970" t="s">
        <v>2061</v>
      </c>
      <c r="C107" s="968" t="s">
        <v>2115</v>
      </c>
      <c r="D107" s="977" t="s">
        <v>2116</v>
      </c>
      <c r="E107" s="978" t="s">
        <v>2117</v>
      </c>
      <c r="F107" s="979" t="s">
        <v>1622</v>
      </c>
      <c r="G107" s="979" t="s">
        <v>1622</v>
      </c>
      <c r="H107" s="980" t="s">
        <v>1659</v>
      </c>
      <c r="I107" s="980" t="s">
        <v>2423</v>
      </c>
    </row>
    <row r="108" spans="1:9" ht="39.5" thickBot="1" x14ac:dyDescent="0.3">
      <c r="A108" s="982" t="s">
        <v>1813</v>
      </c>
      <c r="B108" s="970" t="s">
        <v>2061</v>
      </c>
      <c r="C108" s="968" t="s">
        <v>2118</v>
      </c>
      <c r="D108" s="977" t="s">
        <v>2119</v>
      </c>
      <c r="E108" s="978" t="s">
        <v>2120</v>
      </c>
      <c r="F108" s="979" t="s">
        <v>1622</v>
      </c>
      <c r="G108" s="979" t="s">
        <v>1622</v>
      </c>
      <c r="H108" s="980" t="s">
        <v>1659</v>
      </c>
      <c r="I108" s="980" t="s">
        <v>2423</v>
      </c>
    </row>
    <row r="109" spans="1:9" ht="39.5" thickBot="1" x14ac:dyDescent="0.3">
      <c r="A109" s="982" t="s">
        <v>1813</v>
      </c>
      <c r="B109" s="970" t="s">
        <v>2061</v>
      </c>
      <c r="C109" s="968" t="s">
        <v>2121</v>
      </c>
      <c r="D109" s="977" t="s">
        <v>2122</v>
      </c>
      <c r="E109" s="978" t="s">
        <v>2123</v>
      </c>
      <c r="F109" s="979" t="s">
        <v>1622</v>
      </c>
      <c r="G109" s="979" t="s">
        <v>1622</v>
      </c>
      <c r="H109" s="980" t="s">
        <v>1659</v>
      </c>
      <c r="I109" s="980" t="s">
        <v>2423</v>
      </c>
    </row>
    <row r="110" spans="1:9" ht="39.5" thickBot="1" x14ac:dyDescent="0.3">
      <c r="A110" s="982" t="s">
        <v>1813</v>
      </c>
      <c r="B110" s="970" t="s">
        <v>2061</v>
      </c>
      <c r="C110" s="968" t="s">
        <v>2124</v>
      </c>
      <c r="D110" s="977" t="s">
        <v>2125</v>
      </c>
      <c r="E110" s="978" t="s">
        <v>2126</v>
      </c>
      <c r="F110" s="979" t="s">
        <v>1622</v>
      </c>
      <c r="G110" s="979" t="s">
        <v>1622</v>
      </c>
      <c r="H110" s="980" t="s">
        <v>1659</v>
      </c>
      <c r="I110" s="980" t="s">
        <v>2422</v>
      </c>
    </row>
    <row r="111" spans="1:9" ht="39.5" thickBot="1" x14ac:dyDescent="0.3">
      <c r="A111" s="982" t="s">
        <v>1813</v>
      </c>
      <c r="B111" s="970" t="s">
        <v>2061</v>
      </c>
      <c r="C111" s="968" t="s">
        <v>2127</v>
      </c>
      <c r="D111" s="977" t="s">
        <v>2128</v>
      </c>
      <c r="E111" s="978" t="s">
        <v>2129</v>
      </c>
      <c r="F111" s="979" t="s">
        <v>1622</v>
      </c>
      <c r="G111" s="979" t="s">
        <v>1622</v>
      </c>
      <c r="H111" s="980" t="s">
        <v>1659</v>
      </c>
      <c r="I111" s="980" t="s">
        <v>2422</v>
      </c>
    </row>
    <row r="112" spans="1:9" ht="39.5" thickBot="1" x14ac:dyDescent="0.3">
      <c r="A112" s="982" t="s">
        <v>1813</v>
      </c>
      <c r="B112" s="970" t="s">
        <v>2061</v>
      </c>
      <c r="C112" s="968" t="s">
        <v>2130</v>
      </c>
      <c r="D112" s="977" t="s">
        <v>2131</v>
      </c>
      <c r="E112" s="978" t="s">
        <v>2132</v>
      </c>
      <c r="F112" s="979" t="s">
        <v>1622</v>
      </c>
      <c r="G112" s="979" t="s">
        <v>1622</v>
      </c>
      <c r="H112" s="980" t="s">
        <v>1659</v>
      </c>
      <c r="I112" s="980" t="s">
        <v>2423</v>
      </c>
    </row>
    <row r="113" spans="1:9" ht="39.5" thickBot="1" x14ac:dyDescent="0.3">
      <c r="A113" s="982" t="s">
        <v>1813</v>
      </c>
      <c r="B113" s="970" t="s">
        <v>2061</v>
      </c>
      <c r="C113" s="968" t="s">
        <v>2133</v>
      </c>
      <c r="D113" s="977" t="s">
        <v>2134</v>
      </c>
      <c r="E113" s="978" t="s">
        <v>2135</v>
      </c>
      <c r="F113" s="979" t="s">
        <v>1622</v>
      </c>
      <c r="G113" s="979" t="s">
        <v>1622</v>
      </c>
      <c r="H113" s="980" t="s">
        <v>1659</v>
      </c>
      <c r="I113" s="980" t="s">
        <v>2423</v>
      </c>
    </row>
    <row r="114" spans="1:9" ht="39.5" thickBot="1" x14ac:dyDescent="0.3">
      <c r="A114" s="982" t="s">
        <v>1813</v>
      </c>
      <c r="B114" s="970" t="s">
        <v>2061</v>
      </c>
      <c r="C114" s="968" t="s">
        <v>2136</v>
      </c>
      <c r="D114" s="977" t="s">
        <v>2137</v>
      </c>
      <c r="E114" s="978" t="s">
        <v>2138</v>
      </c>
      <c r="F114" s="979" t="s">
        <v>1622</v>
      </c>
      <c r="G114" s="979" t="s">
        <v>1666</v>
      </c>
      <c r="H114" s="980" t="s">
        <v>1789</v>
      </c>
      <c r="I114" s="980" t="s">
        <v>2424</v>
      </c>
    </row>
    <row r="115" spans="1:9" ht="39.5" thickBot="1" x14ac:dyDescent="0.3">
      <c r="A115" s="982" t="s">
        <v>1813</v>
      </c>
      <c r="B115" s="970" t="s">
        <v>2061</v>
      </c>
      <c r="C115" s="968" t="s">
        <v>2139</v>
      </c>
      <c r="D115" s="977" t="s">
        <v>2140</v>
      </c>
      <c r="E115" s="978" t="s">
        <v>2141</v>
      </c>
      <c r="F115" s="979" t="s">
        <v>1622</v>
      </c>
      <c r="G115" s="979" t="s">
        <v>1622</v>
      </c>
      <c r="H115" s="980" t="s">
        <v>1659</v>
      </c>
      <c r="I115" s="980" t="s">
        <v>2422</v>
      </c>
    </row>
    <row r="116" spans="1:9" ht="39.5" thickBot="1" x14ac:dyDescent="0.3">
      <c r="A116" s="982" t="s">
        <v>1813</v>
      </c>
      <c r="B116" s="970" t="s">
        <v>2142</v>
      </c>
      <c r="C116" s="971" t="s">
        <v>2143</v>
      </c>
      <c r="D116" s="972"/>
      <c r="E116" s="973"/>
      <c r="F116" s="974" t="s">
        <v>657</v>
      </c>
      <c r="G116" s="974" t="s">
        <v>657</v>
      </c>
      <c r="H116" s="975"/>
      <c r="I116" s="976"/>
    </row>
    <row r="117" spans="1:9" ht="39.5" thickBot="1" x14ac:dyDescent="0.3">
      <c r="A117" s="982" t="s">
        <v>1813</v>
      </c>
      <c r="B117" s="970" t="s">
        <v>2142</v>
      </c>
      <c r="C117" s="968" t="s">
        <v>2144</v>
      </c>
      <c r="D117" s="977" t="s">
        <v>1620</v>
      </c>
      <c r="E117" s="978" t="s">
        <v>1888</v>
      </c>
      <c r="F117" s="979" t="s">
        <v>1622</v>
      </c>
      <c r="G117" s="979" t="s">
        <v>1622</v>
      </c>
      <c r="H117" s="980" t="s">
        <v>1623</v>
      </c>
      <c r="I117" s="987" t="str">
        <f>I3</f>
        <v>969500Z05GRNU3KPEY94</v>
      </c>
    </row>
    <row r="118" spans="1:9" ht="39.5" thickBot="1" x14ac:dyDescent="0.3">
      <c r="A118" s="982" t="s">
        <v>1813</v>
      </c>
      <c r="B118" s="970" t="s">
        <v>2142</v>
      </c>
      <c r="C118" s="968" t="s">
        <v>2145</v>
      </c>
      <c r="D118" s="977" t="s">
        <v>2146</v>
      </c>
      <c r="E118" s="978" t="s">
        <v>2147</v>
      </c>
      <c r="F118" s="979" t="s">
        <v>1622</v>
      </c>
      <c r="G118" s="979" t="s">
        <v>1622</v>
      </c>
      <c r="H118" s="980" t="s">
        <v>2001</v>
      </c>
      <c r="I118" s="980" t="str">
        <f>I80</f>
        <v>969500CY9YKWDZW47Y85</v>
      </c>
    </row>
    <row r="119" spans="1:9" ht="39.5" thickBot="1" x14ac:dyDescent="0.3">
      <c r="A119" s="982" t="s">
        <v>1813</v>
      </c>
      <c r="B119" s="970" t="s">
        <v>2142</v>
      </c>
      <c r="C119" s="968" t="s">
        <v>2148</v>
      </c>
      <c r="D119" s="977" t="s">
        <v>2149</v>
      </c>
      <c r="E119" s="978" t="s">
        <v>2150</v>
      </c>
      <c r="F119" s="979" t="s">
        <v>1622</v>
      </c>
      <c r="G119" s="979" t="s">
        <v>1622</v>
      </c>
      <c r="H119" s="980" t="s">
        <v>1768</v>
      </c>
      <c r="I119" s="980" t="str">
        <f>I82</f>
        <v>MNGR</v>
      </c>
    </row>
    <row r="120" spans="1:9" ht="39.5" thickBot="1" x14ac:dyDescent="0.3">
      <c r="A120" s="982" t="s">
        <v>1813</v>
      </c>
      <c r="B120" s="970" t="s">
        <v>2142</v>
      </c>
      <c r="C120" s="968" t="s">
        <v>2151</v>
      </c>
      <c r="D120" s="977" t="s">
        <v>131</v>
      </c>
      <c r="E120" s="978" t="s">
        <v>2152</v>
      </c>
      <c r="F120" s="979" t="s">
        <v>1622</v>
      </c>
      <c r="G120" s="979" t="s">
        <v>1666</v>
      </c>
      <c r="H120" s="980" t="s">
        <v>1627</v>
      </c>
      <c r="I120" s="980" t="s">
        <v>2424</v>
      </c>
    </row>
    <row r="121" spans="1:9" ht="39.5" thickBot="1" x14ac:dyDescent="0.3">
      <c r="A121" s="982" t="s">
        <v>1813</v>
      </c>
      <c r="B121" s="970" t="s">
        <v>2142</v>
      </c>
      <c r="C121" s="968" t="s">
        <v>2153</v>
      </c>
      <c r="D121" s="977" t="s">
        <v>2154</v>
      </c>
      <c r="E121" s="978" t="s">
        <v>2155</v>
      </c>
      <c r="F121" s="979" t="s">
        <v>1622</v>
      </c>
      <c r="G121" s="979" t="s">
        <v>1666</v>
      </c>
      <c r="H121" s="980" t="s">
        <v>1627</v>
      </c>
      <c r="I121" s="980" t="s">
        <v>2424</v>
      </c>
    </row>
    <row r="122" spans="1:9" ht="39.5" thickBot="1" x14ac:dyDescent="0.3">
      <c r="A122" s="982" t="s">
        <v>1813</v>
      </c>
      <c r="B122" s="970" t="s">
        <v>2142</v>
      </c>
      <c r="C122" s="968" t="s">
        <v>2156</v>
      </c>
      <c r="D122" s="977" t="s">
        <v>2157</v>
      </c>
      <c r="E122" s="978" t="s">
        <v>2158</v>
      </c>
      <c r="F122" s="979" t="s">
        <v>1622</v>
      </c>
      <c r="G122" s="979" t="s">
        <v>1622</v>
      </c>
      <c r="H122" s="980" t="s">
        <v>1789</v>
      </c>
      <c r="I122" s="980">
        <v>0</v>
      </c>
    </row>
    <row r="123" spans="1:9" ht="39.5" thickBot="1" x14ac:dyDescent="0.3">
      <c r="A123" s="982" t="s">
        <v>1813</v>
      </c>
      <c r="B123" s="970" t="s">
        <v>2142</v>
      </c>
      <c r="C123" s="968" t="s">
        <v>2159</v>
      </c>
      <c r="D123" s="977" t="s">
        <v>2160</v>
      </c>
      <c r="E123" s="978" t="s">
        <v>2161</v>
      </c>
      <c r="F123" s="979" t="s">
        <v>1622</v>
      </c>
      <c r="G123" s="979" t="s">
        <v>1622</v>
      </c>
      <c r="H123" s="980" t="s">
        <v>1789</v>
      </c>
      <c r="I123" s="980">
        <v>0</v>
      </c>
    </row>
    <row r="124" spans="1:9" ht="39.5" thickBot="1" x14ac:dyDescent="0.3">
      <c r="A124" s="982" t="s">
        <v>1813</v>
      </c>
      <c r="B124" s="970" t="s">
        <v>2142</v>
      </c>
      <c r="C124" s="968" t="s">
        <v>2162</v>
      </c>
      <c r="D124" s="977" t="s">
        <v>2163</v>
      </c>
      <c r="E124" s="978" t="s">
        <v>2164</v>
      </c>
      <c r="F124" s="979" t="s">
        <v>1622</v>
      </c>
      <c r="G124" s="979" t="s">
        <v>1622</v>
      </c>
      <c r="H124" s="980" t="s">
        <v>1789</v>
      </c>
      <c r="I124" s="980">
        <v>0</v>
      </c>
    </row>
    <row r="125" spans="1:9" ht="39.5" thickBot="1" x14ac:dyDescent="0.3">
      <c r="A125" s="982" t="s">
        <v>1813</v>
      </c>
      <c r="B125" s="970" t="s">
        <v>2142</v>
      </c>
      <c r="C125" s="968" t="s">
        <v>2165</v>
      </c>
      <c r="D125" s="977" t="s">
        <v>2166</v>
      </c>
      <c r="E125" s="978" t="s">
        <v>2167</v>
      </c>
      <c r="F125" s="979" t="s">
        <v>1622</v>
      </c>
      <c r="G125" s="979" t="s">
        <v>1622</v>
      </c>
      <c r="H125" s="980" t="s">
        <v>1670</v>
      </c>
      <c r="I125" s="980" t="s">
        <v>2483</v>
      </c>
    </row>
    <row r="126" spans="1:9" ht="39.5" thickBot="1" x14ac:dyDescent="0.3">
      <c r="A126" s="982" t="s">
        <v>1813</v>
      </c>
      <c r="B126" s="970" t="s">
        <v>2142</v>
      </c>
      <c r="C126" s="968" t="s">
        <v>2168</v>
      </c>
      <c r="D126" s="977" t="s">
        <v>2169</v>
      </c>
      <c r="E126" s="978" t="s">
        <v>2170</v>
      </c>
      <c r="F126" s="979" t="s">
        <v>1622</v>
      </c>
      <c r="G126" s="979" t="s">
        <v>1622</v>
      </c>
      <c r="H126" s="980" t="s">
        <v>1670</v>
      </c>
      <c r="I126" s="980" t="s">
        <v>2483</v>
      </c>
    </row>
    <row r="127" spans="1:9" ht="39.5" thickBot="1" x14ac:dyDescent="0.3">
      <c r="A127" s="982" t="s">
        <v>1813</v>
      </c>
      <c r="B127" s="970" t="s">
        <v>2142</v>
      </c>
      <c r="C127" s="968" t="s">
        <v>2171</v>
      </c>
      <c r="D127" s="977" t="s">
        <v>2172</v>
      </c>
      <c r="E127" s="978" t="s">
        <v>2173</v>
      </c>
      <c r="F127" s="979" t="s">
        <v>1622</v>
      </c>
      <c r="G127" s="979" t="s">
        <v>1622</v>
      </c>
      <c r="H127" s="980" t="s">
        <v>1670</v>
      </c>
      <c r="I127" s="980">
        <v>0</v>
      </c>
    </row>
    <row r="128" spans="1:9" ht="39.5" thickBot="1" x14ac:dyDescent="0.3">
      <c r="A128" s="982" t="s">
        <v>1813</v>
      </c>
      <c r="B128" s="970" t="s">
        <v>2142</v>
      </c>
      <c r="C128" s="968" t="s">
        <v>2174</v>
      </c>
      <c r="D128" s="977" t="s">
        <v>2175</v>
      </c>
      <c r="E128" s="978" t="s">
        <v>2176</v>
      </c>
      <c r="F128" s="979" t="s">
        <v>1622</v>
      </c>
      <c r="G128" s="979" t="s">
        <v>1622</v>
      </c>
      <c r="H128" s="980" t="s">
        <v>1670</v>
      </c>
      <c r="I128" s="980">
        <v>0</v>
      </c>
    </row>
    <row r="129" spans="1:9" ht="39.5" thickBot="1" x14ac:dyDescent="0.3">
      <c r="A129" s="982" t="s">
        <v>1813</v>
      </c>
      <c r="B129" s="970" t="s">
        <v>2142</v>
      </c>
      <c r="C129" s="968" t="s">
        <v>2177</v>
      </c>
      <c r="D129" s="977" t="s">
        <v>2178</v>
      </c>
      <c r="E129" s="978" t="s">
        <v>2179</v>
      </c>
      <c r="F129" s="979" t="s">
        <v>1622</v>
      </c>
      <c r="G129" s="979" t="s">
        <v>1622</v>
      </c>
      <c r="H129" s="980" t="s">
        <v>1670</v>
      </c>
      <c r="I129" s="980">
        <v>0</v>
      </c>
    </row>
    <row r="130" spans="1:9" ht="39.5" thickBot="1" x14ac:dyDescent="0.3">
      <c r="A130" s="982" t="s">
        <v>1813</v>
      </c>
      <c r="B130" s="970" t="s">
        <v>2142</v>
      </c>
      <c r="C130" s="968" t="s">
        <v>2180</v>
      </c>
      <c r="D130" s="977" t="s">
        <v>2181</v>
      </c>
      <c r="E130" s="978" t="s">
        <v>2182</v>
      </c>
      <c r="F130" s="979" t="s">
        <v>1622</v>
      </c>
      <c r="G130" s="979" t="s">
        <v>1622</v>
      </c>
      <c r="H130" s="980" t="s">
        <v>1789</v>
      </c>
      <c r="I130" s="980">
        <v>0</v>
      </c>
    </row>
    <row r="131" spans="1:9" ht="39.5" thickBot="1" x14ac:dyDescent="0.3">
      <c r="A131" s="982" t="s">
        <v>1813</v>
      </c>
      <c r="B131" s="970" t="s">
        <v>2142</v>
      </c>
      <c r="C131" s="968" t="s">
        <v>2183</v>
      </c>
      <c r="D131" s="977" t="s">
        <v>2184</v>
      </c>
      <c r="E131" s="978" t="s">
        <v>2185</v>
      </c>
      <c r="F131" s="979" t="s">
        <v>1622</v>
      </c>
      <c r="G131" s="979" t="s">
        <v>1622</v>
      </c>
      <c r="H131" s="980" t="s">
        <v>1670</v>
      </c>
      <c r="I131" s="980" t="s">
        <v>2483</v>
      </c>
    </row>
    <row r="132" spans="1:9" ht="39.5" thickBot="1" x14ac:dyDescent="0.3">
      <c r="A132" s="982" t="s">
        <v>1813</v>
      </c>
      <c r="B132" s="970" t="s">
        <v>2142</v>
      </c>
      <c r="C132" s="968" t="s">
        <v>2186</v>
      </c>
      <c r="D132" s="977" t="s">
        <v>2187</v>
      </c>
      <c r="E132" s="978" t="s">
        <v>2188</v>
      </c>
      <c r="F132" s="979" t="s">
        <v>1622</v>
      </c>
      <c r="G132" s="979" t="s">
        <v>1622</v>
      </c>
      <c r="H132" s="980" t="s">
        <v>1670</v>
      </c>
      <c r="I132" s="980" t="s">
        <v>2483</v>
      </c>
    </row>
    <row r="133" spans="1:9" ht="39.5" thickBot="1" x14ac:dyDescent="0.3">
      <c r="A133" s="982" t="s">
        <v>1813</v>
      </c>
      <c r="B133" s="970" t="s">
        <v>2142</v>
      </c>
      <c r="C133" s="968" t="s">
        <v>2189</v>
      </c>
      <c r="D133" s="977" t="s">
        <v>2190</v>
      </c>
      <c r="E133" s="978" t="s">
        <v>2191</v>
      </c>
      <c r="F133" s="979" t="s">
        <v>1622</v>
      </c>
      <c r="G133" s="979" t="s">
        <v>1622</v>
      </c>
      <c r="H133" s="980" t="s">
        <v>1789</v>
      </c>
      <c r="I133" s="980">
        <v>0</v>
      </c>
    </row>
    <row r="134" spans="1:9" ht="39.5" thickBot="1" x14ac:dyDescent="0.3">
      <c r="A134" s="982" t="s">
        <v>1813</v>
      </c>
      <c r="B134" s="970" t="s">
        <v>2142</v>
      </c>
      <c r="C134" s="968" t="s">
        <v>2192</v>
      </c>
      <c r="D134" s="977" t="s">
        <v>2193</v>
      </c>
      <c r="E134" s="978" t="s">
        <v>2194</v>
      </c>
      <c r="F134" s="979" t="s">
        <v>1622</v>
      </c>
      <c r="G134" s="979" t="s">
        <v>1622</v>
      </c>
      <c r="H134" s="980" t="s">
        <v>1789</v>
      </c>
      <c r="I134" s="980">
        <v>0</v>
      </c>
    </row>
    <row r="135" spans="1:9" ht="39.5" thickBot="1" x14ac:dyDescent="0.3">
      <c r="A135" s="982" t="s">
        <v>1813</v>
      </c>
      <c r="B135" s="970" t="s">
        <v>2142</v>
      </c>
      <c r="C135" s="968" t="s">
        <v>2195</v>
      </c>
      <c r="D135" s="977" t="s">
        <v>2196</v>
      </c>
      <c r="E135" s="978" t="s">
        <v>2197</v>
      </c>
      <c r="F135" s="979" t="s">
        <v>1622</v>
      </c>
      <c r="G135" s="979" t="s">
        <v>1622</v>
      </c>
      <c r="H135" s="980" t="s">
        <v>1692</v>
      </c>
      <c r="I135" s="1006">
        <v>0</v>
      </c>
    </row>
    <row r="136" spans="1:9" ht="39.5" thickBot="1" x14ac:dyDescent="0.3">
      <c r="A136" s="982" t="s">
        <v>1813</v>
      </c>
      <c r="B136" s="970" t="s">
        <v>2142</v>
      </c>
      <c r="C136" s="968" t="s">
        <v>2198</v>
      </c>
      <c r="D136" s="977" t="s">
        <v>2199</v>
      </c>
      <c r="E136" s="978" t="s">
        <v>2200</v>
      </c>
      <c r="F136" s="979" t="s">
        <v>1622</v>
      </c>
      <c r="G136" s="979" t="s">
        <v>1622</v>
      </c>
      <c r="H136" s="980" t="s">
        <v>1692</v>
      </c>
      <c r="I136" s="1006">
        <v>0</v>
      </c>
    </row>
    <row r="137" spans="1:9" ht="39.5" thickBot="1" x14ac:dyDescent="0.3">
      <c r="A137" s="982" t="s">
        <v>1813</v>
      </c>
      <c r="B137" s="970" t="s">
        <v>2142</v>
      </c>
      <c r="C137" s="968" t="s">
        <v>2201</v>
      </c>
      <c r="D137" s="977" t="s">
        <v>2202</v>
      </c>
      <c r="E137" s="978" t="s">
        <v>2203</v>
      </c>
      <c r="F137" s="979" t="s">
        <v>1622</v>
      </c>
      <c r="G137" s="979" t="s">
        <v>1622</v>
      </c>
      <c r="H137" s="980" t="s">
        <v>1692</v>
      </c>
      <c r="I137" s="1006">
        <v>0</v>
      </c>
    </row>
    <row r="138" spans="1:9" ht="39.5" thickBot="1" x14ac:dyDescent="0.3">
      <c r="A138" s="982" t="s">
        <v>1813</v>
      </c>
      <c r="B138" s="970" t="s">
        <v>2204</v>
      </c>
      <c r="C138" s="971" t="s">
        <v>2205</v>
      </c>
      <c r="D138" s="972"/>
      <c r="E138" s="973"/>
      <c r="F138" s="974" t="s">
        <v>657</v>
      </c>
      <c r="G138" s="974" t="s">
        <v>657</v>
      </c>
      <c r="H138" s="975"/>
      <c r="I138" s="976"/>
    </row>
    <row r="139" spans="1:9" ht="39.5" thickBot="1" x14ac:dyDescent="0.3">
      <c r="A139" s="982" t="s">
        <v>1813</v>
      </c>
      <c r="B139" s="970" t="s">
        <v>2204</v>
      </c>
      <c r="C139" s="968" t="s">
        <v>2206</v>
      </c>
      <c r="D139" s="977" t="s">
        <v>1620</v>
      </c>
      <c r="E139" s="978" t="s">
        <v>1888</v>
      </c>
      <c r="F139" s="979" t="s">
        <v>1622</v>
      </c>
      <c r="G139" s="979" t="s">
        <v>1622</v>
      </c>
      <c r="H139" s="980" t="s">
        <v>1623</v>
      </c>
      <c r="I139" s="987" t="str">
        <f>I3</f>
        <v>969500Z05GRNU3KPEY94</v>
      </c>
    </row>
    <row r="140" spans="1:9" ht="39.5" thickBot="1" x14ac:dyDescent="0.3">
      <c r="A140" s="982" t="s">
        <v>1813</v>
      </c>
      <c r="B140" s="970" t="s">
        <v>2204</v>
      </c>
      <c r="C140" s="968" t="s">
        <v>2207</v>
      </c>
      <c r="D140" s="981" t="s">
        <v>2208</v>
      </c>
      <c r="E140" s="978" t="s">
        <v>2209</v>
      </c>
      <c r="F140" s="979" t="s">
        <v>1622</v>
      </c>
      <c r="G140" s="979" t="s">
        <v>1622</v>
      </c>
      <c r="H140" s="980" t="s">
        <v>1768</v>
      </c>
      <c r="I140" s="987" t="s">
        <v>899</v>
      </c>
    </row>
    <row r="141" spans="1:9" ht="100.5" thickBot="1" x14ac:dyDescent="0.3">
      <c r="A141" s="982" t="s">
        <v>1813</v>
      </c>
      <c r="B141" s="970" t="s">
        <v>2204</v>
      </c>
      <c r="C141" s="968" t="s">
        <v>2210</v>
      </c>
      <c r="D141" s="981" t="s">
        <v>2010</v>
      </c>
      <c r="E141" s="978" t="s">
        <v>2011</v>
      </c>
      <c r="F141" s="979" t="s">
        <v>1622</v>
      </c>
      <c r="G141" s="979" t="s">
        <v>1622</v>
      </c>
      <c r="H141" s="980" t="s">
        <v>1649</v>
      </c>
      <c r="I141" s="980" t="s">
        <v>883</v>
      </c>
    </row>
    <row r="142" spans="1:9" ht="39.5" thickBot="1" x14ac:dyDescent="0.3">
      <c r="A142" s="982" t="s">
        <v>1813</v>
      </c>
      <c r="B142" s="970" t="s">
        <v>2204</v>
      </c>
      <c r="C142" s="968" t="s">
        <v>2211</v>
      </c>
      <c r="D142" s="981" t="s">
        <v>2212</v>
      </c>
      <c r="E142" s="978" t="s">
        <v>2213</v>
      </c>
      <c r="F142" s="979" t="s">
        <v>1622</v>
      </c>
      <c r="G142" s="979" t="s">
        <v>1666</v>
      </c>
      <c r="H142" s="980" t="s">
        <v>1898</v>
      </c>
      <c r="I142" s="980" t="s">
        <v>2424</v>
      </c>
    </row>
    <row r="143" spans="1:9" ht="39.5" thickBot="1" x14ac:dyDescent="0.3">
      <c r="A143" s="982" t="s">
        <v>1813</v>
      </c>
      <c r="B143" s="970" t="s">
        <v>2204</v>
      </c>
      <c r="C143" s="968" t="s">
        <v>2214</v>
      </c>
      <c r="D143" s="981" t="s">
        <v>2215</v>
      </c>
      <c r="E143" s="978" t="s">
        <v>2216</v>
      </c>
      <c r="F143" s="979" t="s">
        <v>1622</v>
      </c>
      <c r="G143" s="979" t="s">
        <v>1622</v>
      </c>
      <c r="H143" s="980" t="s">
        <v>1631</v>
      </c>
      <c r="I143" s="980" t="s">
        <v>250</v>
      </c>
    </row>
    <row r="144" spans="1:9" ht="39.5" thickBot="1" x14ac:dyDescent="0.3">
      <c r="A144" s="982" t="s">
        <v>1813</v>
      </c>
      <c r="B144" s="970" t="s">
        <v>2204</v>
      </c>
      <c r="C144" s="968" t="s">
        <v>2217</v>
      </c>
      <c r="D144" s="981" t="s">
        <v>2218</v>
      </c>
      <c r="E144" s="978" t="s">
        <v>2219</v>
      </c>
      <c r="F144" s="979" t="s">
        <v>1622</v>
      </c>
      <c r="G144" s="979" t="s">
        <v>1622</v>
      </c>
      <c r="H144" s="980" t="s">
        <v>2001</v>
      </c>
      <c r="I144" s="980" t="s">
        <v>899</v>
      </c>
    </row>
    <row r="145" spans="1:9" ht="39.5" thickBot="1" x14ac:dyDescent="0.3">
      <c r="A145" s="982" t="s">
        <v>1813</v>
      </c>
      <c r="B145" s="970" t="s">
        <v>2204</v>
      </c>
      <c r="C145" s="968" t="s">
        <v>2220</v>
      </c>
      <c r="D145" s="981" t="s">
        <v>2221</v>
      </c>
      <c r="E145" s="978" t="s">
        <v>2222</v>
      </c>
      <c r="F145" s="979" t="s">
        <v>1622</v>
      </c>
      <c r="G145" s="979" t="s">
        <v>1622</v>
      </c>
      <c r="H145" s="980" t="s">
        <v>1659</v>
      </c>
      <c r="I145" s="980" t="s">
        <v>2423</v>
      </c>
    </row>
    <row r="146" spans="1:9" ht="39.5" thickBot="1" x14ac:dyDescent="0.3">
      <c r="A146" s="982" t="s">
        <v>1813</v>
      </c>
      <c r="B146" s="970" t="s">
        <v>2204</v>
      </c>
      <c r="C146" s="968" t="s">
        <v>2223</v>
      </c>
      <c r="D146" s="981" t="s">
        <v>2224</v>
      </c>
      <c r="E146" s="978" t="s">
        <v>2225</v>
      </c>
      <c r="F146" s="979" t="s">
        <v>1622</v>
      </c>
      <c r="G146" s="979" t="s">
        <v>1622</v>
      </c>
      <c r="H146" s="980" t="s">
        <v>2048</v>
      </c>
      <c r="I146" s="980" t="s">
        <v>2484</v>
      </c>
    </row>
    <row r="147" spans="1:9" ht="88" thickBot="1" x14ac:dyDescent="0.3">
      <c r="A147" s="982" t="s">
        <v>1813</v>
      </c>
      <c r="B147" s="970" t="s">
        <v>2204</v>
      </c>
      <c r="C147" s="968" t="s">
        <v>2226</v>
      </c>
      <c r="D147" s="981" t="s">
        <v>2227</v>
      </c>
      <c r="E147" s="978" t="s">
        <v>2228</v>
      </c>
      <c r="F147" s="979" t="s">
        <v>1622</v>
      </c>
      <c r="G147" s="979" t="s">
        <v>1622</v>
      </c>
      <c r="H147" s="980" t="s">
        <v>1649</v>
      </c>
      <c r="I147" s="980" t="s">
        <v>883</v>
      </c>
    </row>
    <row r="148" spans="1:9" ht="63" thickBot="1" x14ac:dyDescent="0.3">
      <c r="A148" s="982" t="s">
        <v>1813</v>
      </c>
      <c r="B148" s="970" t="s">
        <v>2204</v>
      </c>
      <c r="C148" s="968" t="s">
        <v>2229</v>
      </c>
      <c r="D148" s="981" t="s">
        <v>2230</v>
      </c>
      <c r="E148" s="978" t="s">
        <v>2231</v>
      </c>
      <c r="F148" s="979" t="s">
        <v>1622</v>
      </c>
      <c r="G148" s="979" t="s">
        <v>1666</v>
      </c>
      <c r="H148" s="980" t="s">
        <v>1649</v>
      </c>
      <c r="I148" s="980" t="s">
        <v>2424</v>
      </c>
    </row>
    <row r="149" spans="1:9" ht="39.5" thickBot="1" x14ac:dyDescent="0.3">
      <c r="A149" s="982" t="s">
        <v>1813</v>
      </c>
      <c r="B149" s="970" t="s">
        <v>2204</v>
      </c>
      <c r="C149" s="968" t="s">
        <v>2232</v>
      </c>
      <c r="D149" s="981" t="s">
        <v>2233</v>
      </c>
      <c r="E149" s="978" t="s">
        <v>2234</v>
      </c>
      <c r="F149" s="979" t="s">
        <v>1622</v>
      </c>
      <c r="G149" s="979" t="s">
        <v>1622</v>
      </c>
      <c r="H149" s="980" t="s">
        <v>1659</v>
      </c>
      <c r="I149" s="980" t="s">
        <v>2423</v>
      </c>
    </row>
    <row r="150" spans="1:9" ht="39.5" thickBot="1" x14ac:dyDescent="0.3">
      <c r="A150" s="982" t="s">
        <v>1813</v>
      </c>
      <c r="B150" s="970" t="s">
        <v>2204</v>
      </c>
      <c r="C150" s="968" t="s">
        <v>2235</v>
      </c>
      <c r="D150" s="981" t="s">
        <v>2236</v>
      </c>
      <c r="E150" s="978" t="s">
        <v>2237</v>
      </c>
      <c r="F150" s="979" t="s">
        <v>1622</v>
      </c>
      <c r="G150" s="979" t="s">
        <v>1622</v>
      </c>
      <c r="H150" s="980" t="s">
        <v>1872</v>
      </c>
      <c r="I150" s="980" t="s">
        <v>687</v>
      </c>
    </row>
    <row r="151" spans="1:9" ht="39.5" thickBot="1" x14ac:dyDescent="0.3">
      <c r="A151" s="982" t="s">
        <v>1813</v>
      </c>
      <c r="B151" s="970" t="s">
        <v>2204</v>
      </c>
      <c r="C151" s="968" t="s">
        <v>2238</v>
      </c>
      <c r="D151" s="981" t="s">
        <v>2239</v>
      </c>
      <c r="E151" s="978" t="s">
        <v>2240</v>
      </c>
      <c r="F151" s="979" t="s">
        <v>1622</v>
      </c>
      <c r="G151" s="979" t="s">
        <v>1622</v>
      </c>
      <c r="H151" s="980" t="s">
        <v>1670</v>
      </c>
      <c r="I151" s="1004" t="str">
        <f>TEXT('11 - Notes Follow-up'!D24,"### ###0,00")&amp;" EUR"</f>
        <v>650 283 436,14 EUR</v>
      </c>
    </row>
    <row r="152" spans="1:9" ht="39.5" thickBot="1" x14ac:dyDescent="0.3">
      <c r="A152" s="982" t="s">
        <v>1813</v>
      </c>
      <c r="B152" s="970" t="s">
        <v>2204</v>
      </c>
      <c r="C152" s="968" t="s">
        <v>2241</v>
      </c>
      <c r="D152" s="981" t="s">
        <v>2242</v>
      </c>
      <c r="E152" s="978" t="s">
        <v>2243</v>
      </c>
      <c r="F152" s="979" t="s">
        <v>1622</v>
      </c>
      <c r="G152" s="979" t="s">
        <v>1622</v>
      </c>
      <c r="H152" s="980" t="s">
        <v>1670</v>
      </c>
      <c r="I152" s="1004" t="str">
        <f>I151</f>
        <v>650 283 436,14 EUR</v>
      </c>
    </row>
    <row r="153" spans="1:9" ht="39.5" thickBot="1" x14ac:dyDescent="0.3">
      <c r="A153" s="982" t="s">
        <v>1813</v>
      </c>
      <c r="B153" s="970" t="s">
        <v>2204</v>
      </c>
      <c r="C153" s="968" t="s">
        <v>2244</v>
      </c>
      <c r="D153" s="981" t="s">
        <v>2245</v>
      </c>
      <c r="E153" s="978" t="s">
        <v>2246</v>
      </c>
      <c r="F153" s="979" t="s">
        <v>1622</v>
      </c>
      <c r="G153" s="979" t="s">
        <v>1666</v>
      </c>
      <c r="H153" s="980" t="s">
        <v>1692</v>
      </c>
      <c r="I153" s="980" t="s">
        <v>2424</v>
      </c>
    </row>
    <row r="154" spans="1:9" ht="39.5" thickBot="1" x14ac:dyDescent="0.3">
      <c r="A154" s="982" t="s">
        <v>1813</v>
      </c>
      <c r="B154" s="970" t="s">
        <v>2204</v>
      </c>
      <c r="C154" s="968" t="s">
        <v>2247</v>
      </c>
      <c r="D154" s="981" t="s">
        <v>2248</v>
      </c>
      <c r="E154" s="978" t="s">
        <v>2249</v>
      </c>
      <c r="F154" s="979" t="s">
        <v>1622</v>
      </c>
      <c r="G154" s="979" t="s">
        <v>1666</v>
      </c>
      <c r="H154" s="980" t="s">
        <v>1692</v>
      </c>
      <c r="I154" s="980" t="s">
        <v>2424</v>
      </c>
    </row>
    <row r="155" spans="1:9" ht="39.5" thickBot="1" x14ac:dyDescent="0.3">
      <c r="A155" s="982" t="s">
        <v>1813</v>
      </c>
      <c r="B155" s="970" t="s">
        <v>2204</v>
      </c>
      <c r="C155" s="968" t="s">
        <v>2250</v>
      </c>
      <c r="D155" s="981" t="s">
        <v>2251</v>
      </c>
      <c r="E155" s="978" t="s">
        <v>2252</v>
      </c>
      <c r="F155" s="979" t="s">
        <v>1622</v>
      </c>
      <c r="G155" s="979" t="s">
        <v>1666</v>
      </c>
      <c r="H155" s="980" t="s">
        <v>1898</v>
      </c>
      <c r="I155" s="980" t="s">
        <v>2424</v>
      </c>
    </row>
    <row r="156" spans="1:9" ht="100.5" thickBot="1" x14ac:dyDescent="0.3">
      <c r="A156" s="982" t="s">
        <v>1813</v>
      </c>
      <c r="B156" s="970" t="s">
        <v>2204</v>
      </c>
      <c r="C156" s="968" t="s">
        <v>2253</v>
      </c>
      <c r="D156" s="981" t="s">
        <v>2254</v>
      </c>
      <c r="E156" s="978" t="s">
        <v>2255</v>
      </c>
      <c r="F156" s="979" t="s">
        <v>1622</v>
      </c>
      <c r="G156" s="979" t="s">
        <v>1666</v>
      </c>
      <c r="H156" s="980" t="s">
        <v>1649</v>
      </c>
      <c r="I156" s="980" t="s">
        <v>2424</v>
      </c>
    </row>
    <row r="157" spans="1:9" ht="39.5" thickBot="1" x14ac:dyDescent="0.3">
      <c r="A157" s="982" t="s">
        <v>1813</v>
      </c>
      <c r="B157" s="970" t="s">
        <v>2204</v>
      </c>
      <c r="C157" s="968" t="s">
        <v>2256</v>
      </c>
      <c r="D157" s="981" t="s">
        <v>2257</v>
      </c>
      <c r="E157" s="978" t="s">
        <v>2258</v>
      </c>
      <c r="F157" s="979" t="s">
        <v>1622</v>
      </c>
      <c r="G157" s="979" t="s">
        <v>1666</v>
      </c>
      <c r="H157" s="980" t="s">
        <v>1627</v>
      </c>
      <c r="I157" s="980" t="s">
        <v>2424</v>
      </c>
    </row>
    <row r="158" spans="1:9" ht="39.5" thickBot="1" x14ac:dyDescent="0.3">
      <c r="A158" s="982" t="s">
        <v>1813</v>
      </c>
      <c r="B158" s="970" t="s">
        <v>2204</v>
      </c>
      <c r="C158" s="968" t="s">
        <v>2259</v>
      </c>
      <c r="D158" s="981" t="s">
        <v>2260</v>
      </c>
      <c r="E158" s="978" t="s">
        <v>2261</v>
      </c>
      <c r="F158" s="979" t="s">
        <v>1622</v>
      </c>
      <c r="G158" s="979" t="s">
        <v>1622</v>
      </c>
      <c r="H158" s="980" t="s">
        <v>1659</v>
      </c>
      <c r="I158" s="980" t="s">
        <v>2422</v>
      </c>
    </row>
    <row r="159" spans="1:9" ht="175.5" thickBot="1" x14ac:dyDescent="0.3">
      <c r="A159" s="982" t="s">
        <v>1813</v>
      </c>
      <c r="B159" s="970" t="s">
        <v>2204</v>
      </c>
      <c r="C159" s="968" t="s">
        <v>2262</v>
      </c>
      <c r="D159" s="981" t="s">
        <v>2263</v>
      </c>
      <c r="E159" s="978" t="s">
        <v>2264</v>
      </c>
      <c r="F159" s="979" t="s">
        <v>1622</v>
      </c>
      <c r="G159" s="979" t="s">
        <v>1666</v>
      </c>
      <c r="H159" s="980" t="s">
        <v>1649</v>
      </c>
      <c r="I159" s="980" t="s">
        <v>2424</v>
      </c>
    </row>
    <row r="160" spans="1:9" ht="39.5" thickBot="1" x14ac:dyDescent="0.3">
      <c r="A160" s="982" t="s">
        <v>1813</v>
      </c>
      <c r="B160" s="970" t="s">
        <v>2204</v>
      </c>
      <c r="C160" s="968" t="s">
        <v>2265</v>
      </c>
      <c r="D160" s="981" t="s">
        <v>2266</v>
      </c>
      <c r="E160" s="978" t="s">
        <v>2267</v>
      </c>
      <c r="F160" s="979" t="s">
        <v>1622</v>
      </c>
      <c r="G160" s="979" t="s">
        <v>1622</v>
      </c>
      <c r="H160" s="980" t="s">
        <v>1659</v>
      </c>
      <c r="I160" s="980" t="s">
        <v>2423</v>
      </c>
    </row>
    <row r="161" spans="1:9" ht="39.5" thickBot="1" x14ac:dyDescent="0.3">
      <c r="A161" s="982" t="s">
        <v>1813</v>
      </c>
      <c r="B161" s="970" t="s">
        <v>2204</v>
      </c>
      <c r="C161" s="968" t="s">
        <v>2268</v>
      </c>
      <c r="D161" s="981" t="s">
        <v>2269</v>
      </c>
      <c r="E161" s="978" t="s">
        <v>2270</v>
      </c>
      <c r="F161" s="979" t="s">
        <v>1622</v>
      </c>
      <c r="G161" s="979" t="s">
        <v>1666</v>
      </c>
      <c r="H161" s="980" t="s">
        <v>1789</v>
      </c>
      <c r="I161" s="980" t="s">
        <v>2424</v>
      </c>
    </row>
    <row r="162" spans="1:9" ht="39.5" thickBot="1" x14ac:dyDescent="0.3">
      <c r="A162" s="982" t="s">
        <v>1813</v>
      </c>
      <c r="B162" s="970" t="s">
        <v>2204</v>
      </c>
      <c r="C162" s="968" t="s">
        <v>2271</v>
      </c>
      <c r="D162" s="981" t="s">
        <v>2272</v>
      </c>
      <c r="E162" s="978" t="s">
        <v>2273</v>
      </c>
      <c r="F162" s="979" t="s">
        <v>1622</v>
      </c>
      <c r="G162" s="979" t="s">
        <v>1622</v>
      </c>
      <c r="H162" s="980" t="s">
        <v>1659</v>
      </c>
      <c r="I162" s="980" t="s">
        <v>2422</v>
      </c>
    </row>
    <row r="163" spans="1:9" ht="39.5" thickBot="1" x14ac:dyDescent="0.3">
      <c r="A163" s="982" t="s">
        <v>1813</v>
      </c>
      <c r="B163" s="970" t="s">
        <v>2204</v>
      </c>
      <c r="C163" s="968" t="s">
        <v>2274</v>
      </c>
      <c r="D163" s="981" t="s">
        <v>2275</v>
      </c>
      <c r="E163" s="978" t="s">
        <v>2276</v>
      </c>
      <c r="F163" s="979" t="s">
        <v>1622</v>
      </c>
      <c r="G163" s="979" t="s">
        <v>1622</v>
      </c>
      <c r="H163" s="980" t="s">
        <v>1659</v>
      </c>
      <c r="I163" s="980" t="s">
        <v>2423</v>
      </c>
    </row>
    <row r="164" spans="1:9" ht="39.5" thickBot="1" x14ac:dyDescent="0.3">
      <c r="A164" s="982" t="s">
        <v>1813</v>
      </c>
      <c r="B164" s="970" t="s">
        <v>2204</v>
      </c>
      <c r="C164" s="968" t="s">
        <v>2277</v>
      </c>
      <c r="D164" s="981" t="s">
        <v>2278</v>
      </c>
      <c r="E164" s="978" t="s">
        <v>2279</v>
      </c>
      <c r="F164" s="979" t="s">
        <v>1622</v>
      </c>
      <c r="G164" s="979" t="s">
        <v>1666</v>
      </c>
      <c r="H164" s="980" t="s">
        <v>1692</v>
      </c>
      <c r="I164" s="980" t="s">
        <v>2424</v>
      </c>
    </row>
    <row r="165" spans="1:9" ht="63" thickBot="1" x14ac:dyDescent="0.3">
      <c r="A165" s="982" t="s">
        <v>1813</v>
      </c>
      <c r="B165" s="970" t="s">
        <v>2204</v>
      </c>
      <c r="C165" s="968" t="s">
        <v>2280</v>
      </c>
      <c r="D165" s="981" t="s">
        <v>2281</v>
      </c>
      <c r="E165" s="978" t="s">
        <v>2282</v>
      </c>
      <c r="F165" s="979" t="s">
        <v>1622</v>
      </c>
      <c r="G165" s="979" t="s">
        <v>1666</v>
      </c>
      <c r="H165" s="980" t="s">
        <v>1670</v>
      </c>
      <c r="I165" s="980" t="s">
        <v>2424</v>
      </c>
    </row>
    <row r="166" spans="1:9" ht="39.5" thickBot="1" x14ac:dyDescent="0.3">
      <c r="A166" s="982" t="s">
        <v>1813</v>
      </c>
      <c r="B166" s="970" t="s">
        <v>2204</v>
      </c>
      <c r="C166" s="968" t="s">
        <v>2283</v>
      </c>
      <c r="D166" s="981" t="s">
        <v>2284</v>
      </c>
      <c r="E166" s="978" t="s">
        <v>2285</v>
      </c>
      <c r="F166" s="979" t="s">
        <v>1622</v>
      </c>
      <c r="G166" s="979" t="s">
        <v>1666</v>
      </c>
      <c r="H166" s="980" t="s">
        <v>1789</v>
      </c>
      <c r="I166" s="980" t="s">
        <v>2424</v>
      </c>
    </row>
    <row r="167" spans="1:9" ht="50.5" thickBot="1" x14ac:dyDescent="0.3">
      <c r="A167" s="982" t="s">
        <v>1813</v>
      </c>
      <c r="B167" s="970" t="s">
        <v>2204</v>
      </c>
      <c r="C167" s="968" t="s">
        <v>2286</v>
      </c>
      <c r="D167" s="981" t="s">
        <v>2287</v>
      </c>
      <c r="E167" s="978" t="s">
        <v>2288</v>
      </c>
      <c r="F167" s="979" t="s">
        <v>1622</v>
      </c>
      <c r="G167" s="979" t="s">
        <v>1666</v>
      </c>
      <c r="H167" s="980" t="s">
        <v>1649</v>
      </c>
      <c r="I167" s="980" t="s">
        <v>2424</v>
      </c>
    </row>
    <row r="168" spans="1:9" ht="39.5" thickBot="1" x14ac:dyDescent="0.3">
      <c r="A168" s="982" t="s">
        <v>1813</v>
      </c>
      <c r="B168" s="970" t="s">
        <v>2204</v>
      </c>
      <c r="C168" s="968" t="s">
        <v>2289</v>
      </c>
      <c r="D168" s="981" t="s">
        <v>2290</v>
      </c>
      <c r="E168" s="978" t="s">
        <v>2291</v>
      </c>
      <c r="F168" s="979" t="s">
        <v>1622</v>
      </c>
      <c r="G168" s="979" t="s">
        <v>1666</v>
      </c>
      <c r="H168" s="980" t="s">
        <v>1627</v>
      </c>
      <c r="I168" s="980" t="s">
        <v>2424</v>
      </c>
    </row>
    <row r="169" spans="1:9" ht="409.6" thickBot="1" x14ac:dyDescent="0.3">
      <c r="A169" s="982" t="s">
        <v>1813</v>
      </c>
      <c r="B169" s="970" t="s">
        <v>2204</v>
      </c>
      <c r="C169" s="968" t="s">
        <v>2292</v>
      </c>
      <c r="D169" s="981" t="s">
        <v>2293</v>
      </c>
      <c r="E169" s="985" t="s">
        <v>2294</v>
      </c>
      <c r="F169" s="979" t="s">
        <v>1622</v>
      </c>
      <c r="G169" s="979" t="s">
        <v>1666</v>
      </c>
      <c r="H169" s="980" t="s">
        <v>1649</v>
      </c>
      <c r="I169" s="980" t="s">
        <v>2424</v>
      </c>
    </row>
    <row r="170" spans="1:9" ht="188" thickBot="1" x14ac:dyDescent="0.3">
      <c r="A170" s="982" t="s">
        <v>1813</v>
      </c>
      <c r="B170" s="970" t="s">
        <v>2204</v>
      </c>
      <c r="C170" s="968" t="s">
        <v>2295</v>
      </c>
      <c r="D170" s="981" t="s">
        <v>2296</v>
      </c>
      <c r="E170" s="985" t="s">
        <v>2297</v>
      </c>
      <c r="F170" s="979" t="s">
        <v>1622</v>
      </c>
      <c r="G170" s="979" t="s">
        <v>1666</v>
      </c>
      <c r="H170" s="980" t="s">
        <v>1649</v>
      </c>
      <c r="I170" s="980" t="s">
        <v>2424</v>
      </c>
    </row>
    <row r="171" spans="1:9" ht="88" thickBot="1" x14ac:dyDescent="0.3">
      <c r="A171" s="982" t="s">
        <v>1813</v>
      </c>
      <c r="B171" s="970" t="s">
        <v>2204</v>
      </c>
      <c r="C171" s="968" t="s">
        <v>2298</v>
      </c>
      <c r="D171" s="981" t="s">
        <v>2299</v>
      </c>
      <c r="E171" s="978" t="s">
        <v>2300</v>
      </c>
      <c r="F171" s="979" t="s">
        <v>1622</v>
      </c>
      <c r="G171" s="979" t="s">
        <v>1666</v>
      </c>
      <c r="H171" s="980" t="s">
        <v>1649</v>
      </c>
      <c r="I171" s="980" t="s">
        <v>2424</v>
      </c>
    </row>
    <row r="172" spans="1:9" ht="39.5" thickBot="1" x14ac:dyDescent="0.3">
      <c r="A172" s="982" t="s">
        <v>1813</v>
      </c>
      <c r="B172" s="970" t="s">
        <v>2204</v>
      </c>
      <c r="C172" s="968" t="s">
        <v>2301</v>
      </c>
      <c r="D172" s="981" t="s">
        <v>2302</v>
      </c>
      <c r="E172" s="986" t="s">
        <v>2303</v>
      </c>
      <c r="F172" s="979" t="s">
        <v>1622</v>
      </c>
      <c r="G172" s="979" t="s">
        <v>1666</v>
      </c>
      <c r="H172" s="980" t="s">
        <v>1692</v>
      </c>
      <c r="I172" s="980" t="s">
        <v>2424</v>
      </c>
    </row>
    <row r="173" spans="1:9" ht="39.5" thickBot="1" x14ac:dyDescent="0.3">
      <c r="A173" s="982" t="s">
        <v>1813</v>
      </c>
      <c r="B173" s="970" t="s">
        <v>2204</v>
      </c>
      <c r="C173" s="968" t="s">
        <v>2304</v>
      </c>
      <c r="D173" s="981" t="s">
        <v>2305</v>
      </c>
      <c r="E173" s="986" t="s">
        <v>2306</v>
      </c>
      <c r="F173" s="979" t="s">
        <v>1622</v>
      </c>
      <c r="G173" s="979" t="s">
        <v>1666</v>
      </c>
      <c r="H173" s="980" t="s">
        <v>1692</v>
      </c>
      <c r="I173" s="980" t="s">
        <v>2424</v>
      </c>
    </row>
    <row r="174" spans="1:9" ht="409.6" thickBot="1" x14ac:dyDescent="0.3">
      <c r="A174" s="982" t="s">
        <v>1813</v>
      </c>
      <c r="B174" s="970" t="s">
        <v>2204</v>
      </c>
      <c r="C174" s="968" t="s">
        <v>2307</v>
      </c>
      <c r="D174" s="981" t="s">
        <v>2308</v>
      </c>
      <c r="E174" s="985" t="s">
        <v>2309</v>
      </c>
      <c r="F174" s="979" t="s">
        <v>1622</v>
      </c>
      <c r="G174" s="979" t="s">
        <v>1666</v>
      </c>
      <c r="H174" s="980" t="s">
        <v>1649</v>
      </c>
      <c r="I174" s="980" t="s">
        <v>2424</v>
      </c>
    </row>
    <row r="175" spans="1:9" ht="188" thickBot="1" x14ac:dyDescent="0.3">
      <c r="A175" s="982" t="s">
        <v>1813</v>
      </c>
      <c r="B175" s="970" t="s">
        <v>2204</v>
      </c>
      <c r="C175" s="968" t="s">
        <v>2310</v>
      </c>
      <c r="D175" s="981" t="s">
        <v>2311</v>
      </c>
      <c r="E175" s="985" t="s">
        <v>2312</v>
      </c>
      <c r="F175" s="979" t="s">
        <v>1622</v>
      </c>
      <c r="G175" s="979" t="s">
        <v>1666</v>
      </c>
      <c r="H175" s="980" t="s">
        <v>1649</v>
      </c>
      <c r="I175" s="980" t="s">
        <v>2424</v>
      </c>
    </row>
    <row r="176" spans="1:9" ht="88" thickBot="1" x14ac:dyDescent="0.3">
      <c r="A176" s="982" t="s">
        <v>1813</v>
      </c>
      <c r="B176" s="970" t="s">
        <v>2204</v>
      </c>
      <c r="C176" s="968" t="s">
        <v>2313</v>
      </c>
      <c r="D176" s="981" t="s">
        <v>2314</v>
      </c>
      <c r="E176" s="978" t="s">
        <v>2315</v>
      </c>
      <c r="F176" s="979" t="s">
        <v>1622</v>
      </c>
      <c r="G176" s="979" t="s">
        <v>1666</v>
      </c>
      <c r="H176" s="980" t="s">
        <v>1649</v>
      </c>
      <c r="I176" s="980" t="s">
        <v>2424</v>
      </c>
    </row>
    <row r="177" spans="1:9" ht="39.5" thickBot="1" x14ac:dyDescent="0.3">
      <c r="A177" s="982" t="s">
        <v>1813</v>
      </c>
      <c r="B177" s="970" t="s">
        <v>2204</v>
      </c>
      <c r="C177" s="968" t="s">
        <v>2316</v>
      </c>
      <c r="D177" s="981" t="s">
        <v>2317</v>
      </c>
      <c r="E177" s="986" t="s">
        <v>2318</v>
      </c>
      <c r="F177" s="979" t="s">
        <v>1622</v>
      </c>
      <c r="G177" s="979" t="s">
        <v>1666</v>
      </c>
      <c r="H177" s="980" t="s">
        <v>1692</v>
      </c>
      <c r="I177" s="980" t="s">
        <v>2424</v>
      </c>
    </row>
    <row r="178" spans="1:9" ht="39.5" thickBot="1" x14ac:dyDescent="0.3">
      <c r="A178" s="982" t="s">
        <v>1813</v>
      </c>
      <c r="B178" s="970" t="s">
        <v>2204</v>
      </c>
      <c r="C178" s="968" t="s">
        <v>2319</v>
      </c>
      <c r="D178" s="981" t="s">
        <v>2320</v>
      </c>
      <c r="E178" s="986" t="s">
        <v>2321</v>
      </c>
      <c r="F178" s="979" t="s">
        <v>1622</v>
      </c>
      <c r="G178" s="979" t="s">
        <v>1666</v>
      </c>
      <c r="H178" s="980" t="s">
        <v>1692</v>
      </c>
      <c r="I178" s="980" t="s">
        <v>2424</v>
      </c>
    </row>
    <row r="179" spans="1:9" ht="39.5" thickBot="1" x14ac:dyDescent="0.3">
      <c r="A179" s="982" t="s">
        <v>1813</v>
      </c>
      <c r="B179" s="970" t="s">
        <v>2204</v>
      </c>
      <c r="C179" s="968" t="s">
        <v>2322</v>
      </c>
      <c r="D179" s="981" t="s">
        <v>2323</v>
      </c>
      <c r="E179" s="978" t="s">
        <v>2324</v>
      </c>
      <c r="F179" s="979" t="s">
        <v>1622</v>
      </c>
      <c r="G179" s="979" t="s">
        <v>1622</v>
      </c>
      <c r="H179" s="980" t="s">
        <v>1659</v>
      </c>
      <c r="I179" s="980" t="s">
        <v>2422</v>
      </c>
    </row>
    <row r="180" spans="1:9" ht="39.5" thickBot="1" x14ac:dyDescent="0.3">
      <c r="A180" s="982" t="s">
        <v>1813</v>
      </c>
      <c r="B180" s="970" t="s">
        <v>2204</v>
      </c>
      <c r="C180" s="968" t="s">
        <v>2325</v>
      </c>
      <c r="D180" s="981" t="s">
        <v>2326</v>
      </c>
      <c r="E180" s="978" t="s">
        <v>2327</v>
      </c>
      <c r="F180" s="979" t="s">
        <v>1622</v>
      </c>
      <c r="G180" s="979" t="s">
        <v>1622</v>
      </c>
      <c r="H180" s="979" t="s">
        <v>1659</v>
      </c>
      <c r="I180" s="980" t="s">
        <v>2423</v>
      </c>
    </row>
    <row r="181" spans="1:9" ht="125.5" thickBot="1" x14ac:dyDescent="0.3">
      <c r="A181" s="982" t="s">
        <v>1813</v>
      </c>
      <c r="B181" s="970" t="s">
        <v>2204</v>
      </c>
      <c r="C181" s="968" t="s">
        <v>2328</v>
      </c>
      <c r="D181" s="981" t="s">
        <v>2329</v>
      </c>
      <c r="E181" s="978" t="s">
        <v>2330</v>
      </c>
      <c r="F181" s="979" t="s">
        <v>1622</v>
      </c>
      <c r="G181" s="979" t="s">
        <v>1622</v>
      </c>
      <c r="H181" s="980" t="s">
        <v>1649</v>
      </c>
      <c r="I181" s="980" t="s">
        <v>2496</v>
      </c>
    </row>
    <row r="182" spans="1:9" ht="39.5" thickBot="1" x14ac:dyDescent="0.3">
      <c r="A182" s="982" t="s">
        <v>1813</v>
      </c>
      <c r="B182" s="970" t="s">
        <v>2204</v>
      </c>
      <c r="C182" s="968" t="s">
        <v>2331</v>
      </c>
      <c r="D182" s="981" t="s">
        <v>2332</v>
      </c>
      <c r="E182" s="978" t="s">
        <v>2333</v>
      </c>
      <c r="F182" s="979" t="s">
        <v>1622</v>
      </c>
      <c r="G182" s="979" t="s">
        <v>1622</v>
      </c>
      <c r="H182" s="980" t="s">
        <v>1659</v>
      </c>
      <c r="I182" s="980" t="s">
        <v>2423</v>
      </c>
    </row>
    <row r="183" spans="1:9" ht="39.5" thickBot="1" x14ac:dyDescent="0.3">
      <c r="A183" s="982" t="s">
        <v>1813</v>
      </c>
      <c r="B183" s="970" t="s">
        <v>2204</v>
      </c>
      <c r="C183" s="968" t="s">
        <v>2334</v>
      </c>
      <c r="D183" s="981" t="s">
        <v>2335</v>
      </c>
      <c r="E183" s="978" t="s">
        <v>2336</v>
      </c>
      <c r="F183" s="979" t="s">
        <v>1622</v>
      </c>
      <c r="G183" s="979" t="s">
        <v>1622</v>
      </c>
      <c r="H183" s="980" t="s">
        <v>1659</v>
      </c>
      <c r="I183" s="980" t="s">
        <v>2423</v>
      </c>
    </row>
    <row r="184" spans="1:9" ht="39.5" thickBot="1" x14ac:dyDescent="0.3">
      <c r="A184" s="982" t="s">
        <v>1813</v>
      </c>
      <c r="B184" s="970" t="s">
        <v>2204</v>
      </c>
      <c r="C184" s="968" t="s">
        <v>2337</v>
      </c>
      <c r="D184" s="981" t="s">
        <v>2338</v>
      </c>
      <c r="E184" s="978" t="s">
        <v>2339</v>
      </c>
      <c r="F184" s="979" t="s">
        <v>1622</v>
      </c>
      <c r="G184" s="979" t="s">
        <v>1622</v>
      </c>
      <c r="H184" s="980" t="s">
        <v>1659</v>
      </c>
      <c r="I184" s="980" t="s">
        <v>2423</v>
      </c>
    </row>
    <row r="185" spans="1:9" ht="39.5" thickBot="1" x14ac:dyDescent="0.3">
      <c r="A185" s="982" t="s">
        <v>1813</v>
      </c>
      <c r="B185" s="970" t="s">
        <v>2204</v>
      </c>
      <c r="C185" s="968" t="s">
        <v>2340</v>
      </c>
      <c r="D185" s="981" t="s">
        <v>2341</v>
      </c>
      <c r="E185" s="978" t="s">
        <v>2342</v>
      </c>
      <c r="F185" s="979" t="s">
        <v>1622</v>
      </c>
      <c r="G185" s="979" t="s">
        <v>1622</v>
      </c>
      <c r="H185" s="980" t="s">
        <v>1659</v>
      </c>
      <c r="I185" s="980" t="s">
        <v>2423</v>
      </c>
    </row>
    <row r="186" spans="1:9" ht="39.5" thickBot="1" x14ac:dyDescent="0.3">
      <c r="A186" s="982" t="s">
        <v>1813</v>
      </c>
      <c r="B186" s="970" t="s">
        <v>2204</v>
      </c>
      <c r="C186" s="968" t="s">
        <v>2343</v>
      </c>
      <c r="D186" s="981" t="s">
        <v>2344</v>
      </c>
      <c r="E186" s="978" t="s">
        <v>2345</v>
      </c>
      <c r="F186" s="979" t="s">
        <v>1622</v>
      </c>
      <c r="G186" s="979" t="s">
        <v>1622</v>
      </c>
      <c r="H186" s="980" t="s">
        <v>1670</v>
      </c>
      <c r="I186" s="980" t="s">
        <v>2483</v>
      </c>
    </row>
    <row r="187" spans="1:9" ht="63" thickBot="1" x14ac:dyDescent="0.3">
      <c r="A187" s="982" t="s">
        <v>1813</v>
      </c>
      <c r="B187" s="970" t="s">
        <v>2204</v>
      </c>
      <c r="C187" s="968" t="s">
        <v>2346</v>
      </c>
      <c r="D187" s="981" t="s">
        <v>2347</v>
      </c>
      <c r="E187" s="978" t="s">
        <v>2348</v>
      </c>
      <c r="F187" s="979" t="s">
        <v>1622</v>
      </c>
      <c r="G187" s="979" t="s">
        <v>1622</v>
      </c>
      <c r="H187" s="980" t="s">
        <v>1670</v>
      </c>
      <c r="I187" s="980" t="s">
        <v>2483</v>
      </c>
    </row>
    <row r="188" spans="1:9" ht="39.5" thickBot="1" x14ac:dyDescent="0.3">
      <c r="A188" s="982" t="s">
        <v>1813</v>
      </c>
      <c r="B188" s="970" t="s">
        <v>2204</v>
      </c>
      <c r="C188" s="968" t="s">
        <v>2349</v>
      </c>
      <c r="D188" s="981" t="s">
        <v>2350</v>
      </c>
      <c r="E188" s="978" t="s">
        <v>2351</v>
      </c>
      <c r="F188" s="979" t="s">
        <v>1622</v>
      </c>
      <c r="G188" s="979" t="s">
        <v>1622</v>
      </c>
      <c r="H188" s="980" t="s">
        <v>1670</v>
      </c>
      <c r="I188" s="980" t="s">
        <v>2483</v>
      </c>
    </row>
    <row r="189" spans="1:9" ht="63" thickBot="1" x14ac:dyDescent="0.3">
      <c r="A189" s="982" t="s">
        <v>1813</v>
      </c>
      <c r="B189" s="970" t="s">
        <v>2204</v>
      </c>
      <c r="C189" s="968" t="s">
        <v>2352</v>
      </c>
      <c r="D189" s="981" t="s">
        <v>2353</v>
      </c>
      <c r="E189" s="978" t="s">
        <v>2354</v>
      </c>
      <c r="F189" s="979" t="s">
        <v>1622</v>
      </c>
      <c r="G189" s="979" t="s">
        <v>1622</v>
      </c>
      <c r="H189" s="980" t="s">
        <v>1670</v>
      </c>
      <c r="I189" s="980" t="s">
        <v>2483</v>
      </c>
    </row>
    <row r="190" spans="1:9" ht="39.5" thickBot="1" x14ac:dyDescent="0.3">
      <c r="A190" s="982" t="s">
        <v>1813</v>
      </c>
      <c r="B190" s="970" t="s">
        <v>2204</v>
      </c>
      <c r="C190" s="968" t="s">
        <v>2355</v>
      </c>
      <c r="D190" s="981" t="s">
        <v>2356</v>
      </c>
      <c r="E190" s="978" t="s">
        <v>2357</v>
      </c>
      <c r="F190" s="979" t="s">
        <v>1622</v>
      </c>
      <c r="G190" s="979" t="s">
        <v>1666</v>
      </c>
      <c r="H190" s="980" t="s">
        <v>1670</v>
      </c>
      <c r="I190" s="980" t="s">
        <v>2483</v>
      </c>
    </row>
    <row r="191" spans="1:9" ht="39.5" thickBot="1" x14ac:dyDescent="0.3">
      <c r="A191" s="982" t="s">
        <v>1813</v>
      </c>
      <c r="B191" s="970" t="s">
        <v>2358</v>
      </c>
      <c r="C191" s="971" t="s">
        <v>2359</v>
      </c>
      <c r="D191" s="972"/>
      <c r="E191" s="973"/>
      <c r="F191" s="974" t="s">
        <v>657</v>
      </c>
      <c r="G191" s="974" t="s">
        <v>657</v>
      </c>
      <c r="H191" s="975"/>
      <c r="I191" s="976"/>
    </row>
    <row r="192" spans="1:9" ht="39.5" thickBot="1" x14ac:dyDescent="0.3">
      <c r="A192" s="982" t="s">
        <v>1813</v>
      </c>
      <c r="B192" s="970" t="s">
        <v>2358</v>
      </c>
      <c r="C192" s="968" t="s">
        <v>2360</v>
      </c>
      <c r="D192" s="977" t="s">
        <v>1620</v>
      </c>
      <c r="E192" s="978" t="s">
        <v>1888</v>
      </c>
      <c r="F192" s="979" t="s">
        <v>1622</v>
      </c>
      <c r="G192" s="979" t="s">
        <v>1622</v>
      </c>
      <c r="H192" s="980" t="s">
        <v>1623</v>
      </c>
      <c r="I192" s="987" t="str">
        <f>I3</f>
        <v>969500Z05GRNU3KPEY94</v>
      </c>
    </row>
    <row r="193" spans="1:9" ht="39.5" thickBot="1" x14ac:dyDescent="0.3">
      <c r="A193" s="982" t="s">
        <v>1813</v>
      </c>
      <c r="B193" s="970" t="s">
        <v>2358</v>
      </c>
      <c r="C193" s="968" t="s">
        <v>2361</v>
      </c>
      <c r="D193" s="981" t="s">
        <v>2208</v>
      </c>
      <c r="E193" s="978" t="s">
        <v>2362</v>
      </c>
      <c r="F193" s="979" t="s">
        <v>1622</v>
      </c>
      <c r="G193" s="979" t="s">
        <v>1622</v>
      </c>
      <c r="H193" s="980" t="s">
        <v>1768</v>
      </c>
      <c r="I193" s="987" t="str">
        <f>I140</f>
        <v>2138008864ADTHGQP554</v>
      </c>
    </row>
    <row r="194" spans="1:9" ht="39.5" thickBot="1" x14ac:dyDescent="0.3">
      <c r="A194" s="982" t="s">
        <v>1813</v>
      </c>
      <c r="B194" s="970" t="s">
        <v>2358</v>
      </c>
      <c r="C194" s="968" t="s">
        <v>2363</v>
      </c>
      <c r="D194" s="981" t="s">
        <v>2364</v>
      </c>
      <c r="E194" s="978" t="s">
        <v>2365</v>
      </c>
      <c r="F194" s="979" t="s">
        <v>1622</v>
      </c>
      <c r="G194" s="979" t="s">
        <v>1622</v>
      </c>
      <c r="H194" s="980" t="s">
        <v>1768</v>
      </c>
      <c r="I194" s="980" t="s">
        <v>2506</v>
      </c>
    </row>
    <row r="195" spans="1:9" ht="39.5" thickBot="1" x14ac:dyDescent="0.3">
      <c r="A195" s="982" t="s">
        <v>1813</v>
      </c>
      <c r="B195" s="970" t="s">
        <v>2358</v>
      </c>
      <c r="C195" s="968" t="s">
        <v>2366</v>
      </c>
      <c r="D195" s="977" t="s">
        <v>2367</v>
      </c>
      <c r="E195" s="978" t="s">
        <v>2368</v>
      </c>
      <c r="F195" s="979" t="s">
        <v>1622</v>
      </c>
      <c r="G195" s="979" t="s">
        <v>1622</v>
      </c>
      <c r="H195" s="980" t="s">
        <v>1768</v>
      </c>
      <c r="I195" s="980" t="str">
        <f>I194</f>
        <v>Cash_Reserve</v>
      </c>
    </row>
    <row r="196" spans="1:9" ht="39.5" thickBot="1" x14ac:dyDescent="0.3">
      <c r="A196" s="982" t="s">
        <v>1813</v>
      </c>
      <c r="B196" s="970" t="s">
        <v>2358</v>
      </c>
      <c r="C196" s="968" t="s">
        <v>2369</v>
      </c>
      <c r="D196" s="981" t="s">
        <v>2370</v>
      </c>
      <c r="E196" s="978" t="s">
        <v>2371</v>
      </c>
      <c r="F196" s="979" t="s">
        <v>1622</v>
      </c>
      <c r="G196" s="979" t="s">
        <v>1666</v>
      </c>
      <c r="H196" s="980" t="s">
        <v>1898</v>
      </c>
      <c r="I196" s="980" t="s">
        <v>2424</v>
      </c>
    </row>
    <row r="197" spans="1:9" ht="138" thickBot="1" x14ac:dyDescent="0.3">
      <c r="A197" s="982" t="s">
        <v>1813</v>
      </c>
      <c r="B197" s="970" t="s">
        <v>2358</v>
      </c>
      <c r="C197" s="968" t="s">
        <v>2372</v>
      </c>
      <c r="D197" s="981" t="s">
        <v>2373</v>
      </c>
      <c r="E197" s="978" t="s">
        <v>2374</v>
      </c>
      <c r="F197" s="979" t="s">
        <v>1622</v>
      </c>
      <c r="G197" s="979" t="s">
        <v>1622</v>
      </c>
      <c r="H197" s="980" t="s">
        <v>1649</v>
      </c>
      <c r="I197" s="980" t="s">
        <v>883</v>
      </c>
    </row>
    <row r="198" spans="1:9" ht="39.5" thickBot="1" x14ac:dyDescent="0.3">
      <c r="A198" s="982" t="s">
        <v>1813</v>
      </c>
      <c r="B198" s="970" t="s">
        <v>2358</v>
      </c>
      <c r="C198" s="968" t="s">
        <v>2375</v>
      </c>
      <c r="D198" s="981" t="s">
        <v>2376</v>
      </c>
      <c r="E198" s="978" t="s">
        <v>2377</v>
      </c>
      <c r="F198" s="979" t="s">
        <v>1622</v>
      </c>
      <c r="G198" s="979" t="s">
        <v>1666</v>
      </c>
      <c r="H198" s="980" t="s">
        <v>2008</v>
      </c>
      <c r="I198" s="980" t="s">
        <v>2424</v>
      </c>
    </row>
    <row r="199" spans="1:9" ht="39.5" thickBot="1" x14ac:dyDescent="0.3">
      <c r="A199" s="982" t="s">
        <v>1813</v>
      </c>
      <c r="B199" s="970" t="s">
        <v>2358</v>
      </c>
      <c r="C199" s="968" t="s">
        <v>2378</v>
      </c>
      <c r="D199" s="981" t="s">
        <v>2379</v>
      </c>
      <c r="E199" s="978" t="s">
        <v>2380</v>
      </c>
      <c r="F199" s="979" t="s">
        <v>1622</v>
      </c>
      <c r="G199" s="979" t="s">
        <v>1622</v>
      </c>
      <c r="H199" s="980" t="s">
        <v>2001</v>
      </c>
      <c r="I199" s="987" t="str">
        <f>I193</f>
        <v>2138008864ADTHGQP554</v>
      </c>
    </row>
    <row r="200" spans="1:9" ht="39.5" thickBot="1" x14ac:dyDescent="0.3">
      <c r="A200" s="982" t="s">
        <v>1813</v>
      </c>
      <c r="B200" s="970" t="s">
        <v>2358</v>
      </c>
      <c r="C200" s="968" t="s">
        <v>2381</v>
      </c>
      <c r="D200" s="981" t="s">
        <v>2382</v>
      </c>
      <c r="E200" s="978" t="s">
        <v>2383</v>
      </c>
      <c r="F200" s="979" t="s">
        <v>1622</v>
      </c>
      <c r="G200" s="979" t="s">
        <v>1622</v>
      </c>
      <c r="H200" s="980" t="s">
        <v>1659</v>
      </c>
      <c r="I200" s="980" t="s">
        <v>2422</v>
      </c>
    </row>
    <row r="201" spans="1:9" ht="39.5" thickBot="1" x14ac:dyDescent="0.3">
      <c r="A201" s="982" t="s">
        <v>1813</v>
      </c>
      <c r="B201" s="970" t="s">
        <v>2358</v>
      </c>
      <c r="C201" s="968" t="s">
        <v>2384</v>
      </c>
      <c r="D201" s="981" t="s">
        <v>2385</v>
      </c>
      <c r="E201" s="978" t="s">
        <v>2386</v>
      </c>
      <c r="F201" s="979" t="s">
        <v>1622</v>
      </c>
      <c r="G201" s="979" t="s">
        <v>1622</v>
      </c>
      <c r="H201" s="980" t="s">
        <v>1670</v>
      </c>
      <c r="I201" s="980" t="str">
        <f>L76</f>
        <v>9 754 251,54 EUR</v>
      </c>
    </row>
    <row r="202" spans="1:9" ht="39.5" thickBot="1" x14ac:dyDescent="0.3">
      <c r="A202" s="982" t="s">
        <v>1813</v>
      </c>
      <c r="B202" s="970" t="s">
        <v>2358</v>
      </c>
      <c r="C202" s="968" t="s">
        <v>2387</v>
      </c>
      <c r="D202" s="981" t="s">
        <v>2388</v>
      </c>
      <c r="E202" s="978" t="s">
        <v>2389</v>
      </c>
      <c r="F202" s="979" t="s">
        <v>1622</v>
      </c>
      <c r="G202" s="979" t="s">
        <v>1622</v>
      </c>
      <c r="H202" s="980" t="s">
        <v>1872</v>
      </c>
      <c r="I202" s="980" t="s">
        <v>687</v>
      </c>
    </row>
    <row r="203" spans="1:9" ht="39.5" thickBot="1" x14ac:dyDescent="0.3">
      <c r="A203" s="982" t="s">
        <v>1813</v>
      </c>
      <c r="B203" s="970" t="s">
        <v>2358</v>
      </c>
      <c r="C203" s="968" t="s">
        <v>2390</v>
      </c>
      <c r="D203" s="981" t="s">
        <v>2391</v>
      </c>
      <c r="E203" s="978" t="s">
        <v>2392</v>
      </c>
      <c r="F203" s="979" t="s">
        <v>1622</v>
      </c>
      <c r="G203" s="979" t="s">
        <v>1666</v>
      </c>
      <c r="H203" s="980" t="s">
        <v>1627</v>
      </c>
      <c r="I203" s="980" t="s">
        <v>2424</v>
      </c>
    </row>
    <row r="204" spans="1:9" ht="39.5" thickBot="1" x14ac:dyDescent="0.3">
      <c r="A204" s="982" t="s">
        <v>1813</v>
      </c>
      <c r="B204" s="970" t="s">
        <v>2358</v>
      </c>
      <c r="C204" s="968" t="s">
        <v>2393</v>
      </c>
      <c r="D204" s="981" t="s">
        <v>2394</v>
      </c>
      <c r="E204" s="978" t="s">
        <v>2395</v>
      </c>
      <c r="F204" s="979" t="s">
        <v>1622</v>
      </c>
      <c r="G204" s="979" t="s">
        <v>1666</v>
      </c>
      <c r="H204" s="980" t="s">
        <v>1692</v>
      </c>
      <c r="I204" s="980" t="s">
        <v>2424</v>
      </c>
    </row>
    <row r="205" spans="1:9" ht="409.6" thickBot="1" x14ac:dyDescent="0.3">
      <c r="A205" s="982" t="s">
        <v>1813</v>
      </c>
      <c r="B205" s="970" t="s">
        <v>2358</v>
      </c>
      <c r="C205" s="968" t="s">
        <v>2396</v>
      </c>
      <c r="D205" s="977" t="s">
        <v>1944</v>
      </c>
      <c r="E205" s="978" t="s">
        <v>1945</v>
      </c>
      <c r="F205" s="979" t="s">
        <v>1622</v>
      </c>
      <c r="G205" s="979" t="s">
        <v>1666</v>
      </c>
      <c r="H205" s="980" t="s">
        <v>1649</v>
      </c>
      <c r="I205" s="980" t="s">
        <v>2424</v>
      </c>
    </row>
    <row r="206" spans="1:9" ht="200.5" thickBot="1" x14ac:dyDescent="0.3">
      <c r="A206" s="982" t="s">
        <v>1813</v>
      </c>
      <c r="B206" s="970" t="s">
        <v>2358</v>
      </c>
      <c r="C206" s="968" t="s">
        <v>2397</v>
      </c>
      <c r="D206" s="977" t="s">
        <v>1947</v>
      </c>
      <c r="E206" s="978" t="s">
        <v>1948</v>
      </c>
      <c r="F206" s="979" t="s">
        <v>1622</v>
      </c>
      <c r="G206" s="979" t="s">
        <v>1666</v>
      </c>
      <c r="H206" s="980" t="s">
        <v>1649</v>
      </c>
      <c r="I206" s="980" t="s">
        <v>2424</v>
      </c>
    </row>
    <row r="207" spans="1:9" ht="39.5" thickBot="1" x14ac:dyDescent="0.3">
      <c r="A207" s="982" t="s">
        <v>1813</v>
      </c>
      <c r="B207" s="970" t="s">
        <v>2358</v>
      </c>
      <c r="C207" s="968" t="s">
        <v>2398</v>
      </c>
      <c r="D207" s="981" t="s">
        <v>2399</v>
      </c>
      <c r="E207" s="978" t="s">
        <v>2400</v>
      </c>
      <c r="F207" s="979" t="s">
        <v>1622</v>
      </c>
      <c r="G207" s="979" t="s">
        <v>1666</v>
      </c>
      <c r="H207" s="980" t="s">
        <v>1692</v>
      </c>
      <c r="I207" s="980" t="s">
        <v>2424</v>
      </c>
    </row>
    <row r="208" spans="1:9" ht="39.5" thickBot="1" x14ac:dyDescent="0.3">
      <c r="A208" s="982" t="s">
        <v>1813</v>
      </c>
      <c r="B208" s="970" t="s">
        <v>2358</v>
      </c>
      <c r="C208" s="968" t="s">
        <v>2401</v>
      </c>
      <c r="D208" s="981" t="s">
        <v>2402</v>
      </c>
      <c r="E208" s="978" t="s">
        <v>2403</v>
      </c>
      <c r="F208" s="979" t="s">
        <v>1622</v>
      </c>
      <c r="G208" s="979" t="s">
        <v>1666</v>
      </c>
      <c r="H208" s="980" t="s">
        <v>1631</v>
      </c>
      <c r="I208" s="980" t="s">
        <v>2424</v>
      </c>
    </row>
    <row r="209" spans="1:9" ht="39.5" thickBot="1" x14ac:dyDescent="0.3">
      <c r="A209" s="982" t="s">
        <v>1813</v>
      </c>
      <c r="B209" s="970" t="s">
        <v>2358</v>
      </c>
      <c r="C209" s="968" t="s">
        <v>2404</v>
      </c>
      <c r="D209" s="981" t="s">
        <v>2405</v>
      </c>
      <c r="E209" s="978" t="s">
        <v>2406</v>
      </c>
      <c r="F209" s="979" t="s">
        <v>1622</v>
      </c>
      <c r="G209" s="979" t="s">
        <v>1666</v>
      </c>
      <c r="H209" s="980" t="s">
        <v>2001</v>
      </c>
      <c r="I209" s="980" t="s">
        <v>2424</v>
      </c>
    </row>
    <row r="210" spans="1:9" ht="39.5" thickBot="1" x14ac:dyDescent="0.3">
      <c r="A210" s="982" t="s">
        <v>1813</v>
      </c>
      <c r="B210" s="970" t="s">
        <v>2358</v>
      </c>
      <c r="C210" s="968" t="s">
        <v>2407</v>
      </c>
      <c r="D210" s="981" t="s">
        <v>2408</v>
      </c>
      <c r="E210" s="978" t="s">
        <v>2409</v>
      </c>
      <c r="F210" s="979" t="s">
        <v>1622</v>
      </c>
      <c r="G210" s="979" t="s">
        <v>1666</v>
      </c>
      <c r="H210" s="980" t="s">
        <v>1627</v>
      </c>
      <c r="I210" s="980" t="s">
        <v>2424</v>
      </c>
    </row>
    <row r="211" spans="1:9" ht="39.5" thickBot="1" x14ac:dyDescent="0.3">
      <c r="A211" s="982" t="s">
        <v>1813</v>
      </c>
      <c r="B211" s="970" t="s">
        <v>2410</v>
      </c>
      <c r="C211" s="971" t="s">
        <v>2410</v>
      </c>
      <c r="D211" s="972"/>
      <c r="E211" s="973"/>
      <c r="F211" s="974" t="s">
        <v>657</v>
      </c>
      <c r="G211" s="974" t="s">
        <v>657</v>
      </c>
      <c r="H211" s="975"/>
      <c r="I211" s="976"/>
    </row>
    <row r="212" spans="1:9" ht="39.5" thickBot="1" x14ac:dyDescent="0.3">
      <c r="A212" s="982" t="s">
        <v>1813</v>
      </c>
      <c r="B212" s="970" t="s">
        <v>2410</v>
      </c>
      <c r="C212" s="968" t="s">
        <v>2411</v>
      </c>
      <c r="D212" s="977" t="s">
        <v>1620</v>
      </c>
      <c r="E212" s="978" t="s">
        <v>2412</v>
      </c>
      <c r="F212" s="979" t="s">
        <v>1622</v>
      </c>
      <c r="G212" s="979" t="s">
        <v>1622</v>
      </c>
      <c r="H212" s="980" t="s">
        <v>1623</v>
      </c>
      <c r="I212" s="987" t="str">
        <f>I3</f>
        <v>969500Z05GRNU3KPEY94</v>
      </c>
    </row>
    <row r="213" spans="1:9" ht="39.5" thickBot="1" x14ac:dyDescent="0.3">
      <c r="A213" s="982" t="s">
        <v>1813</v>
      </c>
      <c r="B213" s="970" t="s">
        <v>2410</v>
      </c>
      <c r="C213" s="968" t="s">
        <v>2413</v>
      </c>
      <c r="D213" s="981" t="s">
        <v>2414</v>
      </c>
      <c r="E213" s="978" t="s">
        <v>2415</v>
      </c>
      <c r="F213" s="979" t="s">
        <v>1622</v>
      </c>
      <c r="G213" s="979" t="s">
        <v>1622</v>
      </c>
      <c r="H213" s="980" t="s">
        <v>1789</v>
      </c>
      <c r="I213" s="980">
        <v>0</v>
      </c>
    </row>
    <row r="214" spans="1:9" ht="39.5" thickBot="1" x14ac:dyDescent="0.3">
      <c r="A214" s="982" t="s">
        <v>1813</v>
      </c>
      <c r="B214" s="970" t="s">
        <v>2410</v>
      </c>
      <c r="C214" s="968" t="s">
        <v>2416</v>
      </c>
      <c r="D214" s="981" t="s">
        <v>2417</v>
      </c>
      <c r="E214" s="978" t="s">
        <v>2418</v>
      </c>
      <c r="F214" s="979" t="s">
        <v>1622</v>
      </c>
      <c r="G214" s="979" t="s">
        <v>1622</v>
      </c>
      <c r="H214" s="980" t="s">
        <v>1768</v>
      </c>
      <c r="I214" s="980">
        <v>0</v>
      </c>
    </row>
  </sheetData>
  <phoneticPr fontId="111"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3D91A-845A-4DAF-A6D9-F95EB3740F33}">
  <dimension ref="A1:AS28"/>
  <sheetViews>
    <sheetView workbookViewId="0">
      <selection activeCell="B21" sqref="B21"/>
    </sheetView>
  </sheetViews>
  <sheetFormatPr defaultColWidth="9.1796875" defaultRowHeight="12.5" x14ac:dyDescent="0.25"/>
  <cols>
    <col min="1" max="1" width="8.26953125" style="950" bestFit="1" customWidth="1"/>
    <col min="2" max="2" width="6.453125" style="950" bestFit="1" customWidth="1"/>
    <col min="3" max="3" width="13.26953125" style="950" bestFit="1" customWidth="1"/>
    <col min="4" max="4" width="12.453125" style="950" bestFit="1" customWidth="1"/>
    <col min="5" max="6" width="43" style="950" bestFit="1" customWidth="1"/>
    <col min="7" max="7" width="24.1796875" style="950" bestFit="1" customWidth="1"/>
    <col min="8" max="8" width="30.54296875" style="950" bestFit="1" customWidth="1"/>
    <col min="9" max="9" width="27.81640625" style="950" customWidth="1"/>
    <col min="10" max="11" width="3.7265625" style="950" hidden="1" customWidth="1"/>
    <col min="12" max="12" width="28.26953125" style="950" bestFit="1" customWidth="1"/>
    <col min="13" max="13" width="10.1796875" style="950" bestFit="1" customWidth="1"/>
    <col min="14" max="14" width="21" style="950" bestFit="1" customWidth="1"/>
    <col min="15" max="15" width="30.54296875" style="950" bestFit="1" customWidth="1"/>
    <col min="16" max="16" width="30.26953125" style="950" bestFit="1" customWidth="1"/>
    <col min="17" max="17" width="23.26953125" style="950" bestFit="1" customWidth="1"/>
    <col min="18" max="18" width="6" style="950" bestFit="1" customWidth="1"/>
    <col min="19" max="19" width="5.26953125" style="950" bestFit="1" customWidth="1"/>
    <col min="20" max="20" width="11.26953125" style="950" bestFit="1" customWidth="1"/>
    <col min="21" max="21" width="33" style="950" bestFit="1" customWidth="1"/>
    <col min="22" max="22" width="20.81640625" style="950" bestFit="1" customWidth="1"/>
    <col min="23" max="23" width="7.453125" style="950" hidden="1" customWidth="1"/>
    <col min="24" max="24" width="11.26953125" style="950" hidden="1" customWidth="1"/>
    <col min="25" max="25" width="35" style="950" bestFit="1" customWidth="1"/>
    <col min="26" max="26" width="44.7265625" style="950" bestFit="1" customWidth="1"/>
    <col min="27" max="27" width="17.26953125" style="950" bestFit="1" customWidth="1"/>
    <col min="28" max="28" width="9.1796875" style="950"/>
    <col min="29" max="29" width="165.54296875" style="950" bestFit="1" customWidth="1"/>
    <col min="30" max="34" width="9.1796875" style="950"/>
    <col min="35" max="35" width="10" style="950" bestFit="1" customWidth="1"/>
    <col min="36" max="36" width="9.1796875" style="950"/>
    <col min="37" max="37" width="27" style="950" customWidth="1"/>
    <col min="38" max="38" width="6.7265625" style="950" bestFit="1" customWidth="1"/>
    <col min="39" max="39" width="30.54296875" style="950" bestFit="1" customWidth="1"/>
    <col min="40" max="40" width="9.1796875" style="950"/>
    <col min="41" max="41" width="21" style="950" bestFit="1" customWidth="1"/>
    <col min="42" max="42" width="23.7265625" style="950" bestFit="1" customWidth="1"/>
    <col min="43" max="43" width="6" style="950" bestFit="1" customWidth="1"/>
    <col min="44" max="44" width="5.26953125" style="950" bestFit="1" customWidth="1"/>
    <col min="45" max="45" width="11.81640625" style="950" bestFit="1" customWidth="1"/>
    <col min="46" max="16384" width="9.1796875" style="950"/>
  </cols>
  <sheetData>
    <row r="1" spans="1:45" ht="20" x14ac:dyDescent="0.4">
      <c r="A1" s="1203" t="s">
        <v>1583</v>
      </c>
      <c r="B1" s="1203"/>
      <c r="C1" s="1203"/>
      <c r="D1" s="1203"/>
      <c r="E1" s="1203"/>
      <c r="F1" s="1203"/>
      <c r="G1" s="1203"/>
      <c r="H1" s="1203"/>
      <c r="I1" s="1203"/>
      <c r="J1" s="1203"/>
      <c r="K1" s="1203"/>
      <c r="L1" s="1203"/>
      <c r="M1" s="1203"/>
      <c r="N1" s="962"/>
    </row>
    <row r="2" spans="1:45" ht="13" x14ac:dyDescent="0.3">
      <c r="A2" s="961">
        <v>1</v>
      </c>
      <c r="B2" s="961">
        <v>2</v>
      </c>
      <c r="C2" s="961">
        <v>3</v>
      </c>
      <c r="D2" s="961">
        <v>4</v>
      </c>
      <c r="E2" s="961">
        <v>5</v>
      </c>
      <c r="F2" s="961">
        <v>6</v>
      </c>
      <c r="G2" s="961">
        <v>7</v>
      </c>
      <c r="H2" s="961">
        <v>8</v>
      </c>
      <c r="I2" s="961">
        <v>9</v>
      </c>
      <c r="J2" s="961">
        <v>10</v>
      </c>
      <c r="K2" s="961">
        <v>11</v>
      </c>
      <c r="L2" s="961">
        <v>12</v>
      </c>
      <c r="M2" s="961">
        <v>13</v>
      </c>
      <c r="N2" s="961">
        <v>14</v>
      </c>
      <c r="O2" s="961">
        <v>15</v>
      </c>
      <c r="P2" s="961">
        <v>16</v>
      </c>
      <c r="Q2" s="961">
        <v>17</v>
      </c>
      <c r="R2" s="961">
        <v>18</v>
      </c>
      <c r="S2" s="961">
        <v>19</v>
      </c>
      <c r="T2" s="961">
        <v>20</v>
      </c>
      <c r="U2" s="961">
        <v>21</v>
      </c>
      <c r="V2" s="961">
        <v>22</v>
      </c>
      <c r="W2" s="961">
        <v>23</v>
      </c>
      <c r="X2" s="961">
        <v>24</v>
      </c>
      <c r="Y2" s="961">
        <v>25</v>
      </c>
      <c r="Z2" s="961">
        <v>26</v>
      </c>
      <c r="AA2" s="961">
        <v>27</v>
      </c>
    </row>
    <row r="3" spans="1:45" x14ac:dyDescent="0.25">
      <c r="A3" s="956" t="s">
        <v>1582</v>
      </c>
      <c r="B3" s="956" t="s">
        <v>1561</v>
      </c>
      <c r="C3" s="954" t="s">
        <v>1581</v>
      </c>
      <c r="D3" s="960" t="s">
        <v>1580</v>
      </c>
      <c r="E3" s="956" t="s">
        <v>1579</v>
      </c>
      <c r="F3" s="956" t="s">
        <v>1578</v>
      </c>
      <c r="G3" s="956" t="s">
        <v>1577</v>
      </c>
      <c r="H3" s="956" t="s">
        <v>1576</v>
      </c>
      <c r="I3" s="954" t="s">
        <v>1575</v>
      </c>
      <c r="J3" s="956"/>
      <c r="K3" s="954"/>
      <c r="L3" s="956" t="s">
        <v>1574</v>
      </c>
      <c r="M3" s="954" t="s">
        <v>1573</v>
      </c>
      <c r="N3" s="954" t="s">
        <v>1572</v>
      </c>
      <c r="O3" s="953" t="s">
        <v>1571</v>
      </c>
      <c r="P3" s="952" t="s">
        <v>1570</v>
      </c>
      <c r="Q3" s="952" t="s">
        <v>1558</v>
      </c>
      <c r="R3" s="952" t="s">
        <v>1557</v>
      </c>
      <c r="S3" s="952" t="s">
        <v>1556</v>
      </c>
      <c r="T3" s="952" t="s">
        <v>1555</v>
      </c>
      <c r="U3" s="953" t="s">
        <v>1569</v>
      </c>
      <c r="V3" s="952" t="s">
        <v>1568</v>
      </c>
      <c r="W3" s="952" t="s">
        <v>1567</v>
      </c>
      <c r="X3" s="952" t="s">
        <v>1555</v>
      </c>
      <c r="Y3" s="952" t="s">
        <v>1566</v>
      </c>
      <c r="Z3" s="952" t="s">
        <v>1565</v>
      </c>
      <c r="AA3" s="952" t="s">
        <v>1564</v>
      </c>
      <c r="AC3" s="950" t="str">
        <f t="array" aca="1" ref="AC3" ca="1">CELL("filename")</f>
        <v>Y:\FONDS\1_FONDS SOUS GESTION\00 - FCT\FCT FRENCH PRIME CASH 2023\04 - MR\01 - Diffusion\Management Report\2024 07 25\[FCT French Prime Cash - Management Report - 2024 07 25 v2.xlsx]15 - Priority of Payments</v>
      </c>
    </row>
    <row r="4" spans="1:45" ht="13" x14ac:dyDescent="0.3">
      <c r="A4" s="956" t="s">
        <v>1554</v>
      </c>
      <c r="B4" s="956" t="s">
        <v>687</v>
      </c>
      <c r="C4" s="955">
        <f>Instructions!J2</f>
        <v>45498</v>
      </c>
      <c r="D4" s="957">
        <f>Instructions!E2</f>
        <v>100357.3</v>
      </c>
      <c r="E4" s="956" t="str">
        <f>Instructions!U2</f>
        <v>FCT French prime cash 2023 COMPTE GENERAL</v>
      </c>
      <c r="F4" s="956" t="str">
        <f>E4</f>
        <v>FCT French prime cash 2023 COMPTE GENERAL</v>
      </c>
      <c r="G4" s="956" t="str">
        <f>Instructions!V2</f>
        <v>BNP PARIBAS</v>
      </c>
      <c r="H4" s="956" t="str">
        <f>_xlfn.XLOOKUP(L4,Instructions!$L$21:$L$25,Instructions!$N$21:$N$25)</f>
        <v>41329000010000479328U</v>
      </c>
      <c r="I4" s="954" t="s">
        <v>1548</v>
      </c>
      <c r="J4" s="956"/>
      <c r="K4" s="954"/>
      <c r="L4" s="956" t="str">
        <f>Instructions!L2</f>
        <v>FCH PRIME CASH 23 RES AC</v>
      </c>
      <c r="M4" s="955">
        <f ca="1">TODAY()</f>
        <v>45505</v>
      </c>
      <c r="N4" s="954" t="s">
        <v>1596</v>
      </c>
      <c r="O4" s="953" t="str">
        <f>H4</f>
        <v>41329000010000479328U</v>
      </c>
      <c r="P4" s="952" t="str">
        <f>A4</f>
        <v>PARBFR</v>
      </c>
      <c r="Q4" s="952" t="str">
        <f>AP$5</f>
        <v>92 AVENUE DE WAGRAM</v>
      </c>
      <c r="R4" s="952" t="str">
        <f>$AQ$5</f>
        <v>75017</v>
      </c>
      <c r="S4" s="952" t="str">
        <f>$AR$5</f>
        <v>Paris</v>
      </c>
      <c r="T4" s="952" t="str">
        <f>$AS$5</f>
        <v>FRANCE FR</v>
      </c>
      <c r="U4" s="953" t="str">
        <f>Instructions!X2</f>
        <v>FR04 4132 9000 0100 0047 9325 K50</v>
      </c>
      <c r="V4" s="952" t="str">
        <f>Instructions!W2</f>
        <v>PARBFRPP</v>
      </c>
      <c r="W4" s="952"/>
      <c r="X4" s="952"/>
      <c r="Y4" s="952" t="str">
        <f>Instructions!G2</f>
        <v>Transfert Financial Income Reserve to General</v>
      </c>
      <c r="Z4" s="952" t="str">
        <f>E4</f>
        <v>FCT French prime cash 2023 COMPTE GENERAL</v>
      </c>
      <c r="AA4" s="952" t="s">
        <v>1547</v>
      </c>
      <c r="AE4" s="959"/>
      <c r="AF4" s="959"/>
      <c r="AG4" s="959"/>
      <c r="AH4" s="959"/>
      <c r="AI4" s="951" t="s">
        <v>1563</v>
      </c>
      <c r="AJ4" s="1204" t="s">
        <v>1562</v>
      </c>
      <c r="AK4" s="1205"/>
      <c r="AL4" s="951" t="s">
        <v>1561</v>
      </c>
      <c r="AM4" s="951" t="s">
        <v>1560</v>
      </c>
      <c r="AO4" s="951" t="s">
        <v>1559</v>
      </c>
      <c r="AP4" s="951" t="s">
        <v>1558</v>
      </c>
      <c r="AQ4" s="951" t="s">
        <v>1557</v>
      </c>
      <c r="AR4" s="951" t="s">
        <v>1556</v>
      </c>
      <c r="AS4" s="951" t="s">
        <v>1555</v>
      </c>
    </row>
    <row r="5" spans="1:45" ht="13" x14ac:dyDescent="0.25">
      <c r="A5" s="956" t="s">
        <v>1554</v>
      </c>
      <c r="B5" s="956" t="s">
        <v>687</v>
      </c>
      <c r="C5" s="955">
        <f>Instructions!J3</f>
        <v>45498</v>
      </c>
      <c r="D5" s="957">
        <f>Instructions!E3</f>
        <v>16479655.059999999</v>
      </c>
      <c r="E5" s="956" t="str">
        <f>Instructions!U3</f>
        <v>FCT French prime cash 2023 COMPTE PRINCIPAL</v>
      </c>
      <c r="F5" s="956" t="str">
        <f t="shared" ref="F5:F15" si="0">E5</f>
        <v>FCT French prime cash 2023 COMPTE PRINCIPAL</v>
      </c>
      <c r="G5" s="956" t="str">
        <f>Instructions!V3</f>
        <v>BNP PARIBAS</v>
      </c>
      <c r="H5" s="956" t="str">
        <f>_xlfn.XLOOKUP(L5,Instructions!$L$21:$L$25,Instructions!$N$21:$N$25)</f>
        <v>41329000010000479325K</v>
      </c>
      <c r="I5" s="954" t="s">
        <v>1548</v>
      </c>
      <c r="J5" s="956"/>
      <c r="K5" s="954"/>
      <c r="L5" s="956" t="str">
        <f>Instructions!L3</f>
        <v>FCH PRIME CASH 23 GEN AC</v>
      </c>
      <c r="M5" s="955">
        <f t="shared" ref="M5:M17" ca="1" si="1">TODAY()</f>
        <v>45505</v>
      </c>
      <c r="N5" s="954" t="s">
        <v>1596</v>
      </c>
      <c r="O5" s="953" t="str">
        <f t="shared" ref="O5:O13" si="2">H5</f>
        <v>41329000010000479325K</v>
      </c>
      <c r="P5" s="952" t="str">
        <f t="shared" ref="P5:P13" si="3">A5</f>
        <v>PARBFR</v>
      </c>
      <c r="Q5" s="952" t="str">
        <f t="shared" ref="Q5:Q13" si="4">AP$5</f>
        <v>92 AVENUE DE WAGRAM</v>
      </c>
      <c r="R5" s="952" t="str">
        <f t="shared" ref="R5:R17" si="5">$AQ$5</f>
        <v>75017</v>
      </c>
      <c r="S5" s="952" t="str">
        <f t="shared" ref="S5:S17" si="6">$AR$5</f>
        <v>Paris</v>
      </c>
      <c r="T5" s="952" t="str">
        <f t="shared" ref="T5:T17" si="7">$AS$5</f>
        <v>FRANCE FR</v>
      </c>
      <c r="U5" s="953" t="str">
        <f>Instructions!X3</f>
        <v>FR71 4132 9000 0100 0047 9327 R66</v>
      </c>
      <c r="V5" s="952" t="str">
        <f>Instructions!W3</f>
        <v>PARBFRPP</v>
      </c>
      <c r="W5" s="952"/>
      <c r="X5" s="952"/>
      <c r="Y5" s="952" t="str">
        <f>Instructions!G3</f>
        <v>Transfert General to Principal</v>
      </c>
      <c r="Z5" s="952" t="str">
        <f t="shared" ref="Z5:Z13" si="8">E5</f>
        <v>FCT French prime cash 2023 COMPTE PRINCIPAL</v>
      </c>
      <c r="AA5" s="952" t="s">
        <v>1547</v>
      </c>
      <c r="AE5" s="1206" t="s">
        <v>1606</v>
      </c>
      <c r="AF5" s="1206"/>
      <c r="AG5" s="1206"/>
      <c r="AH5" s="1206"/>
      <c r="AI5" s="958" t="s">
        <v>1554</v>
      </c>
      <c r="AJ5" s="1207" t="s">
        <v>1607</v>
      </c>
      <c r="AK5" s="1208"/>
      <c r="AL5" s="958" t="s">
        <v>687</v>
      </c>
      <c r="AM5" s="958" t="s">
        <v>1553</v>
      </c>
      <c r="AO5" s="958" t="s">
        <v>1552</v>
      </c>
      <c r="AP5" s="958" t="s">
        <v>1551</v>
      </c>
      <c r="AQ5" s="958" t="s">
        <v>1550</v>
      </c>
      <c r="AR5" s="958" t="s">
        <v>1271</v>
      </c>
      <c r="AS5" s="958" t="s">
        <v>1549</v>
      </c>
    </row>
    <row r="6" spans="1:45" ht="13" x14ac:dyDescent="0.25">
      <c r="A6" s="956" t="s">
        <v>1554</v>
      </c>
      <c r="B6" s="956" t="s">
        <v>687</v>
      </c>
      <c r="C6" s="955">
        <f>Instructions!J4</f>
        <v>45498</v>
      </c>
      <c r="D6" s="957">
        <f>Instructions!E4</f>
        <v>13141911.690000001</v>
      </c>
      <c r="E6" s="956" t="str">
        <f>Instructions!U4</f>
        <v>FCT French prime cash 2023 COMPTE INTERETS</v>
      </c>
      <c r="F6" s="956" t="str">
        <f t="shared" si="0"/>
        <v>FCT French prime cash 2023 COMPTE INTERETS</v>
      </c>
      <c r="G6" s="956" t="str">
        <f>Instructions!V4</f>
        <v>BNP PARIBAS</v>
      </c>
      <c r="H6" s="956" t="str">
        <f>_xlfn.XLOOKUP(L6,Instructions!$L$21:$L$25,Instructions!$N$21:$N$25)</f>
        <v>41329000010000479325K</v>
      </c>
      <c r="I6" s="954" t="s">
        <v>1548</v>
      </c>
      <c r="J6" s="956"/>
      <c r="K6" s="954"/>
      <c r="L6" s="956" t="str">
        <f>Instructions!L4</f>
        <v>FCH PRIME CASH 23 GEN AC</v>
      </c>
      <c r="M6" s="955">
        <f t="shared" ca="1" si="1"/>
        <v>45505</v>
      </c>
      <c r="N6" s="954" t="s">
        <v>1596</v>
      </c>
      <c r="O6" s="953" t="str">
        <f t="shared" si="2"/>
        <v>41329000010000479325K</v>
      </c>
      <c r="P6" s="952" t="str">
        <f t="shared" si="3"/>
        <v>PARBFR</v>
      </c>
      <c r="Q6" s="952" t="str">
        <f t="shared" si="4"/>
        <v>92 AVENUE DE WAGRAM</v>
      </c>
      <c r="R6" s="952" t="str">
        <f t="shared" si="5"/>
        <v>75017</v>
      </c>
      <c r="S6" s="952" t="str">
        <f t="shared" si="6"/>
        <v>Paris</v>
      </c>
      <c r="T6" s="952" t="str">
        <f t="shared" si="7"/>
        <v>FRANCE FR</v>
      </c>
      <c r="U6" s="953" t="str">
        <f>Instructions!X4</f>
        <v>FR86 4132 9000 0100 0047 9326 M14</v>
      </c>
      <c r="V6" s="952" t="str">
        <f>Instructions!W4</f>
        <v>PARBFRPP</v>
      </c>
      <c r="W6" s="952"/>
      <c r="X6" s="952"/>
      <c r="Y6" s="952" t="str">
        <f>Instructions!G4</f>
        <v>Transfert General to Compte interets</v>
      </c>
      <c r="Z6" s="952" t="str">
        <f t="shared" si="8"/>
        <v>FCT French prime cash 2023 COMPTE INTERETS</v>
      </c>
      <c r="AA6" s="952" t="s">
        <v>1547</v>
      </c>
      <c r="AE6" s="1209"/>
      <c r="AF6" s="1210"/>
      <c r="AG6" s="1210"/>
      <c r="AH6" s="1211"/>
      <c r="AI6" s="958"/>
      <c r="AJ6" s="1207"/>
      <c r="AK6" s="1208"/>
      <c r="AL6" s="958"/>
      <c r="AM6" s="958"/>
      <c r="AO6" s="958"/>
      <c r="AP6" s="958"/>
      <c r="AQ6" s="958"/>
      <c r="AR6" s="958"/>
      <c r="AS6" s="958"/>
    </row>
    <row r="7" spans="1:45" x14ac:dyDescent="0.25">
      <c r="A7" s="956" t="s">
        <v>1554</v>
      </c>
      <c r="B7" s="956" t="s">
        <v>687</v>
      </c>
      <c r="C7" s="955">
        <f>Instructions!J5</f>
        <v>45498</v>
      </c>
      <c r="D7" s="957">
        <f>Instructions!E5</f>
        <v>410920.19999999995</v>
      </c>
      <c r="E7" s="956" t="str">
        <f>Instructions!U5</f>
        <v>BNP PARIBAS PARIS BRANCH</v>
      </c>
      <c r="F7" s="956" t="str">
        <f t="shared" si="0"/>
        <v>BNP PARIBAS PARIS BRANCH</v>
      </c>
      <c r="G7" s="956" t="str">
        <f>Instructions!V5</f>
        <v>BNP PARIBAS SA</v>
      </c>
      <c r="H7" s="956" t="str">
        <f>_xlfn.XLOOKUP(L7,Instructions!$L$21:$L$25,Instructions!$N$21:$N$25)</f>
        <v>41329000010000479326M</v>
      </c>
      <c r="I7" s="954" t="s">
        <v>1548</v>
      </c>
      <c r="J7" s="956"/>
      <c r="K7" s="954"/>
      <c r="L7" s="956" t="str">
        <f>Instructions!L5</f>
        <v>FCH PRIME CASH 23 INT AC</v>
      </c>
      <c r="M7" s="955">
        <f t="shared" ca="1" si="1"/>
        <v>45505</v>
      </c>
      <c r="N7" s="954" t="s">
        <v>1596</v>
      </c>
      <c r="O7" s="953" t="str">
        <f t="shared" si="2"/>
        <v>41329000010000479326M</v>
      </c>
      <c r="P7" s="952" t="str">
        <f t="shared" si="3"/>
        <v>PARBFR</v>
      </c>
      <c r="Q7" s="952" t="str">
        <f t="shared" si="4"/>
        <v>92 AVENUE DE WAGRAM</v>
      </c>
      <c r="R7" s="952" t="str">
        <f t="shared" si="5"/>
        <v>75017</v>
      </c>
      <c r="S7" s="952" t="str">
        <f t="shared" si="6"/>
        <v>Paris</v>
      </c>
      <c r="T7" s="952" t="str">
        <f t="shared" si="7"/>
        <v>FRANCE FR</v>
      </c>
      <c r="U7" s="953" t="str">
        <f>Instructions!X5</f>
        <v>FR9441329000010000047475N27</v>
      </c>
      <c r="V7" s="952" t="str">
        <f>Instructions!W5</f>
        <v>PARBLULLXXX</v>
      </c>
      <c r="W7" s="952"/>
      <c r="X7" s="952"/>
      <c r="Y7" s="952" t="str">
        <f>Instructions!G5</f>
        <v xml:space="preserve">Class A Notes Interest </v>
      </c>
      <c r="Z7" s="952" t="str">
        <f t="shared" si="8"/>
        <v>BNP PARIBAS PARIS BRANCH</v>
      </c>
      <c r="AA7" s="952" t="s">
        <v>1547</v>
      </c>
    </row>
    <row r="8" spans="1:45" x14ac:dyDescent="0.25">
      <c r="A8" s="956" t="s">
        <v>1554</v>
      </c>
      <c r="B8" s="956" t="s">
        <v>687</v>
      </c>
      <c r="C8" s="955">
        <f>Instructions!J6</f>
        <v>45498</v>
      </c>
      <c r="D8" s="957">
        <f>Instructions!E6</f>
        <v>15958.9</v>
      </c>
      <c r="E8" s="956" t="str">
        <f>Instructions!U6</f>
        <v xml:space="preserve">IQ-EQ Management </v>
      </c>
      <c r="F8" s="956" t="str">
        <f t="shared" si="0"/>
        <v xml:space="preserve">IQ-EQ Management </v>
      </c>
      <c r="G8" s="956" t="str">
        <f>Instructions!V6</f>
        <v>HSBC</v>
      </c>
      <c r="H8" s="956" t="str">
        <f>_xlfn.XLOOKUP(L8,Instructions!$L$21:$L$25,Instructions!$N$21:$N$25)</f>
        <v>41329000010000479326M</v>
      </c>
      <c r="I8" s="954" t="s">
        <v>1548</v>
      </c>
      <c r="J8" s="956"/>
      <c r="K8" s="954"/>
      <c r="L8" s="956" t="str">
        <f>Instructions!L6</f>
        <v>FCH PRIME CASH 23 INT AC</v>
      </c>
      <c r="M8" s="955">
        <f t="shared" ca="1" si="1"/>
        <v>45505</v>
      </c>
      <c r="N8" s="954" t="s">
        <v>1596</v>
      </c>
      <c r="O8" s="953" t="str">
        <f t="shared" si="2"/>
        <v>41329000010000479326M</v>
      </c>
      <c r="P8" s="952" t="str">
        <f t="shared" si="3"/>
        <v>PARBFR</v>
      </c>
      <c r="Q8" s="952" t="str">
        <f t="shared" si="4"/>
        <v>92 AVENUE DE WAGRAM</v>
      </c>
      <c r="R8" s="952" t="str">
        <f t="shared" si="5"/>
        <v>75017</v>
      </c>
      <c r="S8" s="952" t="str">
        <f t="shared" si="6"/>
        <v>Paris</v>
      </c>
      <c r="T8" s="952" t="str">
        <f t="shared" si="7"/>
        <v>FRANCE FR</v>
      </c>
      <c r="U8" s="953" t="str">
        <f>Instructions!X6</f>
        <v>FR76 3005 6000 5000 5000 7046 525</v>
      </c>
      <c r="V8" s="952" t="str">
        <f>Instructions!W6</f>
        <v>CCFRFRPPXXX</v>
      </c>
      <c r="W8" s="952"/>
      <c r="X8" s="952"/>
      <c r="Y8" s="952" t="str">
        <f>Instructions!G6</f>
        <v xml:space="preserve">Fees - Management Company </v>
      </c>
      <c r="Z8" s="952" t="str">
        <f t="shared" si="8"/>
        <v xml:space="preserve">IQ-EQ Management </v>
      </c>
      <c r="AA8" s="952" t="s">
        <v>1547</v>
      </c>
    </row>
    <row r="9" spans="1:45" x14ac:dyDescent="0.25">
      <c r="A9" s="956" t="s">
        <v>1554</v>
      </c>
      <c r="B9" s="956" t="s">
        <v>687</v>
      </c>
      <c r="C9" s="955">
        <f>Instructions!J7</f>
        <v>45498</v>
      </c>
      <c r="D9" s="957">
        <f>Instructions!E7</f>
        <v>12671.900000000001</v>
      </c>
      <c r="E9" s="956" t="str">
        <f>Instructions!U7</f>
        <v>BNP PARIBAS SA</v>
      </c>
      <c r="F9" s="956" t="str">
        <f t="shared" si="0"/>
        <v>BNP PARIBAS SA</v>
      </c>
      <c r="G9" s="956" t="str">
        <f>Instructions!V7</f>
        <v>FONDS A RECEVOIR BP2S</v>
      </c>
      <c r="H9" s="956" t="str">
        <f>_xlfn.XLOOKUP(L9,Instructions!$L$21:$L$25,Instructions!$N$21:$N$25)</f>
        <v>41329000010000479326M</v>
      </c>
      <c r="I9" s="954" t="s">
        <v>1548</v>
      </c>
      <c r="J9" s="956"/>
      <c r="K9" s="954"/>
      <c r="L9" s="956" t="str">
        <f>Instructions!L7</f>
        <v>FCH PRIME CASH 23 INT AC</v>
      </c>
      <c r="M9" s="955">
        <f t="shared" ca="1" si="1"/>
        <v>45505</v>
      </c>
      <c r="N9" s="954" t="s">
        <v>1596</v>
      </c>
      <c r="O9" s="953" t="str">
        <f t="shared" si="2"/>
        <v>41329000010000479326M</v>
      </c>
      <c r="P9" s="952" t="str">
        <f t="shared" si="3"/>
        <v>PARBFR</v>
      </c>
      <c r="Q9" s="952" t="str">
        <f t="shared" si="4"/>
        <v>92 AVENUE DE WAGRAM</v>
      </c>
      <c r="R9" s="952" t="str">
        <f t="shared" si="5"/>
        <v>75017</v>
      </c>
      <c r="S9" s="952" t="str">
        <f t="shared" si="6"/>
        <v>Paris</v>
      </c>
      <c r="T9" s="952" t="str">
        <f t="shared" si="7"/>
        <v>FRANCE FR</v>
      </c>
      <c r="U9" s="953" t="str">
        <f>Instructions!X7</f>
        <v>FR77 4132 9000 0100 0008 4086 X22</v>
      </c>
      <c r="V9" s="952" t="str">
        <f>Instructions!W7</f>
        <v>PARBFRPP</v>
      </c>
      <c r="W9" s="952"/>
      <c r="X9" s="952"/>
      <c r="Y9" s="952" t="str">
        <f>Instructions!G7</f>
        <v>Fees - Custodian</v>
      </c>
      <c r="Z9" s="952" t="str">
        <f t="shared" si="8"/>
        <v>BNP PARIBAS SA</v>
      </c>
      <c r="AA9" s="952" t="s">
        <v>1547</v>
      </c>
    </row>
    <row r="10" spans="1:45" x14ac:dyDescent="0.25">
      <c r="A10" s="956" t="s">
        <v>1554</v>
      </c>
      <c r="B10" s="956" t="s">
        <v>687</v>
      </c>
      <c r="C10" s="955">
        <f>Instructions!J8</f>
        <v>45498</v>
      </c>
      <c r="D10" s="957">
        <f>Instructions!E8</f>
        <v>596.72131147540983</v>
      </c>
      <c r="E10" s="956" t="str">
        <f>Instructions!U8</f>
        <v>BNP PARIBAS SA</v>
      </c>
      <c r="F10" s="956" t="str">
        <f t="shared" si="0"/>
        <v>BNP PARIBAS SA</v>
      </c>
      <c r="G10" s="956" t="str">
        <f>Instructions!V8</f>
        <v>BNP PARIBAS SA</v>
      </c>
      <c r="H10" s="956" t="str">
        <f>_xlfn.XLOOKUP(L10,Instructions!$L$21:$L$25,Instructions!$N$21:$N$25)</f>
        <v>41329000010000479326M</v>
      </c>
      <c r="I10" s="954" t="s">
        <v>1548</v>
      </c>
      <c r="J10" s="956"/>
      <c r="K10" s="954"/>
      <c r="L10" s="956" t="str">
        <f>Instructions!L8</f>
        <v>FCH PRIME CASH 23 INT AC</v>
      </c>
      <c r="M10" s="955">
        <f t="shared" ca="1" si="1"/>
        <v>45505</v>
      </c>
      <c r="N10" s="954" t="s">
        <v>1596</v>
      </c>
      <c r="O10" s="953" t="str">
        <f t="shared" si="2"/>
        <v>41329000010000479326M</v>
      </c>
      <c r="P10" s="952" t="str">
        <f t="shared" si="3"/>
        <v>PARBFR</v>
      </c>
      <c r="Q10" s="952" t="str">
        <f t="shared" si="4"/>
        <v>92 AVENUE DE WAGRAM</v>
      </c>
      <c r="R10" s="952" t="str">
        <f t="shared" si="5"/>
        <v>75017</v>
      </c>
      <c r="S10" s="952" t="str">
        <f t="shared" si="6"/>
        <v>Paris</v>
      </c>
      <c r="T10" s="952" t="str">
        <f t="shared" si="7"/>
        <v>FRANCE FR</v>
      </c>
      <c r="U10" s="953" t="str">
        <f>Instructions!X8</f>
        <v>FR14 4132 9000 0100 0008 4182 E58</v>
      </c>
      <c r="V10" s="952" t="str">
        <f>Instructions!W8</f>
        <v>PARBFRPP</v>
      </c>
      <c r="W10" s="952"/>
      <c r="X10" s="952"/>
      <c r="Y10" s="952" t="str">
        <f>Instructions!G8</f>
        <v xml:space="preserve">Fees - FCT Account Bank </v>
      </c>
      <c r="Z10" s="952" t="str">
        <f t="shared" si="8"/>
        <v>BNP PARIBAS SA</v>
      </c>
      <c r="AA10" s="952" t="s">
        <v>1547</v>
      </c>
    </row>
    <row r="11" spans="1:45" x14ac:dyDescent="0.25">
      <c r="A11" s="956" t="s">
        <v>1554</v>
      </c>
      <c r="B11" s="956" t="s">
        <v>687</v>
      </c>
      <c r="C11" s="955">
        <f>Instructions!J9</f>
        <v>45498</v>
      </c>
      <c r="D11" s="957">
        <f>Instructions!E9</f>
        <v>1887.5409836065573</v>
      </c>
      <c r="E11" s="956" t="str">
        <f>Instructions!U9</f>
        <v>BNP PARIBAS SA</v>
      </c>
      <c r="F11" s="956" t="str">
        <f t="shared" si="0"/>
        <v>BNP PARIBAS SA</v>
      </c>
      <c r="G11" s="956" t="str">
        <f>Instructions!V9</f>
        <v>BNP PARIBAS SA</v>
      </c>
      <c r="H11" s="956" t="str">
        <f>_xlfn.XLOOKUP(L11,Instructions!$L$21:$L$25,Instructions!$N$21:$N$25)</f>
        <v>41329000010000479326M</v>
      </c>
      <c r="I11" s="954" t="s">
        <v>1548</v>
      </c>
      <c r="J11" s="956"/>
      <c r="K11" s="954"/>
      <c r="L11" s="956" t="str">
        <f>Instructions!L9</f>
        <v>FCH PRIME CASH 23 INT AC</v>
      </c>
      <c r="M11" s="955">
        <f t="shared" ca="1" si="1"/>
        <v>45505</v>
      </c>
      <c r="N11" s="954" t="s">
        <v>1596</v>
      </c>
      <c r="O11" s="953" t="str">
        <f t="shared" si="2"/>
        <v>41329000010000479326M</v>
      </c>
      <c r="P11" s="952" t="str">
        <f t="shared" si="3"/>
        <v>PARBFR</v>
      </c>
      <c r="Q11" s="952" t="str">
        <f t="shared" si="4"/>
        <v>92 AVENUE DE WAGRAM</v>
      </c>
      <c r="R11" s="952" t="str">
        <f t="shared" si="5"/>
        <v>75017</v>
      </c>
      <c r="S11" s="952" t="str">
        <f t="shared" si="6"/>
        <v>Paris</v>
      </c>
      <c r="T11" s="952" t="str">
        <f t="shared" si="7"/>
        <v>FRANCE FR</v>
      </c>
      <c r="U11" s="953" t="str">
        <f>Instructions!X9</f>
        <v>FR14 4132 9000 0100 0008 4182 E58</v>
      </c>
      <c r="V11" s="952" t="str">
        <f>Instructions!W9</f>
        <v>PARBFRPP</v>
      </c>
      <c r="W11" s="952"/>
      <c r="X11" s="952"/>
      <c r="Y11" s="952" t="str">
        <f>Instructions!G9</f>
        <v>Fees - FCT Paying Agent Fees</v>
      </c>
      <c r="Z11" s="952" t="str">
        <f t="shared" si="8"/>
        <v>BNP PARIBAS SA</v>
      </c>
      <c r="AA11" s="952" t="s">
        <v>1547</v>
      </c>
    </row>
    <row r="12" spans="1:45" x14ac:dyDescent="0.25">
      <c r="A12" s="956" t="s">
        <v>1554</v>
      </c>
      <c r="B12" s="956" t="s">
        <v>687</v>
      </c>
      <c r="C12" s="955">
        <f>Instructions!J10</f>
        <v>45498</v>
      </c>
      <c r="D12" s="957">
        <f>Instructions!E10</f>
        <v>298.36065573770492</v>
      </c>
      <c r="E12" s="956" t="str">
        <f>Instructions!U10</f>
        <v>BNP PARIBAS SA</v>
      </c>
      <c r="F12" s="956" t="str">
        <f t="shared" si="0"/>
        <v>BNP PARIBAS SA</v>
      </c>
      <c r="G12" s="956" t="str">
        <f>Instructions!V10</f>
        <v>BNP PARIBAS SA</v>
      </c>
      <c r="H12" s="956" t="str">
        <f>_xlfn.XLOOKUP(L12,Instructions!$L$21:$L$25,Instructions!$N$21:$N$25)</f>
        <v>41329000010000479326M</v>
      </c>
      <c r="I12" s="954" t="s">
        <v>1548</v>
      </c>
      <c r="J12" s="956"/>
      <c r="K12" s="954"/>
      <c r="L12" s="956" t="str">
        <f>Instructions!L10</f>
        <v>FCH PRIME CASH 23 INT AC</v>
      </c>
      <c r="M12" s="955">
        <f t="shared" ca="1" si="1"/>
        <v>45505</v>
      </c>
      <c r="N12" s="954" t="s">
        <v>1596</v>
      </c>
      <c r="O12" s="953" t="str">
        <f t="shared" si="2"/>
        <v>41329000010000479326M</v>
      </c>
      <c r="P12" s="952" t="str">
        <f t="shared" si="3"/>
        <v>PARBFR</v>
      </c>
      <c r="Q12" s="952" t="str">
        <f t="shared" si="4"/>
        <v>92 AVENUE DE WAGRAM</v>
      </c>
      <c r="R12" s="952" t="str">
        <f t="shared" si="5"/>
        <v>75017</v>
      </c>
      <c r="S12" s="952" t="str">
        <f t="shared" si="6"/>
        <v>Paris</v>
      </c>
      <c r="T12" s="952" t="str">
        <f t="shared" si="7"/>
        <v>FRANCE FR</v>
      </c>
      <c r="U12" s="953" t="str">
        <f>Instructions!X10</f>
        <v>FR14 4132 9000 0100 0008 4182 E58</v>
      </c>
      <c r="V12" s="952" t="str">
        <f>Instructions!W10</f>
        <v>PARBFRPP</v>
      </c>
      <c r="W12" s="952"/>
      <c r="X12" s="952"/>
      <c r="Y12" s="952" t="str">
        <f>Instructions!G10</f>
        <v>Fees - Data Protection Agent</v>
      </c>
      <c r="Z12" s="952" t="str">
        <f t="shared" si="8"/>
        <v>BNP PARIBAS SA</v>
      </c>
      <c r="AA12" s="952" t="s">
        <v>1547</v>
      </c>
    </row>
    <row r="13" spans="1:45" x14ac:dyDescent="0.25">
      <c r="A13" s="956" t="s">
        <v>1554</v>
      </c>
      <c r="B13" s="956" t="s">
        <v>687</v>
      </c>
      <c r="C13" s="955">
        <f>Instructions!J11</f>
        <v>45498</v>
      </c>
      <c r="D13" s="957">
        <f>Instructions!E11</f>
        <v>16479655.059999999</v>
      </c>
      <c r="E13" s="956" t="str">
        <f>Instructions!U11</f>
        <v>BNP PARIBAS PARIS BRANCH</v>
      </c>
      <c r="F13" s="956" t="str">
        <f t="shared" si="0"/>
        <v>BNP PARIBAS PARIS BRANCH</v>
      </c>
      <c r="G13" s="956" t="str">
        <f>Instructions!V11</f>
        <v>BNP PARIBAS SA</v>
      </c>
      <c r="H13" s="956" t="str">
        <f>_xlfn.XLOOKUP(L13,Instructions!$L$21:$L$25,Instructions!$N$21:$N$25)</f>
        <v>41329000010000479327R</v>
      </c>
      <c r="I13" s="954" t="s">
        <v>1548</v>
      </c>
      <c r="J13" s="956"/>
      <c r="K13" s="954"/>
      <c r="L13" s="956" t="str">
        <f>Instructions!L11</f>
        <v>FCH PRIME CASH 23 PP ACC</v>
      </c>
      <c r="M13" s="955">
        <f t="shared" ca="1" si="1"/>
        <v>45505</v>
      </c>
      <c r="N13" s="954" t="s">
        <v>1596</v>
      </c>
      <c r="O13" s="953" t="str">
        <f t="shared" si="2"/>
        <v>41329000010000479327R</v>
      </c>
      <c r="P13" s="952" t="str">
        <f t="shared" si="3"/>
        <v>PARBFR</v>
      </c>
      <c r="Q13" s="952" t="str">
        <f t="shared" si="4"/>
        <v>92 AVENUE DE WAGRAM</v>
      </c>
      <c r="R13" s="952" t="str">
        <f t="shared" si="5"/>
        <v>75017</v>
      </c>
      <c r="S13" s="952" t="str">
        <f t="shared" si="6"/>
        <v>Paris</v>
      </c>
      <c r="T13" s="952" t="str">
        <f t="shared" si="7"/>
        <v>FRANCE FR</v>
      </c>
      <c r="U13" s="953" t="str">
        <f>Instructions!X11</f>
        <v>FR9441329000010000047475N27</v>
      </c>
      <c r="V13" s="952" t="str">
        <f>Instructions!W11</f>
        <v>PARBLULLXXX</v>
      </c>
      <c r="W13" s="952"/>
      <c r="X13" s="952"/>
      <c r="Y13" s="952" t="str">
        <f>Instructions!G11</f>
        <v>Redemption Class A</v>
      </c>
      <c r="Z13" s="952" t="str">
        <f t="shared" si="8"/>
        <v>BNP PARIBAS PARIS BRANCH</v>
      </c>
      <c r="AA13" s="952" t="s">
        <v>1547</v>
      </c>
    </row>
    <row r="14" spans="1:45" x14ac:dyDescent="0.25">
      <c r="A14" s="956" t="s">
        <v>1554</v>
      </c>
      <c r="B14" s="956" t="s">
        <v>687</v>
      </c>
      <c r="C14" s="955">
        <f>Instructions!J12</f>
        <v>45498</v>
      </c>
      <c r="D14" s="957">
        <f>Instructions!E12</f>
        <v>2445124.0970491804</v>
      </c>
      <c r="E14" s="956" t="str">
        <f>Instructions!U12</f>
        <v>BANQUE DE France MILLEIS</v>
      </c>
      <c r="F14" s="956" t="str">
        <f t="shared" si="0"/>
        <v>BANQUE DE France MILLEIS</v>
      </c>
      <c r="G14" s="956" t="str">
        <f>Instructions!V12</f>
        <v>MILLEIS BANQUE</v>
      </c>
      <c r="H14" s="956" t="str">
        <f>_xlfn.XLOOKUP(L14,Instructions!$L$21:$L$25,Instructions!$N$21:$N$25)</f>
        <v>41329000010000479326M</v>
      </c>
      <c r="I14" s="954" t="s">
        <v>1548</v>
      </c>
      <c r="J14" s="956"/>
      <c r="K14" s="954"/>
      <c r="L14" s="956" t="str">
        <f>Instructions!L12</f>
        <v>FCH PRIME CASH 23 INT AC</v>
      </c>
      <c r="M14" s="955">
        <f t="shared" ca="1" si="1"/>
        <v>45505</v>
      </c>
      <c r="N14" s="954" t="s">
        <v>1596</v>
      </c>
      <c r="O14" s="953" t="str">
        <f t="shared" ref="O14:O15" si="9">H14</f>
        <v>41329000010000479326M</v>
      </c>
      <c r="P14" s="952" t="str">
        <f t="shared" ref="P14:P15" si="10">A14</f>
        <v>PARBFR</v>
      </c>
      <c r="Q14" s="952" t="str">
        <f t="shared" ref="Q14:Q15" si="11">AP$5</f>
        <v>92 AVENUE DE WAGRAM</v>
      </c>
      <c r="R14" s="952" t="str">
        <f t="shared" si="5"/>
        <v>75017</v>
      </c>
      <c r="S14" s="952" t="str">
        <f t="shared" si="6"/>
        <v>Paris</v>
      </c>
      <c r="T14" s="952" t="str">
        <f t="shared" si="7"/>
        <v>FRANCE FR</v>
      </c>
      <c r="U14" s="953" t="str">
        <f>Instructions!X12</f>
        <v>RFREURPRIVFRPPXXX</v>
      </c>
      <c r="V14" s="952" t="str">
        <f>Instructions!W12</f>
        <v>PRIVFRPPXXX</v>
      </c>
      <c r="W14" s="952"/>
      <c r="X14" s="952"/>
      <c r="Y14" s="952" t="str">
        <f>Instructions!G12</f>
        <v>Interest to the Residual Unitholders</v>
      </c>
      <c r="Z14" s="952" t="str">
        <f t="shared" ref="Z14:Z15" si="12">E14</f>
        <v>BANQUE DE France MILLEIS</v>
      </c>
      <c r="AA14" s="952" t="s">
        <v>1547</v>
      </c>
    </row>
    <row r="15" spans="1:45" x14ac:dyDescent="0.25">
      <c r="A15" s="956" t="s">
        <v>1554</v>
      </c>
      <c r="B15" s="956" t="s">
        <v>687</v>
      </c>
      <c r="C15" s="955">
        <f>Instructions!J13</f>
        <v>45498</v>
      </c>
      <c r="D15" s="957">
        <f>Instructions!E13</f>
        <v>1953.9699999999998</v>
      </c>
      <c r="E15" s="956" t="str">
        <f>Instructions!U13</f>
        <v>BANQUE DE France MILLEIS</v>
      </c>
      <c r="F15" s="956" t="str">
        <f t="shared" si="0"/>
        <v>BANQUE DE France MILLEIS</v>
      </c>
      <c r="G15" s="956" t="str">
        <f>Instructions!V13</f>
        <v>MILLEIS BANQUE</v>
      </c>
      <c r="H15" s="956" t="str">
        <f>_xlfn.XLOOKUP(L15,Instructions!$L$21:$L$25,Instructions!$N$21:$N$25)</f>
        <v>41329000010000479326M</v>
      </c>
      <c r="I15" s="954" t="s">
        <v>1548</v>
      </c>
      <c r="J15" s="956"/>
      <c r="K15" s="954"/>
      <c r="L15" s="956" t="str">
        <f>Instructions!L13</f>
        <v>FCH PRIME CASH 23 INT AC</v>
      </c>
      <c r="M15" s="955">
        <f t="shared" ca="1" si="1"/>
        <v>45505</v>
      </c>
      <c r="N15" s="954" t="s">
        <v>1596</v>
      </c>
      <c r="O15" s="953" t="str">
        <f t="shared" si="9"/>
        <v>41329000010000479326M</v>
      </c>
      <c r="P15" s="952" t="str">
        <f t="shared" si="10"/>
        <v>PARBFR</v>
      </c>
      <c r="Q15" s="952" t="str">
        <f t="shared" si="11"/>
        <v>92 AVENUE DE WAGRAM</v>
      </c>
      <c r="R15" s="952" t="str">
        <f t="shared" si="5"/>
        <v>75017</v>
      </c>
      <c r="S15" s="952" t="str">
        <f t="shared" si="6"/>
        <v>Paris</v>
      </c>
      <c r="T15" s="952" t="str">
        <f t="shared" si="7"/>
        <v>FRANCE FR</v>
      </c>
      <c r="U15" s="953" t="str">
        <f>Instructions!X13</f>
        <v>RFREURPRIVFRPPXXX</v>
      </c>
      <c r="V15" s="952" t="str">
        <f>Instructions!W13</f>
        <v>PRIVFRPPXXX</v>
      </c>
      <c r="W15" s="952"/>
      <c r="X15" s="952"/>
      <c r="Y15" s="952" t="str">
        <f>Instructions!G13</f>
        <v>Fees - Servicer</v>
      </c>
      <c r="Z15" s="952" t="str">
        <f t="shared" si="12"/>
        <v>BANQUE DE France MILLEIS</v>
      </c>
      <c r="AA15" s="952" t="s">
        <v>1547</v>
      </c>
    </row>
    <row r="16" spans="1:45" x14ac:dyDescent="0.25">
      <c r="A16" s="956" t="s">
        <v>1554</v>
      </c>
      <c r="B16" s="956" t="s">
        <v>687</v>
      </c>
      <c r="C16" s="955">
        <f>Instructions!J14</f>
        <v>45498</v>
      </c>
      <c r="D16" s="957">
        <f>Instructions!E14</f>
        <v>9754251.5420999993</v>
      </c>
      <c r="E16" s="956" t="str">
        <f>Instructions!U14</f>
        <v>FCT French prime cash 2023 COMPTE GENERAL</v>
      </c>
      <c r="F16" s="956" t="str">
        <f t="shared" ref="F16:F17" si="13">E16</f>
        <v>FCT French prime cash 2023 COMPTE GENERAL</v>
      </c>
      <c r="G16" s="956" t="str">
        <f>Instructions!V14</f>
        <v>BNP PARIBAS</v>
      </c>
      <c r="H16" s="956" t="str">
        <f>_xlfn.XLOOKUP(L16,Instructions!$L$21:$L$25,Instructions!$N$21:$N$25)</f>
        <v>41329000010000479328U</v>
      </c>
      <c r="I16" s="954" t="s">
        <v>1548</v>
      </c>
      <c r="J16" s="956"/>
      <c r="K16" s="954"/>
      <c r="L16" s="956" t="str">
        <f>Instructions!L14</f>
        <v>FCH PRIME CASH 23 RES AC</v>
      </c>
      <c r="M16" s="955">
        <f t="shared" ca="1" si="1"/>
        <v>45505</v>
      </c>
      <c r="N16" s="954" t="s">
        <v>1596</v>
      </c>
      <c r="O16" s="953" t="str">
        <f t="shared" ref="O16:O17" si="14">H16</f>
        <v>41329000010000479328U</v>
      </c>
      <c r="P16" s="952" t="str">
        <f t="shared" ref="P16:P17" si="15">A16</f>
        <v>PARBFR</v>
      </c>
      <c r="Q16" s="952" t="str">
        <f t="shared" ref="Q16:Q17" si="16">AP$5</f>
        <v>92 AVENUE DE WAGRAM</v>
      </c>
      <c r="R16" s="952" t="str">
        <f t="shared" si="5"/>
        <v>75017</v>
      </c>
      <c r="S16" s="952" t="str">
        <f t="shared" si="6"/>
        <v>Paris</v>
      </c>
      <c r="T16" s="952" t="str">
        <f t="shared" si="7"/>
        <v>FRANCE FR</v>
      </c>
      <c r="U16" s="953" t="str">
        <f>Instructions!X14</f>
        <v>FR04 4132 9000 0100 0047 9325 K50</v>
      </c>
      <c r="V16" s="952" t="str">
        <f>Instructions!W14</f>
        <v>PARBFRPP</v>
      </c>
      <c r="W16" s="952"/>
      <c r="X16" s="952"/>
      <c r="Y16" s="952" t="str">
        <f>Instructions!G14</f>
        <v>Transfert Financial Reserve to General</v>
      </c>
      <c r="Z16" s="952" t="str">
        <f t="shared" ref="Z16" si="17">E16</f>
        <v>FCT French prime cash 2023 COMPTE GENERAL</v>
      </c>
      <c r="AA16" s="952" t="s">
        <v>1547</v>
      </c>
    </row>
    <row r="17" spans="1:27" x14ac:dyDescent="0.25">
      <c r="A17" s="956" t="s">
        <v>1554</v>
      </c>
      <c r="B17" s="956" t="s">
        <v>687</v>
      </c>
      <c r="C17" s="955">
        <f>Instructions!J15</f>
        <v>45498</v>
      </c>
      <c r="D17" s="957">
        <f>Instructions!E15</f>
        <v>9754251.5420999993</v>
      </c>
      <c r="E17" s="956" t="str">
        <f>Instructions!U15</f>
        <v>FCH PRIME CASH 23 RES AC</v>
      </c>
      <c r="F17" s="956" t="str">
        <f t="shared" si="13"/>
        <v>FCH PRIME CASH 23 RES AC</v>
      </c>
      <c r="G17" s="956" t="str">
        <f>Instructions!V15</f>
        <v>BNP PARIBAS</v>
      </c>
      <c r="H17" s="956" t="str">
        <f>_xlfn.XLOOKUP(L17,Instructions!$L$21:$L$25,Instructions!$N$21:$N$25)</f>
        <v>41329000010000479326M</v>
      </c>
      <c r="I17" s="954" t="s">
        <v>1548</v>
      </c>
      <c r="J17" s="956"/>
      <c r="K17" s="954"/>
      <c r="L17" s="956" t="str">
        <f>Instructions!L15</f>
        <v>FCH PRIME CASH 23 INT AC</v>
      </c>
      <c r="M17" s="955">
        <f t="shared" ca="1" si="1"/>
        <v>45505</v>
      </c>
      <c r="N17" s="954" t="s">
        <v>1596</v>
      </c>
      <c r="O17" s="953" t="str">
        <f t="shared" si="14"/>
        <v>41329000010000479326M</v>
      </c>
      <c r="P17" s="952" t="str">
        <f t="shared" si="15"/>
        <v>PARBFR</v>
      </c>
      <c r="Q17" s="952" t="str">
        <f t="shared" si="16"/>
        <v>92 AVENUE DE WAGRAM</v>
      </c>
      <c r="R17" s="952" t="str">
        <f t="shared" si="5"/>
        <v>75017</v>
      </c>
      <c r="S17" s="952" t="str">
        <f t="shared" si="6"/>
        <v>Paris</v>
      </c>
      <c r="T17" s="952" t="str">
        <f t="shared" si="7"/>
        <v>FRANCE FR</v>
      </c>
      <c r="U17" s="953" t="str">
        <f>Instructions!X15</f>
        <v>FR87 4132 9000 0100 0047 9328 U51</v>
      </c>
      <c r="V17" s="952" t="str">
        <f>Instructions!W15</f>
        <v>PARBFRPP</v>
      </c>
      <c r="W17" s="952"/>
      <c r="X17" s="952"/>
      <c r="Y17" s="952" t="str">
        <f>Instructions!G15</f>
        <v>Transfert requiered reserved amount</v>
      </c>
      <c r="Z17" s="952" t="str">
        <f>E17</f>
        <v>FCH PRIME CASH 23 RES AC</v>
      </c>
      <c r="AA17" s="952" t="s">
        <v>1547</v>
      </c>
    </row>
    <row r="24" spans="1:27" ht="13" x14ac:dyDescent="0.3">
      <c r="E24" s="1017" t="s">
        <v>2547</v>
      </c>
      <c r="F24" s="1018" t="s">
        <v>2548</v>
      </c>
      <c r="G24" s="1018" t="s">
        <v>2545</v>
      </c>
      <c r="H24" s="1018" t="s">
        <v>29</v>
      </c>
      <c r="I24" s="1019" t="s">
        <v>2546</v>
      </c>
    </row>
    <row r="25" spans="1:27" x14ac:dyDescent="0.25">
      <c r="E25" s="1020" t="s">
        <v>1588</v>
      </c>
      <c r="F25" s="1021" t="str" cm="1">
        <f t="array" ref="F25:F28">_xlfn.UNIQUE(L4:L17)</f>
        <v>FCH PRIME CASH 23 RES AC</v>
      </c>
      <c r="G25" s="1022">
        <f>SUMIFS($D$4:$D$17,$L$4:$L$17,F25)</f>
        <v>9854608.8421</v>
      </c>
      <c r="H25" s="1022">
        <f>SUMIFS($D$4:$D$17,$Z$4:$Z$17,E25)</f>
        <v>9754251.5420999993</v>
      </c>
      <c r="I25" s="1023">
        <f>IF(H25-G25&lt;0,ABS(H25-G25),0)</f>
        <v>100357.30000000075</v>
      </c>
    </row>
    <row r="26" spans="1:27" x14ac:dyDescent="0.25">
      <c r="E26" s="1024" t="s">
        <v>1519</v>
      </c>
      <c r="F26" s="1025" t="str">
        <v>FCH PRIME CASH 23 GEN AC</v>
      </c>
      <c r="G26" s="1026">
        <f t="shared" ref="G26:G28" si="18">SUMIFS($D$4:$D$17,$L$4:$L$17,F26)</f>
        <v>29621566.75</v>
      </c>
      <c r="H26" s="1026">
        <f t="shared" ref="H26:H28" si="19">SUMIFS($D$4:$D$17,$Z$4:$Z$17,E26)</f>
        <v>9854608.8421</v>
      </c>
      <c r="I26" s="1027">
        <f t="shared" ref="I26:I28" si="20">IF(H26-G26&lt;0,ABS(H26-G26),0)</f>
        <v>19766957.907899998</v>
      </c>
    </row>
    <row r="27" spans="1:27" x14ac:dyDescent="0.25">
      <c r="E27" s="1020" t="s">
        <v>1527</v>
      </c>
      <c r="F27" s="1021" t="str">
        <v>FCH PRIME CASH 23 INT AC</v>
      </c>
      <c r="G27" s="1022">
        <f t="shared" si="18"/>
        <v>12643663.232099999</v>
      </c>
      <c r="H27" s="1022">
        <f t="shared" si="19"/>
        <v>13141911.690000001</v>
      </c>
      <c r="I27" s="1023">
        <f t="shared" si="20"/>
        <v>0</v>
      </c>
    </row>
    <row r="28" spans="1:27" x14ac:dyDescent="0.25">
      <c r="E28" s="1028" t="s">
        <v>1524</v>
      </c>
      <c r="F28" s="1029" t="str">
        <v>FCH PRIME CASH 23 PP ACC</v>
      </c>
      <c r="G28" s="1030">
        <f t="shared" si="18"/>
        <v>16479655.059999999</v>
      </c>
      <c r="H28" s="1030">
        <f t="shared" si="19"/>
        <v>16479655.059999999</v>
      </c>
      <c r="I28" s="1031">
        <f t="shared" si="20"/>
        <v>0</v>
      </c>
    </row>
  </sheetData>
  <mergeCells count="6">
    <mergeCell ref="A1:M1"/>
    <mergeCell ref="AJ4:AK4"/>
    <mergeCell ref="AE5:AH5"/>
    <mergeCell ref="AJ5:AK5"/>
    <mergeCell ref="AE6:AH6"/>
    <mergeCell ref="AJ6:AK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7734-F2AA-4DBD-8E17-ED0F4D73DE5E}">
  <sheetPr>
    <tabColor theme="6" tint="-0.249977111117893"/>
    <pageSetUpPr fitToPage="1"/>
  </sheetPr>
  <dimension ref="A1:AC34"/>
  <sheetViews>
    <sheetView topLeftCell="R1" workbookViewId="0">
      <selection activeCell="V20" sqref="V20"/>
    </sheetView>
  </sheetViews>
  <sheetFormatPr defaultColWidth="11.54296875" defaultRowHeight="12.5" x14ac:dyDescent="0.25"/>
  <cols>
    <col min="1" max="1" width="12.54296875" style="300" bestFit="1" customWidth="1"/>
    <col min="2" max="2" width="25.81640625" style="300" bestFit="1" customWidth="1"/>
    <col min="3" max="3" width="17.453125" style="300" bestFit="1" customWidth="1"/>
    <col min="4" max="4" width="17.81640625" style="300" bestFit="1" customWidth="1"/>
    <col min="5" max="5" width="16.54296875" style="311" bestFit="1" customWidth="1"/>
    <col min="6" max="6" width="18" style="300" bestFit="1" customWidth="1"/>
    <col min="7" max="7" width="60.453125" style="300" customWidth="1"/>
    <col min="8" max="8" width="61.54296875" style="300" bestFit="1" customWidth="1"/>
    <col min="9" max="9" width="15.453125" style="300" bestFit="1" customWidth="1"/>
    <col min="10" max="10" width="11.453125" style="300" bestFit="1" customWidth="1"/>
    <col min="11" max="11" width="16.54296875" style="300" bestFit="1" customWidth="1"/>
    <col min="12" max="12" width="46.1796875" style="300" bestFit="1" customWidth="1"/>
    <col min="13" max="13" width="27.453125" style="300" bestFit="1" customWidth="1"/>
    <col min="14" max="14" width="27.1796875" style="300" bestFit="1" customWidth="1"/>
    <col min="15" max="15" width="34.453125" style="300" bestFit="1" customWidth="1"/>
    <col min="16" max="16" width="36.54296875" style="300" bestFit="1" customWidth="1"/>
    <col min="17" max="17" width="20.81640625" style="300" bestFit="1" customWidth="1"/>
    <col min="18" max="18" width="30.54296875" style="300" bestFit="1" customWidth="1"/>
    <col min="19" max="20" width="19.54296875" style="300" bestFit="1" customWidth="1"/>
    <col min="21" max="21" width="44" style="300" bestFit="1" customWidth="1"/>
    <col min="22" max="22" width="36.54296875" style="300" bestFit="1" customWidth="1"/>
    <col min="23" max="23" width="28" style="300" bestFit="1" customWidth="1"/>
    <col min="24" max="24" width="38.54296875" style="300" bestFit="1" customWidth="1"/>
    <col min="25" max="25" width="16" style="300" bestFit="1" customWidth="1"/>
    <col min="26" max="26" width="14.54296875" style="300" bestFit="1" customWidth="1"/>
    <col min="27" max="27" width="8" style="300" bestFit="1" customWidth="1"/>
    <col min="28" max="28" width="14.54296875" style="300" bestFit="1" customWidth="1"/>
    <col min="29" max="29" width="46.54296875" style="300" bestFit="1" customWidth="1"/>
    <col min="30" max="31" width="11.54296875" style="300"/>
    <col min="32" max="32" width="24.453125" style="300" bestFit="1" customWidth="1"/>
    <col min="33" max="33" width="11.54296875" style="300"/>
    <col min="34" max="34" width="22.81640625" style="300" bestFit="1" customWidth="1"/>
    <col min="35" max="257" width="11.54296875" style="300"/>
    <col min="258" max="258" width="18.453125" style="300" customWidth="1"/>
    <col min="259" max="259" width="47.453125" style="300" customWidth="1"/>
    <col min="260" max="260" width="15.54296875" style="300" customWidth="1"/>
    <col min="261" max="261" width="17" style="300" customWidth="1"/>
    <col min="262" max="262" width="22.453125" style="300" customWidth="1"/>
    <col min="263" max="264" width="15.54296875" style="300" customWidth="1"/>
    <col min="265" max="265" width="25.54296875" style="300" customWidth="1"/>
    <col min="266" max="513" width="11.54296875" style="300"/>
    <col min="514" max="514" width="18.453125" style="300" customWidth="1"/>
    <col min="515" max="515" width="47.453125" style="300" customWidth="1"/>
    <col min="516" max="516" width="15.54296875" style="300" customWidth="1"/>
    <col min="517" max="517" width="17" style="300" customWidth="1"/>
    <col min="518" max="518" width="22.453125" style="300" customWidth="1"/>
    <col min="519" max="520" width="15.54296875" style="300" customWidth="1"/>
    <col min="521" max="521" width="25.54296875" style="300" customWidth="1"/>
    <col min="522" max="769" width="11.54296875" style="300"/>
    <col min="770" max="770" width="18.453125" style="300" customWidth="1"/>
    <col min="771" max="771" width="47.453125" style="300" customWidth="1"/>
    <col min="772" max="772" width="15.54296875" style="300" customWidth="1"/>
    <col min="773" max="773" width="17" style="300" customWidth="1"/>
    <col min="774" max="774" width="22.453125" style="300" customWidth="1"/>
    <col min="775" max="776" width="15.54296875" style="300" customWidth="1"/>
    <col min="777" max="777" width="25.54296875" style="300" customWidth="1"/>
    <col min="778" max="1025" width="11.54296875" style="300"/>
    <col min="1026" max="1026" width="18.453125" style="300" customWidth="1"/>
    <col min="1027" max="1027" width="47.453125" style="300" customWidth="1"/>
    <col min="1028" max="1028" width="15.54296875" style="300" customWidth="1"/>
    <col min="1029" max="1029" width="17" style="300" customWidth="1"/>
    <col min="1030" max="1030" width="22.453125" style="300" customWidth="1"/>
    <col min="1031" max="1032" width="15.54296875" style="300" customWidth="1"/>
    <col min="1033" max="1033" width="25.54296875" style="300" customWidth="1"/>
    <col min="1034" max="1281" width="11.54296875" style="300"/>
    <col min="1282" max="1282" width="18.453125" style="300" customWidth="1"/>
    <col min="1283" max="1283" width="47.453125" style="300" customWidth="1"/>
    <col min="1284" max="1284" width="15.54296875" style="300" customWidth="1"/>
    <col min="1285" max="1285" width="17" style="300" customWidth="1"/>
    <col min="1286" max="1286" width="22.453125" style="300" customWidth="1"/>
    <col min="1287" max="1288" width="15.54296875" style="300" customWidth="1"/>
    <col min="1289" max="1289" width="25.54296875" style="300" customWidth="1"/>
    <col min="1290" max="1537" width="11.54296875" style="300"/>
    <col min="1538" max="1538" width="18.453125" style="300" customWidth="1"/>
    <col min="1539" max="1539" width="47.453125" style="300" customWidth="1"/>
    <col min="1540" max="1540" width="15.54296875" style="300" customWidth="1"/>
    <col min="1541" max="1541" width="17" style="300" customWidth="1"/>
    <col min="1542" max="1542" width="22.453125" style="300" customWidth="1"/>
    <col min="1543" max="1544" width="15.54296875" style="300" customWidth="1"/>
    <col min="1545" max="1545" width="25.54296875" style="300" customWidth="1"/>
    <col min="1546" max="1793" width="11.54296875" style="300"/>
    <col min="1794" max="1794" width="18.453125" style="300" customWidth="1"/>
    <col min="1795" max="1795" width="47.453125" style="300" customWidth="1"/>
    <col min="1796" max="1796" width="15.54296875" style="300" customWidth="1"/>
    <col min="1797" max="1797" width="17" style="300" customWidth="1"/>
    <col min="1798" max="1798" width="22.453125" style="300" customWidth="1"/>
    <col min="1799" max="1800" width="15.54296875" style="300" customWidth="1"/>
    <col min="1801" max="1801" width="25.54296875" style="300" customWidth="1"/>
    <col min="1802" max="2049" width="11.54296875" style="300"/>
    <col min="2050" max="2050" width="18.453125" style="300" customWidth="1"/>
    <col min="2051" max="2051" width="47.453125" style="300" customWidth="1"/>
    <col min="2052" max="2052" width="15.54296875" style="300" customWidth="1"/>
    <col min="2053" max="2053" width="17" style="300" customWidth="1"/>
    <col min="2054" max="2054" width="22.453125" style="300" customWidth="1"/>
    <col min="2055" max="2056" width="15.54296875" style="300" customWidth="1"/>
    <col min="2057" max="2057" width="25.54296875" style="300" customWidth="1"/>
    <col min="2058" max="2305" width="11.54296875" style="300"/>
    <col min="2306" max="2306" width="18.453125" style="300" customWidth="1"/>
    <col min="2307" max="2307" width="47.453125" style="300" customWidth="1"/>
    <col min="2308" max="2308" width="15.54296875" style="300" customWidth="1"/>
    <col min="2309" max="2309" width="17" style="300" customWidth="1"/>
    <col min="2310" max="2310" width="22.453125" style="300" customWidth="1"/>
    <col min="2311" max="2312" width="15.54296875" style="300" customWidth="1"/>
    <col min="2313" max="2313" width="25.54296875" style="300" customWidth="1"/>
    <col min="2314" max="2561" width="11.54296875" style="300"/>
    <col min="2562" max="2562" width="18.453125" style="300" customWidth="1"/>
    <col min="2563" max="2563" width="47.453125" style="300" customWidth="1"/>
    <col min="2564" max="2564" width="15.54296875" style="300" customWidth="1"/>
    <col min="2565" max="2565" width="17" style="300" customWidth="1"/>
    <col min="2566" max="2566" width="22.453125" style="300" customWidth="1"/>
    <col min="2567" max="2568" width="15.54296875" style="300" customWidth="1"/>
    <col min="2569" max="2569" width="25.54296875" style="300" customWidth="1"/>
    <col min="2570" max="2817" width="11.54296875" style="300"/>
    <col min="2818" max="2818" width="18.453125" style="300" customWidth="1"/>
    <col min="2819" max="2819" width="47.453125" style="300" customWidth="1"/>
    <col min="2820" max="2820" width="15.54296875" style="300" customWidth="1"/>
    <col min="2821" max="2821" width="17" style="300" customWidth="1"/>
    <col min="2822" max="2822" width="22.453125" style="300" customWidth="1"/>
    <col min="2823" max="2824" width="15.54296875" style="300" customWidth="1"/>
    <col min="2825" max="2825" width="25.54296875" style="300" customWidth="1"/>
    <col min="2826" max="3073" width="11.54296875" style="300"/>
    <col min="3074" max="3074" width="18.453125" style="300" customWidth="1"/>
    <col min="3075" max="3075" width="47.453125" style="300" customWidth="1"/>
    <col min="3076" max="3076" width="15.54296875" style="300" customWidth="1"/>
    <col min="3077" max="3077" width="17" style="300" customWidth="1"/>
    <col min="3078" max="3078" width="22.453125" style="300" customWidth="1"/>
    <col min="3079" max="3080" width="15.54296875" style="300" customWidth="1"/>
    <col min="3081" max="3081" width="25.54296875" style="300" customWidth="1"/>
    <col min="3082" max="3329" width="11.54296875" style="300"/>
    <col min="3330" max="3330" width="18.453125" style="300" customWidth="1"/>
    <col min="3331" max="3331" width="47.453125" style="300" customWidth="1"/>
    <col min="3332" max="3332" width="15.54296875" style="300" customWidth="1"/>
    <col min="3333" max="3333" width="17" style="300" customWidth="1"/>
    <col min="3334" max="3334" width="22.453125" style="300" customWidth="1"/>
    <col min="3335" max="3336" width="15.54296875" style="300" customWidth="1"/>
    <col min="3337" max="3337" width="25.54296875" style="300" customWidth="1"/>
    <col min="3338" max="3585" width="11.54296875" style="300"/>
    <col min="3586" max="3586" width="18.453125" style="300" customWidth="1"/>
    <col min="3587" max="3587" width="47.453125" style="300" customWidth="1"/>
    <col min="3588" max="3588" width="15.54296875" style="300" customWidth="1"/>
    <col min="3589" max="3589" width="17" style="300" customWidth="1"/>
    <col min="3590" max="3590" width="22.453125" style="300" customWidth="1"/>
    <col min="3591" max="3592" width="15.54296875" style="300" customWidth="1"/>
    <col min="3593" max="3593" width="25.54296875" style="300" customWidth="1"/>
    <col min="3594" max="3841" width="11.54296875" style="300"/>
    <col min="3842" max="3842" width="18.453125" style="300" customWidth="1"/>
    <col min="3843" max="3843" width="47.453125" style="300" customWidth="1"/>
    <col min="3844" max="3844" width="15.54296875" style="300" customWidth="1"/>
    <col min="3845" max="3845" width="17" style="300" customWidth="1"/>
    <col min="3846" max="3846" width="22.453125" style="300" customWidth="1"/>
    <col min="3847" max="3848" width="15.54296875" style="300" customWidth="1"/>
    <col min="3849" max="3849" width="25.54296875" style="300" customWidth="1"/>
    <col min="3850" max="4097" width="11.54296875" style="300"/>
    <col min="4098" max="4098" width="18.453125" style="300" customWidth="1"/>
    <col min="4099" max="4099" width="47.453125" style="300" customWidth="1"/>
    <col min="4100" max="4100" width="15.54296875" style="300" customWidth="1"/>
    <col min="4101" max="4101" width="17" style="300" customWidth="1"/>
    <col min="4102" max="4102" width="22.453125" style="300" customWidth="1"/>
    <col min="4103" max="4104" width="15.54296875" style="300" customWidth="1"/>
    <col min="4105" max="4105" width="25.54296875" style="300" customWidth="1"/>
    <col min="4106" max="4353" width="11.54296875" style="300"/>
    <col min="4354" max="4354" width="18.453125" style="300" customWidth="1"/>
    <col min="4355" max="4355" width="47.453125" style="300" customWidth="1"/>
    <col min="4356" max="4356" width="15.54296875" style="300" customWidth="1"/>
    <col min="4357" max="4357" width="17" style="300" customWidth="1"/>
    <col min="4358" max="4358" width="22.453125" style="300" customWidth="1"/>
    <col min="4359" max="4360" width="15.54296875" style="300" customWidth="1"/>
    <col min="4361" max="4361" width="25.54296875" style="300" customWidth="1"/>
    <col min="4362" max="4609" width="11.54296875" style="300"/>
    <col min="4610" max="4610" width="18.453125" style="300" customWidth="1"/>
    <col min="4611" max="4611" width="47.453125" style="300" customWidth="1"/>
    <col min="4612" max="4612" width="15.54296875" style="300" customWidth="1"/>
    <col min="4613" max="4613" width="17" style="300" customWidth="1"/>
    <col min="4614" max="4614" width="22.453125" style="300" customWidth="1"/>
    <col min="4615" max="4616" width="15.54296875" style="300" customWidth="1"/>
    <col min="4617" max="4617" width="25.54296875" style="300" customWidth="1"/>
    <col min="4618" max="4865" width="11.54296875" style="300"/>
    <col min="4866" max="4866" width="18.453125" style="300" customWidth="1"/>
    <col min="4867" max="4867" width="47.453125" style="300" customWidth="1"/>
    <col min="4868" max="4868" width="15.54296875" style="300" customWidth="1"/>
    <col min="4869" max="4869" width="17" style="300" customWidth="1"/>
    <col min="4870" max="4870" width="22.453125" style="300" customWidth="1"/>
    <col min="4871" max="4872" width="15.54296875" style="300" customWidth="1"/>
    <col min="4873" max="4873" width="25.54296875" style="300" customWidth="1"/>
    <col min="4874" max="5121" width="11.54296875" style="300"/>
    <col min="5122" max="5122" width="18.453125" style="300" customWidth="1"/>
    <col min="5123" max="5123" width="47.453125" style="300" customWidth="1"/>
    <col min="5124" max="5124" width="15.54296875" style="300" customWidth="1"/>
    <col min="5125" max="5125" width="17" style="300" customWidth="1"/>
    <col min="5126" max="5126" width="22.453125" style="300" customWidth="1"/>
    <col min="5127" max="5128" width="15.54296875" style="300" customWidth="1"/>
    <col min="5129" max="5129" width="25.54296875" style="300" customWidth="1"/>
    <col min="5130" max="5377" width="11.54296875" style="300"/>
    <col min="5378" max="5378" width="18.453125" style="300" customWidth="1"/>
    <col min="5379" max="5379" width="47.453125" style="300" customWidth="1"/>
    <col min="5380" max="5380" width="15.54296875" style="300" customWidth="1"/>
    <col min="5381" max="5381" width="17" style="300" customWidth="1"/>
    <col min="5382" max="5382" width="22.453125" style="300" customWidth="1"/>
    <col min="5383" max="5384" width="15.54296875" style="300" customWidth="1"/>
    <col min="5385" max="5385" width="25.54296875" style="300" customWidth="1"/>
    <col min="5386" max="5633" width="11.54296875" style="300"/>
    <col min="5634" max="5634" width="18.453125" style="300" customWidth="1"/>
    <col min="5635" max="5635" width="47.453125" style="300" customWidth="1"/>
    <col min="5636" max="5636" width="15.54296875" style="300" customWidth="1"/>
    <col min="5637" max="5637" width="17" style="300" customWidth="1"/>
    <col min="5638" max="5638" width="22.453125" style="300" customWidth="1"/>
    <col min="5639" max="5640" width="15.54296875" style="300" customWidth="1"/>
    <col min="5641" max="5641" width="25.54296875" style="300" customWidth="1"/>
    <col min="5642" max="5889" width="11.54296875" style="300"/>
    <col min="5890" max="5890" width="18.453125" style="300" customWidth="1"/>
    <col min="5891" max="5891" width="47.453125" style="300" customWidth="1"/>
    <col min="5892" max="5892" width="15.54296875" style="300" customWidth="1"/>
    <col min="5893" max="5893" width="17" style="300" customWidth="1"/>
    <col min="5894" max="5894" width="22.453125" style="300" customWidth="1"/>
    <col min="5895" max="5896" width="15.54296875" style="300" customWidth="1"/>
    <col min="5897" max="5897" width="25.54296875" style="300" customWidth="1"/>
    <col min="5898" max="6145" width="11.54296875" style="300"/>
    <col min="6146" max="6146" width="18.453125" style="300" customWidth="1"/>
    <col min="6147" max="6147" width="47.453125" style="300" customWidth="1"/>
    <col min="6148" max="6148" width="15.54296875" style="300" customWidth="1"/>
    <col min="6149" max="6149" width="17" style="300" customWidth="1"/>
    <col min="6150" max="6150" width="22.453125" style="300" customWidth="1"/>
    <col min="6151" max="6152" width="15.54296875" style="300" customWidth="1"/>
    <col min="6153" max="6153" width="25.54296875" style="300" customWidth="1"/>
    <col min="6154" max="6401" width="11.54296875" style="300"/>
    <col min="6402" max="6402" width="18.453125" style="300" customWidth="1"/>
    <col min="6403" max="6403" width="47.453125" style="300" customWidth="1"/>
    <col min="6404" max="6404" width="15.54296875" style="300" customWidth="1"/>
    <col min="6405" max="6405" width="17" style="300" customWidth="1"/>
    <col min="6406" max="6406" width="22.453125" style="300" customWidth="1"/>
    <col min="6407" max="6408" width="15.54296875" style="300" customWidth="1"/>
    <col min="6409" max="6409" width="25.54296875" style="300" customWidth="1"/>
    <col min="6410" max="6657" width="11.54296875" style="300"/>
    <col min="6658" max="6658" width="18.453125" style="300" customWidth="1"/>
    <col min="6659" max="6659" width="47.453125" style="300" customWidth="1"/>
    <col min="6660" max="6660" width="15.54296875" style="300" customWidth="1"/>
    <col min="6661" max="6661" width="17" style="300" customWidth="1"/>
    <col min="6662" max="6662" width="22.453125" style="300" customWidth="1"/>
    <col min="6663" max="6664" width="15.54296875" style="300" customWidth="1"/>
    <col min="6665" max="6665" width="25.54296875" style="300" customWidth="1"/>
    <col min="6666" max="6913" width="11.54296875" style="300"/>
    <col min="6914" max="6914" width="18.453125" style="300" customWidth="1"/>
    <col min="6915" max="6915" width="47.453125" style="300" customWidth="1"/>
    <col min="6916" max="6916" width="15.54296875" style="300" customWidth="1"/>
    <col min="6917" max="6917" width="17" style="300" customWidth="1"/>
    <col min="6918" max="6918" width="22.453125" style="300" customWidth="1"/>
    <col min="6919" max="6920" width="15.54296875" style="300" customWidth="1"/>
    <col min="6921" max="6921" width="25.54296875" style="300" customWidth="1"/>
    <col min="6922" max="7169" width="11.54296875" style="300"/>
    <col min="7170" max="7170" width="18.453125" style="300" customWidth="1"/>
    <col min="7171" max="7171" width="47.453125" style="300" customWidth="1"/>
    <col min="7172" max="7172" width="15.54296875" style="300" customWidth="1"/>
    <col min="7173" max="7173" width="17" style="300" customWidth="1"/>
    <col min="7174" max="7174" width="22.453125" style="300" customWidth="1"/>
    <col min="7175" max="7176" width="15.54296875" style="300" customWidth="1"/>
    <col min="7177" max="7177" width="25.54296875" style="300" customWidth="1"/>
    <col min="7178" max="7425" width="11.54296875" style="300"/>
    <col min="7426" max="7426" width="18.453125" style="300" customWidth="1"/>
    <col min="7427" max="7427" width="47.453125" style="300" customWidth="1"/>
    <col min="7428" max="7428" width="15.54296875" style="300" customWidth="1"/>
    <col min="7429" max="7429" width="17" style="300" customWidth="1"/>
    <col min="7430" max="7430" width="22.453125" style="300" customWidth="1"/>
    <col min="7431" max="7432" width="15.54296875" style="300" customWidth="1"/>
    <col min="7433" max="7433" width="25.54296875" style="300" customWidth="1"/>
    <col min="7434" max="7681" width="11.54296875" style="300"/>
    <col min="7682" max="7682" width="18.453125" style="300" customWidth="1"/>
    <col min="7683" max="7683" width="47.453125" style="300" customWidth="1"/>
    <col min="7684" max="7684" width="15.54296875" style="300" customWidth="1"/>
    <col min="7685" max="7685" width="17" style="300" customWidth="1"/>
    <col min="7686" max="7686" width="22.453125" style="300" customWidth="1"/>
    <col min="7687" max="7688" width="15.54296875" style="300" customWidth="1"/>
    <col min="7689" max="7689" width="25.54296875" style="300" customWidth="1"/>
    <col min="7690" max="7937" width="11.54296875" style="300"/>
    <col min="7938" max="7938" width="18.453125" style="300" customWidth="1"/>
    <col min="7939" max="7939" width="47.453125" style="300" customWidth="1"/>
    <col min="7940" max="7940" width="15.54296875" style="300" customWidth="1"/>
    <col min="7941" max="7941" width="17" style="300" customWidth="1"/>
    <col min="7942" max="7942" width="22.453125" style="300" customWidth="1"/>
    <col min="7943" max="7944" width="15.54296875" style="300" customWidth="1"/>
    <col min="7945" max="7945" width="25.54296875" style="300" customWidth="1"/>
    <col min="7946" max="8193" width="11.54296875" style="300"/>
    <col min="8194" max="8194" width="18.453125" style="300" customWidth="1"/>
    <col min="8195" max="8195" width="47.453125" style="300" customWidth="1"/>
    <col min="8196" max="8196" width="15.54296875" style="300" customWidth="1"/>
    <col min="8197" max="8197" width="17" style="300" customWidth="1"/>
    <col min="8198" max="8198" width="22.453125" style="300" customWidth="1"/>
    <col min="8199" max="8200" width="15.54296875" style="300" customWidth="1"/>
    <col min="8201" max="8201" width="25.54296875" style="300" customWidth="1"/>
    <col min="8202" max="8449" width="11.54296875" style="300"/>
    <col min="8450" max="8450" width="18.453125" style="300" customWidth="1"/>
    <col min="8451" max="8451" width="47.453125" style="300" customWidth="1"/>
    <col min="8452" max="8452" width="15.54296875" style="300" customWidth="1"/>
    <col min="8453" max="8453" width="17" style="300" customWidth="1"/>
    <col min="8454" max="8454" width="22.453125" style="300" customWidth="1"/>
    <col min="8455" max="8456" width="15.54296875" style="300" customWidth="1"/>
    <col min="8457" max="8457" width="25.54296875" style="300" customWidth="1"/>
    <col min="8458" max="8705" width="11.54296875" style="300"/>
    <col min="8706" max="8706" width="18.453125" style="300" customWidth="1"/>
    <col min="8707" max="8707" width="47.453125" style="300" customWidth="1"/>
    <col min="8708" max="8708" width="15.54296875" style="300" customWidth="1"/>
    <col min="8709" max="8709" width="17" style="300" customWidth="1"/>
    <col min="8710" max="8710" width="22.453125" style="300" customWidth="1"/>
    <col min="8711" max="8712" width="15.54296875" style="300" customWidth="1"/>
    <col min="8713" max="8713" width="25.54296875" style="300" customWidth="1"/>
    <col min="8714" max="8961" width="11.54296875" style="300"/>
    <col min="8962" max="8962" width="18.453125" style="300" customWidth="1"/>
    <col min="8963" max="8963" width="47.453125" style="300" customWidth="1"/>
    <col min="8964" max="8964" width="15.54296875" style="300" customWidth="1"/>
    <col min="8965" max="8965" width="17" style="300" customWidth="1"/>
    <col min="8966" max="8966" width="22.453125" style="300" customWidth="1"/>
    <col min="8967" max="8968" width="15.54296875" style="300" customWidth="1"/>
    <col min="8969" max="8969" width="25.54296875" style="300" customWidth="1"/>
    <col min="8970" max="9217" width="11.54296875" style="300"/>
    <col min="9218" max="9218" width="18.453125" style="300" customWidth="1"/>
    <col min="9219" max="9219" width="47.453125" style="300" customWidth="1"/>
    <col min="9220" max="9220" width="15.54296875" style="300" customWidth="1"/>
    <col min="9221" max="9221" width="17" style="300" customWidth="1"/>
    <col min="9222" max="9222" width="22.453125" style="300" customWidth="1"/>
    <col min="9223" max="9224" width="15.54296875" style="300" customWidth="1"/>
    <col min="9225" max="9225" width="25.54296875" style="300" customWidth="1"/>
    <col min="9226" max="9473" width="11.54296875" style="300"/>
    <col min="9474" max="9474" width="18.453125" style="300" customWidth="1"/>
    <col min="9475" max="9475" width="47.453125" style="300" customWidth="1"/>
    <col min="9476" max="9476" width="15.54296875" style="300" customWidth="1"/>
    <col min="9477" max="9477" width="17" style="300" customWidth="1"/>
    <col min="9478" max="9478" width="22.453125" style="300" customWidth="1"/>
    <col min="9479" max="9480" width="15.54296875" style="300" customWidth="1"/>
    <col min="9481" max="9481" width="25.54296875" style="300" customWidth="1"/>
    <col min="9482" max="9729" width="11.54296875" style="300"/>
    <col min="9730" max="9730" width="18.453125" style="300" customWidth="1"/>
    <col min="9731" max="9731" width="47.453125" style="300" customWidth="1"/>
    <col min="9732" max="9732" width="15.54296875" style="300" customWidth="1"/>
    <col min="9733" max="9733" width="17" style="300" customWidth="1"/>
    <col min="9734" max="9734" width="22.453125" style="300" customWidth="1"/>
    <col min="9735" max="9736" width="15.54296875" style="300" customWidth="1"/>
    <col min="9737" max="9737" width="25.54296875" style="300" customWidth="1"/>
    <col min="9738" max="9985" width="11.54296875" style="300"/>
    <col min="9986" max="9986" width="18.453125" style="300" customWidth="1"/>
    <col min="9987" max="9987" width="47.453125" style="300" customWidth="1"/>
    <col min="9988" max="9988" width="15.54296875" style="300" customWidth="1"/>
    <col min="9989" max="9989" width="17" style="300" customWidth="1"/>
    <col min="9990" max="9990" width="22.453125" style="300" customWidth="1"/>
    <col min="9991" max="9992" width="15.54296875" style="300" customWidth="1"/>
    <col min="9993" max="9993" width="25.54296875" style="300" customWidth="1"/>
    <col min="9994" max="10241" width="11.54296875" style="300"/>
    <col min="10242" max="10242" width="18.453125" style="300" customWidth="1"/>
    <col min="10243" max="10243" width="47.453125" style="300" customWidth="1"/>
    <col min="10244" max="10244" width="15.54296875" style="300" customWidth="1"/>
    <col min="10245" max="10245" width="17" style="300" customWidth="1"/>
    <col min="10246" max="10246" width="22.453125" style="300" customWidth="1"/>
    <col min="10247" max="10248" width="15.54296875" style="300" customWidth="1"/>
    <col min="10249" max="10249" width="25.54296875" style="300" customWidth="1"/>
    <col min="10250" max="10497" width="11.54296875" style="300"/>
    <col min="10498" max="10498" width="18.453125" style="300" customWidth="1"/>
    <col min="10499" max="10499" width="47.453125" style="300" customWidth="1"/>
    <col min="10500" max="10500" width="15.54296875" style="300" customWidth="1"/>
    <col min="10501" max="10501" width="17" style="300" customWidth="1"/>
    <col min="10502" max="10502" width="22.453125" style="300" customWidth="1"/>
    <col min="10503" max="10504" width="15.54296875" style="300" customWidth="1"/>
    <col min="10505" max="10505" width="25.54296875" style="300" customWidth="1"/>
    <col min="10506" max="10753" width="11.54296875" style="300"/>
    <col min="10754" max="10754" width="18.453125" style="300" customWidth="1"/>
    <col min="10755" max="10755" width="47.453125" style="300" customWidth="1"/>
    <col min="10756" max="10756" width="15.54296875" style="300" customWidth="1"/>
    <col min="10757" max="10757" width="17" style="300" customWidth="1"/>
    <col min="10758" max="10758" width="22.453125" style="300" customWidth="1"/>
    <col min="10759" max="10760" width="15.54296875" style="300" customWidth="1"/>
    <col min="10761" max="10761" width="25.54296875" style="300" customWidth="1"/>
    <col min="10762" max="11009" width="11.54296875" style="300"/>
    <col min="11010" max="11010" width="18.453125" style="300" customWidth="1"/>
    <col min="11011" max="11011" width="47.453125" style="300" customWidth="1"/>
    <col min="11012" max="11012" width="15.54296875" style="300" customWidth="1"/>
    <col min="11013" max="11013" width="17" style="300" customWidth="1"/>
    <col min="11014" max="11014" width="22.453125" style="300" customWidth="1"/>
    <col min="11015" max="11016" width="15.54296875" style="300" customWidth="1"/>
    <col min="11017" max="11017" width="25.54296875" style="300" customWidth="1"/>
    <col min="11018" max="11265" width="11.54296875" style="300"/>
    <col min="11266" max="11266" width="18.453125" style="300" customWidth="1"/>
    <col min="11267" max="11267" width="47.453125" style="300" customWidth="1"/>
    <col min="11268" max="11268" width="15.54296875" style="300" customWidth="1"/>
    <col min="11269" max="11269" width="17" style="300" customWidth="1"/>
    <col min="11270" max="11270" width="22.453125" style="300" customWidth="1"/>
    <col min="11271" max="11272" width="15.54296875" style="300" customWidth="1"/>
    <col min="11273" max="11273" width="25.54296875" style="300" customWidth="1"/>
    <col min="11274" max="11521" width="11.54296875" style="300"/>
    <col min="11522" max="11522" width="18.453125" style="300" customWidth="1"/>
    <col min="11523" max="11523" width="47.453125" style="300" customWidth="1"/>
    <col min="11524" max="11524" width="15.54296875" style="300" customWidth="1"/>
    <col min="11525" max="11525" width="17" style="300" customWidth="1"/>
    <col min="11526" max="11526" width="22.453125" style="300" customWidth="1"/>
    <col min="11527" max="11528" width="15.54296875" style="300" customWidth="1"/>
    <col min="11529" max="11529" width="25.54296875" style="300" customWidth="1"/>
    <col min="11530" max="11777" width="11.54296875" style="300"/>
    <col min="11778" max="11778" width="18.453125" style="300" customWidth="1"/>
    <col min="11779" max="11779" width="47.453125" style="300" customWidth="1"/>
    <col min="11780" max="11780" width="15.54296875" style="300" customWidth="1"/>
    <col min="11781" max="11781" width="17" style="300" customWidth="1"/>
    <col min="11782" max="11782" width="22.453125" style="300" customWidth="1"/>
    <col min="11783" max="11784" width="15.54296875" style="300" customWidth="1"/>
    <col min="11785" max="11785" width="25.54296875" style="300" customWidth="1"/>
    <col min="11786" max="12033" width="11.54296875" style="300"/>
    <col min="12034" max="12034" width="18.453125" style="300" customWidth="1"/>
    <col min="12035" max="12035" width="47.453125" style="300" customWidth="1"/>
    <col min="12036" max="12036" width="15.54296875" style="300" customWidth="1"/>
    <col min="12037" max="12037" width="17" style="300" customWidth="1"/>
    <col min="12038" max="12038" width="22.453125" style="300" customWidth="1"/>
    <col min="12039" max="12040" width="15.54296875" style="300" customWidth="1"/>
    <col min="12041" max="12041" width="25.54296875" style="300" customWidth="1"/>
    <col min="12042" max="12289" width="11.54296875" style="300"/>
    <col min="12290" max="12290" width="18.453125" style="300" customWidth="1"/>
    <col min="12291" max="12291" width="47.453125" style="300" customWidth="1"/>
    <col min="12292" max="12292" width="15.54296875" style="300" customWidth="1"/>
    <col min="12293" max="12293" width="17" style="300" customWidth="1"/>
    <col min="12294" max="12294" width="22.453125" style="300" customWidth="1"/>
    <col min="12295" max="12296" width="15.54296875" style="300" customWidth="1"/>
    <col min="12297" max="12297" width="25.54296875" style="300" customWidth="1"/>
    <col min="12298" max="12545" width="11.54296875" style="300"/>
    <col min="12546" max="12546" width="18.453125" style="300" customWidth="1"/>
    <col min="12547" max="12547" width="47.453125" style="300" customWidth="1"/>
    <col min="12548" max="12548" width="15.54296875" style="300" customWidth="1"/>
    <col min="12549" max="12549" width="17" style="300" customWidth="1"/>
    <col min="12550" max="12550" width="22.453125" style="300" customWidth="1"/>
    <col min="12551" max="12552" width="15.54296875" style="300" customWidth="1"/>
    <col min="12553" max="12553" width="25.54296875" style="300" customWidth="1"/>
    <col min="12554" max="12801" width="11.54296875" style="300"/>
    <col min="12802" max="12802" width="18.453125" style="300" customWidth="1"/>
    <col min="12803" max="12803" width="47.453125" style="300" customWidth="1"/>
    <col min="12804" max="12804" width="15.54296875" style="300" customWidth="1"/>
    <col min="12805" max="12805" width="17" style="300" customWidth="1"/>
    <col min="12806" max="12806" width="22.453125" style="300" customWidth="1"/>
    <col min="12807" max="12808" width="15.54296875" style="300" customWidth="1"/>
    <col min="12809" max="12809" width="25.54296875" style="300" customWidth="1"/>
    <col min="12810" max="13057" width="11.54296875" style="300"/>
    <col min="13058" max="13058" width="18.453125" style="300" customWidth="1"/>
    <col min="13059" max="13059" width="47.453125" style="300" customWidth="1"/>
    <col min="13060" max="13060" width="15.54296875" style="300" customWidth="1"/>
    <col min="13061" max="13061" width="17" style="300" customWidth="1"/>
    <col min="13062" max="13062" width="22.453125" style="300" customWidth="1"/>
    <col min="13063" max="13064" width="15.54296875" style="300" customWidth="1"/>
    <col min="13065" max="13065" width="25.54296875" style="300" customWidth="1"/>
    <col min="13066" max="13313" width="11.54296875" style="300"/>
    <col min="13314" max="13314" width="18.453125" style="300" customWidth="1"/>
    <col min="13315" max="13315" width="47.453125" style="300" customWidth="1"/>
    <col min="13316" max="13316" width="15.54296875" style="300" customWidth="1"/>
    <col min="13317" max="13317" width="17" style="300" customWidth="1"/>
    <col min="13318" max="13318" width="22.453125" style="300" customWidth="1"/>
    <col min="13319" max="13320" width="15.54296875" style="300" customWidth="1"/>
    <col min="13321" max="13321" width="25.54296875" style="300" customWidth="1"/>
    <col min="13322" max="13569" width="11.54296875" style="300"/>
    <col min="13570" max="13570" width="18.453125" style="300" customWidth="1"/>
    <col min="13571" max="13571" width="47.453125" style="300" customWidth="1"/>
    <col min="13572" max="13572" width="15.54296875" style="300" customWidth="1"/>
    <col min="13573" max="13573" width="17" style="300" customWidth="1"/>
    <col min="13574" max="13574" width="22.453125" style="300" customWidth="1"/>
    <col min="13575" max="13576" width="15.54296875" style="300" customWidth="1"/>
    <col min="13577" max="13577" width="25.54296875" style="300" customWidth="1"/>
    <col min="13578" max="13825" width="11.54296875" style="300"/>
    <col min="13826" max="13826" width="18.453125" style="300" customWidth="1"/>
    <col min="13827" max="13827" width="47.453125" style="300" customWidth="1"/>
    <col min="13828" max="13828" width="15.54296875" style="300" customWidth="1"/>
    <col min="13829" max="13829" width="17" style="300" customWidth="1"/>
    <col min="13830" max="13830" width="22.453125" style="300" customWidth="1"/>
    <col min="13831" max="13832" width="15.54296875" style="300" customWidth="1"/>
    <col min="13833" max="13833" width="25.54296875" style="300" customWidth="1"/>
    <col min="13834" max="14081" width="11.54296875" style="300"/>
    <col min="14082" max="14082" width="18.453125" style="300" customWidth="1"/>
    <col min="14083" max="14083" width="47.453125" style="300" customWidth="1"/>
    <col min="14084" max="14084" width="15.54296875" style="300" customWidth="1"/>
    <col min="14085" max="14085" width="17" style="300" customWidth="1"/>
    <col min="14086" max="14086" width="22.453125" style="300" customWidth="1"/>
    <col min="14087" max="14088" width="15.54296875" style="300" customWidth="1"/>
    <col min="14089" max="14089" width="25.54296875" style="300" customWidth="1"/>
    <col min="14090" max="14337" width="11.54296875" style="300"/>
    <col min="14338" max="14338" width="18.453125" style="300" customWidth="1"/>
    <col min="14339" max="14339" width="47.453125" style="300" customWidth="1"/>
    <col min="14340" max="14340" width="15.54296875" style="300" customWidth="1"/>
    <col min="14341" max="14341" width="17" style="300" customWidth="1"/>
    <col min="14342" max="14342" width="22.453125" style="300" customWidth="1"/>
    <col min="14343" max="14344" width="15.54296875" style="300" customWidth="1"/>
    <col min="14345" max="14345" width="25.54296875" style="300" customWidth="1"/>
    <col min="14346" max="14593" width="11.54296875" style="300"/>
    <col min="14594" max="14594" width="18.453125" style="300" customWidth="1"/>
    <col min="14595" max="14595" width="47.453125" style="300" customWidth="1"/>
    <col min="14596" max="14596" width="15.54296875" style="300" customWidth="1"/>
    <col min="14597" max="14597" width="17" style="300" customWidth="1"/>
    <col min="14598" max="14598" width="22.453125" style="300" customWidth="1"/>
    <col min="14599" max="14600" width="15.54296875" style="300" customWidth="1"/>
    <col min="14601" max="14601" width="25.54296875" style="300" customWidth="1"/>
    <col min="14602" max="14849" width="11.54296875" style="300"/>
    <col min="14850" max="14850" width="18.453125" style="300" customWidth="1"/>
    <col min="14851" max="14851" width="47.453125" style="300" customWidth="1"/>
    <col min="14852" max="14852" width="15.54296875" style="300" customWidth="1"/>
    <col min="14853" max="14853" width="17" style="300" customWidth="1"/>
    <col min="14854" max="14854" width="22.453125" style="300" customWidth="1"/>
    <col min="14855" max="14856" width="15.54296875" style="300" customWidth="1"/>
    <col min="14857" max="14857" width="25.54296875" style="300" customWidth="1"/>
    <col min="14858" max="15105" width="11.54296875" style="300"/>
    <col min="15106" max="15106" width="18.453125" style="300" customWidth="1"/>
    <col min="15107" max="15107" width="47.453125" style="300" customWidth="1"/>
    <col min="15108" max="15108" width="15.54296875" style="300" customWidth="1"/>
    <col min="15109" max="15109" width="17" style="300" customWidth="1"/>
    <col min="15110" max="15110" width="22.453125" style="300" customWidth="1"/>
    <col min="15111" max="15112" width="15.54296875" style="300" customWidth="1"/>
    <col min="15113" max="15113" width="25.54296875" style="300" customWidth="1"/>
    <col min="15114" max="15361" width="11.54296875" style="300"/>
    <col min="15362" max="15362" width="18.453125" style="300" customWidth="1"/>
    <col min="15363" max="15363" width="47.453125" style="300" customWidth="1"/>
    <col min="15364" max="15364" width="15.54296875" style="300" customWidth="1"/>
    <col min="15365" max="15365" width="17" style="300" customWidth="1"/>
    <col min="15366" max="15366" width="22.453125" style="300" customWidth="1"/>
    <col min="15367" max="15368" width="15.54296875" style="300" customWidth="1"/>
    <col min="15369" max="15369" width="25.54296875" style="300" customWidth="1"/>
    <col min="15370" max="15617" width="11.54296875" style="300"/>
    <col min="15618" max="15618" width="18.453125" style="300" customWidth="1"/>
    <col min="15619" max="15619" width="47.453125" style="300" customWidth="1"/>
    <col min="15620" max="15620" width="15.54296875" style="300" customWidth="1"/>
    <col min="15621" max="15621" width="17" style="300" customWidth="1"/>
    <col min="15622" max="15622" width="22.453125" style="300" customWidth="1"/>
    <col min="15623" max="15624" width="15.54296875" style="300" customWidth="1"/>
    <col min="15625" max="15625" width="25.54296875" style="300" customWidth="1"/>
    <col min="15626" max="15873" width="11.54296875" style="300"/>
    <col min="15874" max="15874" width="18.453125" style="300" customWidth="1"/>
    <col min="15875" max="15875" width="47.453125" style="300" customWidth="1"/>
    <col min="15876" max="15876" width="15.54296875" style="300" customWidth="1"/>
    <col min="15877" max="15877" width="17" style="300" customWidth="1"/>
    <col min="15878" max="15878" width="22.453125" style="300" customWidth="1"/>
    <col min="15879" max="15880" width="15.54296875" style="300" customWidth="1"/>
    <col min="15881" max="15881" width="25.54296875" style="300" customWidth="1"/>
    <col min="15882" max="16129" width="11.54296875" style="300"/>
    <col min="16130" max="16130" width="18.453125" style="300" customWidth="1"/>
    <col min="16131" max="16131" width="47.453125" style="300" customWidth="1"/>
    <col min="16132" max="16132" width="15.54296875" style="300" customWidth="1"/>
    <col min="16133" max="16133" width="17" style="300" customWidth="1"/>
    <col min="16134" max="16134" width="22.453125" style="300" customWidth="1"/>
    <col min="16135" max="16136" width="15.54296875" style="300" customWidth="1"/>
    <col min="16137" max="16137" width="25.54296875" style="300" customWidth="1"/>
    <col min="16138" max="16384" width="11.54296875" style="300"/>
  </cols>
  <sheetData>
    <row r="1" spans="1:29" x14ac:dyDescent="0.25">
      <c r="A1" s="294" t="s">
        <v>175</v>
      </c>
      <c r="B1" s="294" t="s">
        <v>176</v>
      </c>
      <c r="C1" s="294" t="s">
        <v>177</v>
      </c>
      <c r="D1" s="294" t="s">
        <v>178</v>
      </c>
      <c r="E1" s="295" t="s">
        <v>179</v>
      </c>
      <c r="F1" s="294" t="s">
        <v>180</v>
      </c>
      <c r="G1" s="294" t="s">
        <v>181</v>
      </c>
      <c r="H1" s="294" t="s">
        <v>182</v>
      </c>
      <c r="I1" s="296" t="s">
        <v>183</v>
      </c>
      <c r="J1" s="296" t="s">
        <v>184</v>
      </c>
      <c r="K1" s="297" t="s">
        <v>185</v>
      </c>
      <c r="L1" s="298" t="s">
        <v>186</v>
      </c>
      <c r="M1" s="298" t="s">
        <v>187</v>
      </c>
      <c r="N1" s="298" t="s">
        <v>188</v>
      </c>
      <c r="O1" s="298" t="s">
        <v>189</v>
      </c>
      <c r="P1" s="299" t="s">
        <v>190</v>
      </c>
      <c r="Q1" s="299" t="s">
        <v>191</v>
      </c>
      <c r="R1" s="299" t="s">
        <v>192</v>
      </c>
      <c r="S1" s="299" t="s">
        <v>193</v>
      </c>
      <c r="T1" s="299" t="s">
        <v>194</v>
      </c>
      <c r="U1" s="296" t="s">
        <v>195</v>
      </c>
      <c r="V1" s="296" t="s">
        <v>196</v>
      </c>
      <c r="W1" s="296" t="s">
        <v>197</v>
      </c>
      <c r="X1" s="296" t="s">
        <v>198</v>
      </c>
      <c r="Y1" s="407" t="s">
        <v>243</v>
      </c>
      <c r="Z1" s="407" t="s">
        <v>244</v>
      </c>
      <c r="AA1" s="407" t="s">
        <v>245</v>
      </c>
      <c r="AB1" s="407" t="s">
        <v>246</v>
      </c>
      <c r="AC1" s="407" t="s">
        <v>247</v>
      </c>
    </row>
    <row r="2" spans="1:29" ht="25" x14ac:dyDescent="0.25">
      <c r="A2" s="937" t="str">
        <f>ROW()-1&amp;"_"&amp;TEXT(I2,"JJMMAA")</f>
        <v>1_250724</v>
      </c>
      <c r="B2" s="301" t="s">
        <v>1512</v>
      </c>
      <c r="C2" s="938" t="s">
        <v>1513</v>
      </c>
      <c r="D2" s="939" t="s">
        <v>1514</v>
      </c>
      <c r="E2" s="356">
        <f>+'13 - Issuer Account'!H55</f>
        <v>100357.3</v>
      </c>
      <c r="F2" s="303" t="s">
        <v>687</v>
      </c>
      <c r="G2" s="304" t="s">
        <v>1523</v>
      </c>
      <c r="H2" s="304" t="str">
        <f t="shared" ref="H2:H13" si="0">+G2</f>
        <v>Transfert Financial Income Reserve to General</v>
      </c>
      <c r="I2" s="305">
        <f>+'00 - Cover'!$F$17</f>
        <v>45498</v>
      </c>
      <c r="J2" s="305">
        <f>+'00 - Cover'!$F$17</f>
        <v>45498</v>
      </c>
      <c r="K2" s="940" t="s">
        <v>1515</v>
      </c>
      <c r="L2" s="301" t="str">
        <f>$L$25</f>
        <v>FCH PRIME CASH 23 RES AC</v>
      </c>
      <c r="M2" s="301" t="s">
        <v>1518</v>
      </c>
      <c r="N2" s="301" t="s">
        <v>1517</v>
      </c>
      <c r="O2" s="306" t="s">
        <v>1516</v>
      </c>
      <c r="P2" s="301"/>
      <c r="Q2" s="301"/>
      <c r="R2" s="307"/>
      <c r="S2" s="302"/>
      <c r="T2" s="302"/>
      <c r="U2" s="301" t="s">
        <v>1519</v>
      </c>
      <c r="V2" s="301" t="s">
        <v>1518</v>
      </c>
      <c r="W2" s="301" t="s">
        <v>1517</v>
      </c>
      <c r="X2" s="301" t="s">
        <v>1520</v>
      </c>
      <c r="Y2" s="406"/>
      <c r="Z2" s="406"/>
      <c r="AA2" s="406"/>
      <c r="AB2" s="406"/>
      <c r="AC2" s="941" t="s">
        <v>1521</v>
      </c>
    </row>
    <row r="3" spans="1:29" ht="25" x14ac:dyDescent="0.25">
      <c r="A3" s="937" t="str">
        <f t="shared" ref="A3:A13" si="1">ROW()-1&amp;"_"&amp;TEXT(I3,"JJMMAA")</f>
        <v>2_250724</v>
      </c>
      <c r="B3" s="301" t="s">
        <v>1512</v>
      </c>
      <c r="C3" s="938" t="s">
        <v>1513</v>
      </c>
      <c r="D3" s="939" t="s">
        <v>1514</v>
      </c>
      <c r="E3" s="356">
        <f>+'13 - Issuer Account'!H24</f>
        <v>16479655.059999999</v>
      </c>
      <c r="F3" s="303" t="s">
        <v>687</v>
      </c>
      <c r="G3" s="304" t="s">
        <v>1522</v>
      </c>
      <c r="H3" s="304" t="str">
        <f t="shared" si="0"/>
        <v>Transfert General to Principal</v>
      </c>
      <c r="I3" s="305">
        <f>+'00 - Cover'!$F$17</f>
        <v>45498</v>
      </c>
      <c r="J3" s="305">
        <f>+'00 - Cover'!$F$17</f>
        <v>45498</v>
      </c>
      <c r="K3" s="940" t="s">
        <v>1515</v>
      </c>
      <c r="L3" s="301" t="str">
        <f>$L$22</f>
        <v>FCH PRIME CASH 23 GEN AC</v>
      </c>
      <c r="M3" s="301" t="s">
        <v>1518</v>
      </c>
      <c r="N3" s="301" t="s">
        <v>1517</v>
      </c>
      <c r="O3" s="301" t="s">
        <v>1520</v>
      </c>
      <c r="P3" s="301"/>
      <c r="Q3" s="301"/>
      <c r="R3" s="307"/>
      <c r="S3" s="302"/>
      <c r="T3" s="302"/>
      <c r="U3" s="301" t="s">
        <v>1524</v>
      </c>
      <c r="V3" s="301" t="s">
        <v>1518</v>
      </c>
      <c r="W3" s="301" t="s">
        <v>1517</v>
      </c>
      <c r="X3" s="301" t="s">
        <v>1525</v>
      </c>
      <c r="Y3" s="406"/>
      <c r="Z3" s="406"/>
      <c r="AA3" s="406"/>
      <c r="AB3" s="406"/>
      <c r="AC3" s="941" t="s">
        <v>1521</v>
      </c>
    </row>
    <row r="4" spans="1:29" ht="25" x14ac:dyDescent="0.25">
      <c r="A4" s="937" t="str">
        <f t="shared" si="1"/>
        <v>3_250724</v>
      </c>
      <c r="B4" s="301" t="s">
        <v>1512</v>
      </c>
      <c r="C4" s="938" t="s">
        <v>1513</v>
      </c>
      <c r="D4" s="939" t="s">
        <v>1514</v>
      </c>
      <c r="E4" s="356">
        <f>+'13 - Issuer Account'!H25</f>
        <v>13141911.690000001</v>
      </c>
      <c r="F4" s="303" t="s">
        <v>687</v>
      </c>
      <c r="G4" s="304" t="s">
        <v>1528</v>
      </c>
      <c r="H4" s="304" t="str">
        <f t="shared" si="0"/>
        <v>Transfert General to Compte interets</v>
      </c>
      <c r="I4" s="305">
        <f>+'00 - Cover'!$F$17</f>
        <v>45498</v>
      </c>
      <c r="J4" s="305">
        <f>+'00 - Cover'!$F$17</f>
        <v>45498</v>
      </c>
      <c r="K4" s="940" t="s">
        <v>1515</v>
      </c>
      <c r="L4" s="301" t="str">
        <f>$L$22</f>
        <v>FCH PRIME CASH 23 GEN AC</v>
      </c>
      <c r="M4" s="301" t="s">
        <v>1518</v>
      </c>
      <c r="N4" s="301" t="s">
        <v>1517</v>
      </c>
      <c r="O4" s="301" t="s">
        <v>1520</v>
      </c>
      <c r="P4" s="308"/>
      <c r="Q4" s="301"/>
      <c r="R4" s="307"/>
      <c r="S4" s="302"/>
      <c r="T4" s="308"/>
      <c r="U4" s="301" t="s">
        <v>1527</v>
      </c>
      <c r="V4" s="301" t="s">
        <v>1518</v>
      </c>
      <c r="W4" s="301" t="s">
        <v>1517</v>
      </c>
      <c r="X4" s="301" t="s">
        <v>1526</v>
      </c>
      <c r="Y4" s="406"/>
      <c r="Z4" s="406"/>
      <c r="AA4" s="406"/>
      <c r="AB4" s="406"/>
      <c r="AC4" s="941" t="s">
        <v>1521</v>
      </c>
    </row>
    <row r="5" spans="1:29" x14ac:dyDescent="0.25">
      <c r="A5" s="937" t="str">
        <f t="shared" si="1"/>
        <v>4_250724</v>
      </c>
      <c r="B5" s="301" t="s">
        <v>1512</v>
      </c>
      <c r="C5" s="938" t="s">
        <v>1513</v>
      </c>
      <c r="D5" s="939" t="s">
        <v>1514</v>
      </c>
      <c r="E5" s="356">
        <f>+'15 - Priority of Payments'!I49</f>
        <v>410920.19999999995</v>
      </c>
      <c r="F5" s="303" t="s">
        <v>687</v>
      </c>
      <c r="G5" s="309" t="s">
        <v>1529</v>
      </c>
      <c r="H5" s="304" t="str">
        <f t="shared" si="0"/>
        <v xml:space="preserve">Class A Notes Interest </v>
      </c>
      <c r="I5" s="305">
        <f>+'00 - Cover'!$F$17</f>
        <v>45498</v>
      </c>
      <c r="J5" s="305">
        <f>+'00 - Cover'!$F$17</f>
        <v>45498</v>
      </c>
      <c r="K5" s="940" t="s">
        <v>1515</v>
      </c>
      <c r="L5" s="301" t="str">
        <f t="shared" ref="L5:L10" si="2">$L$23</f>
        <v>FCH PRIME CASH 23 INT AC</v>
      </c>
      <c r="M5" s="301" t="s">
        <v>1518</v>
      </c>
      <c r="N5" s="301" t="s">
        <v>1517</v>
      </c>
      <c r="O5" s="301" t="s">
        <v>1526</v>
      </c>
      <c r="P5" s="308"/>
      <c r="Q5" s="301"/>
      <c r="R5" s="307"/>
      <c r="S5" s="302"/>
      <c r="T5" s="308"/>
      <c r="U5" s="301" t="s">
        <v>1532</v>
      </c>
      <c r="V5" s="301" t="s">
        <v>1533</v>
      </c>
      <c r="W5" s="301" t="s">
        <v>1531</v>
      </c>
      <c r="X5" s="301" t="s">
        <v>1530</v>
      </c>
      <c r="Y5" s="406"/>
      <c r="Z5" s="406"/>
      <c r="AA5" s="406"/>
      <c r="AB5" s="406"/>
      <c r="AC5" s="406" t="s">
        <v>1538</v>
      </c>
    </row>
    <row r="6" spans="1:29" ht="25" x14ac:dyDescent="0.25">
      <c r="A6" s="937" t="str">
        <f t="shared" si="1"/>
        <v>5_250724</v>
      </c>
      <c r="B6" s="301" t="s">
        <v>1512</v>
      </c>
      <c r="C6" s="938" t="s">
        <v>1513</v>
      </c>
      <c r="D6" s="939" t="s">
        <v>1514</v>
      </c>
      <c r="E6" s="356">
        <f>+'14 - Fees'!J20+'14 - Fees'!J21+'14 - Fees'!J32</f>
        <v>15958.9</v>
      </c>
      <c r="F6" s="303" t="s">
        <v>687</v>
      </c>
      <c r="G6" s="942" t="s">
        <v>1539</v>
      </c>
      <c r="H6" s="304" t="str">
        <f t="shared" si="0"/>
        <v xml:space="preserve">Fees - Management Company </v>
      </c>
      <c r="I6" s="305">
        <f>+'00 - Cover'!$F$17</f>
        <v>45498</v>
      </c>
      <c r="J6" s="305">
        <f>+'00 - Cover'!$F$17</f>
        <v>45498</v>
      </c>
      <c r="K6" s="940" t="s">
        <v>1515</v>
      </c>
      <c r="L6" s="301" t="str">
        <f t="shared" si="2"/>
        <v>FCH PRIME CASH 23 INT AC</v>
      </c>
      <c r="M6" s="301" t="s">
        <v>1518</v>
      </c>
      <c r="N6" s="301" t="s">
        <v>1517</v>
      </c>
      <c r="O6" s="301" t="s">
        <v>1526</v>
      </c>
      <c r="P6" s="308"/>
      <c r="Q6" s="301"/>
      <c r="R6" s="307"/>
      <c r="S6" s="302"/>
      <c r="T6" s="308"/>
      <c r="U6" s="938" t="s">
        <v>1534</v>
      </c>
      <c r="V6" s="938" t="s">
        <v>1535</v>
      </c>
      <c r="W6" s="938" t="s">
        <v>1536</v>
      </c>
      <c r="X6" s="938" t="s">
        <v>1537</v>
      </c>
      <c r="Y6" s="406"/>
      <c r="Z6" s="406"/>
      <c r="AA6" s="406"/>
      <c r="AB6" s="406"/>
      <c r="AC6" s="941" t="s">
        <v>1521</v>
      </c>
    </row>
    <row r="7" spans="1:29" x14ac:dyDescent="0.25">
      <c r="A7" s="937" t="str">
        <f t="shared" si="1"/>
        <v>6_250724</v>
      </c>
      <c r="B7" s="301" t="s">
        <v>1512</v>
      </c>
      <c r="C7" s="938" t="s">
        <v>1513</v>
      </c>
      <c r="D7" s="939" t="s">
        <v>1514</v>
      </c>
      <c r="E7" s="356">
        <f>+'14 - Fees'!J37+'14 - Fees'!J38+'14 - Fees'!J39</f>
        <v>12671.900000000001</v>
      </c>
      <c r="F7" s="303" t="s">
        <v>687</v>
      </c>
      <c r="G7" s="943" t="s">
        <v>1540</v>
      </c>
      <c r="H7" s="304" t="str">
        <f t="shared" si="0"/>
        <v>Fees - Custodian</v>
      </c>
      <c r="I7" s="305">
        <f>+'00 - Cover'!$F$17</f>
        <v>45498</v>
      </c>
      <c r="J7" s="305">
        <f>+'00 - Cover'!$F$17</f>
        <v>45498</v>
      </c>
      <c r="K7" s="940" t="s">
        <v>1515</v>
      </c>
      <c r="L7" s="301" t="str">
        <f t="shared" si="2"/>
        <v>FCH PRIME CASH 23 INT AC</v>
      </c>
      <c r="M7" s="301" t="s">
        <v>1518</v>
      </c>
      <c r="N7" s="301" t="s">
        <v>1517</v>
      </c>
      <c r="O7" s="301" t="s">
        <v>1526</v>
      </c>
      <c r="P7" s="308"/>
      <c r="Q7" s="301"/>
      <c r="R7" s="307"/>
      <c r="S7" s="302"/>
      <c r="T7" s="308"/>
      <c r="U7" s="301" t="s">
        <v>1533</v>
      </c>
      <c r="V7" s="301" t="s">
        <v>1599</v>
      </c>
      <c r="W7" s="301" t="s">
        <v>1517</v>
      </c>
      <c r="X7" s="301" t="s">
        <v>1597</v>
      </c>
      <c r="Y7" s="406"/>
      <c r="Z7" s="406"/>
      <c r="AA7" s="406"/>
      <c r="AB7" s="406"/>
      <c r="AC7" s="406"/>
    </row>
    <row r="8" spans="1:29" x14ac:dyDescent="0.25">
      <c r="A8" s="937" t="str">
        <f t="shared" si="1"/>
        <v>7_250724</v>
      </c>
      <c r="B8" s="301" t="s">
        <v>1512</v>
      </c>
      <c r="C8" s="938" t="s">
        <v>1513</v>
      </c>
      <c r="D8" s="939" t="s">
        <v>1514</v>
      </c>
      <c r="E8" s="356">
        <f>+'14 - Fees'!J48</f>
        <v>596.72131147540983</v>
      </c>
      <c r="F8" s="303" t="s">
        <v>687</v>
      </c>
      <c r="G8" s="943" t="s">
        <v>1541</v>
      </c>
      <c r="H8" s="304" t="str">
        <f t="shared" si="0"/>
        <v xml:space="preserve">Fees - FCT Account Bank </v>
      </c>
      <c r="I8" s="305">
        <f>+'00 - Cover'!$F$17</f>
        <v>45498</v>
      </c>
      <c r="J8" s="305">
        <f>+'00 - Cover'!$F$17</f>
        <v>45498</v>
      </c>
      <c r="K8" s="940" t="s">
        <v>1515</v>
      </c>
      <c r="L8" s="301" t="str">
        <f t="shared" si="2"/>
        <v>FCH PRIME CASH 23 INT AC</v>
      </c>
      <c r="M8" s="301" t="s">
        <v>1518</v>
      </c>
      <c r="N8" s="301" t="s">
        <v>1517</v>
      </c>
      <c r="O8" s="301" t="s">
        <v>1526</v>
      </c>
      <c r="P8" s="308"/>
      <c r="Q8" s="301"/>
      <c r="R8" s="307"/>
      <c r="S8" s="302"/>
      <c r="T8" s="308"/>
      <c r="U8" s="301" t="s">
        <v>1533</v>
      </c>
      <c r="V8" s="301" t="s">
        <v>1533</v>
      </c>
      <c r="W8" s="301" t="s">
        <v>1517</v>
      </c>
      <c r="X8" s="301" t="s">
        <v>1598</v>
      </c>
      <c r="Y8" s="406"/>
      <c r="Z8" s="406"/>
      <c r="AA8" s="406"/>
      <c r="AB8" s="406"/>
      <c r="AC8" s="406"/>
    </row>
    <row r="9" spans="1:29" x14ac:dyDescent="0.25">
      <c r="A9" s="937" t="str">
        <f t="shared" si="1"/>
        <v>8_250724</v>
      </c>
      <c r="B9" s="301" t="s">
        <v>1512</v>
      </c>
      <c r="C9" s="938" t="s">
        <v>1513</v>
      </c>
      <c r="D9" s="939" t="s">
        <v>1514</v>
      </c>
      <c r="E9" s="356">
        <f>+'14 - Fees'!J50+'14 - Fees'!J51+'14 - Fees'!J52+'14 - Fees'!J53+'14 - Fees'!J55</f>
        <v>1887.5409836065573</v>
      </c>
      <c r="F9" s="303" t="s">
        <v>687</v>
      </c>
      <c r="G9" s="965" t="s">
        <v>1542</v>
      </c>
      <c r="H9" s="304" t="str">
        <f t="shared" si="0"/>
        <v>Fees - FCT Paying Agent Fees</v>
      </c>
      <c r="I9" s="305">
        <f>+'00 - Cover'!$F$17</f>
        <v>45498</v>
      </c>
      <c r="J9" s="305">
        <f>+'00 - Cover'!$F$17</f>
        <v>45498</v>
      </c>
      <c r="K9" s="940" t="s">
        <v>1515</v>
      </c>
      <c r="L9" s="301" t="str">
        <f t="shared" si="2"/>
        <v>FCH PRIME CASH 23 INT AC</v>
      </c>
      <c r="M9" s="301" t="s">
        <v>1518</v>
      </c>
      <c r="N9" s="301" t="s">
        <v>1517</v>
      </c>
      <c r="O9" s="301" t="s">
        <v>1526</v>
      </c>
      <c r="P9" s="308"/>
      <c r="Q9" s="301"/>
      <c r="R9" s="307"/>
      <c r="S9" s="302"/>
      <c r="T9" s="308"/>
      <c r="U9" s="301" t="s">
        <v>1533</v>
      </c>
      <c r="V9" s="301" t="s">
        <v>1533</v>
      </c>
      <c r="W9" s="301" t="s">
        <v>1517</v>
      </c>
      <c r="X9" s="301" t="s">
        <v>1598</v>
      </c>
      <c r="Y9" s="406"/>
      <c r="Z9" s="406"/>
      <c r="AA9" s="406"/>
      <c r="AB9" s="406"/>
      <c r="AC9" s="406"/>
    </row>
    <row r="10" spans="1:29" x14ac:dyDescent="0.25">
      <c r="A10" s="937" t="str">
        <f t="shared" si="1"/>
        <v>9_250724</v>
      </c>
      <c r="B10" s="301" t="s">
        <v>1512</v>
      </c>
      <c r="C10" s="938" t="s">
        <v>1513</v>
      </c>
      <c r="D10" s="939" t="s">
        <v>1514</v>
      </c>
      <c r="E10" s="356">
        <f>+'14 - Fees'!J58</f>
        <v>298.36065573770492</v>
      </c>
      <c r="F10" s="303" t="s">
        <v>687</v>
      </c>
      <c r="G10" s="965" t="s">
        <v>1543</v>
      </c>
      <c r="H10" s="304" t="str">
        <f t="shared" si="0"/>
        <v>Fees - Data Protection Agent</v>
      </c>
      <c r="I10" s="305">
        <f>+'00 - Cover'!$F$17</f>
        <v>45498</v>
      </c>
      <c r="J10" s="305">
        <f>+'00 - Cover'!$F$17</f>
        <v>45498</v>
      </c>
      <c r="K10" s="940" t="s">
        <v>1515</v>
      </c>
      <c r="L10" s="301" t="str">
        <f t="shared" si="2"/>
        <v>FCH PRIME CASH 23 INT AC</v>
      </c>
      <c r="M10" s="301" t="s">
        <v>1518</v>
      </c>
      <c r="N10" s="301" t="s">
        <v>1517</v>
      </c>
      <c r="O10" s="301" t="s">
        <v>1526</v>
      </c>
      <c r="P10" s="308"/>
      <c r="Q10" s="301"/>
      <c r="R10" s="307"/>
      <c r="S10" s="302"/>
      <c r="T10" s="308"/>
      <c r="U10" s="301" t="s">
        <v>1533</v>
      </c>
      <c r="V10" s="301" t="s">
        <v>1533</v>
      </c>
      <c r="W10" s="301" t="s">
        <v>1517</v>
      </c>
      <c r="X10" s="301" t="s">
        <v>1598</v>
      </c>
      <c r="Y10" s="406"/>
      <c r="Z10" s="406"/>
      <c r="AA10" s="406"/>
      <c r="AB10" s="406"/>
      <c r="AC10" s="406"/>
    </row>
    <row r="11" spans="1:29" x14ac:dyDescent="0.25">
      <c r="A11" s="937" t="str">
        <f t="shared" si="1"/>
        <v>10_250724</v>
      </c>
      <c r="B11" s="301" t="s">
        <v>1512</v>
      </c>
      <c r="C11" s="938" t="s">
        <v>1513</v>
      </c>
      <c r="D11" s="939" t="s">
        <v>1514</v>
      </c>
      <c r="E11" s="408">
        <f>+'15 - Priority of Payments'!I25</f>
        <v>16479655.059999999</v>
      </c>
      <c r="F11" s="303" t="s">
        <v>687</v>
      </c>
      <c r="G11" s="409" t="s">
        <v>1544</v>
      </c>
      <c r="H11" s="304" t="str">
        <f t="shared" si="0"/>
        <v>Redemption Class A</v>
      </c>
      <c r="I11" s="305">
        <f>+'00 - Cover'!$F$17</f>
        <v>45498</v>
      </c>
      <c r="J11" s="305">
        <f>+'00 - Cover'!$F$17</f>
        <v>45498</v>
      </c>
      <c r="K11" s="940" t="s">
        <v>1515</v>
      </c>
      <c r="L11" s="301" t="str">
        <f>L24</f>
        <v>FCH PRIME CASH 23 PP ACC</v>
      </c>
      <c r="M11" s="301" t="s">
        <v>1518</v>
      </c>
      <c r="N11" s="301" t="s">
        <v>1517</v>
      </c>
      <c r="O11" s="301" t="s">
        <v>1525</v>
      </c>
      <c r="P11" s="308"/>
      <c r="Q11" s="301"/>
      <c r="R11" s="307"/>
      <c r="S11" s="302"/>
      <c r="T11" s="308"/>
      <c r="U11" s="301" t="s">
        <v>1532</v>
      </c>
      <c r="V11" s="301" t="s">
        <v>1533</v>
      </c>
      <c r="W11" s="301" t="s">
        <v>1531</v>
      </c>
      <c r="X11" s="301" t="s">
        <v>1530</v>
      </c>
      <c r="Y11" s="406"/>
      <c r="Z11" s="406"/>
      <c r="AA11" s="406"/>
      <c r="AB11" s="406"/>
      <c r="AC11" s="406" t="s">
        <v>1538</v>
      </c>
    </row>
    <row r="12" spans="1:29" x14ac:dyDescent="0.25">
      <c r="A12" s="937" t="str">
        <f t="shared" si="1"/>
        <v>11_250724</v>
      </c>
      <c r="B12" s="301" t="s">
        <v>1512</v>
      </c>
      <c r="C12" s="938" t="s">
        <v>1513</v>
      </c>
      <c r="D12" s="939" t="s">
        <v>1514</v>
      </c>
      <c r="E12" s="408">
        <f>+'15 - Priority of Payments'!I56</f>
        <v>2445124.0970491804</v>
      </c>
      <c r="F12" s="303" t="s">
        <v>687</v>
      </c>
      <c r="G12" s="409" t="s">
        <v>1545</v>
      </c>
      <c r="H12" s="304" t="str">
        <f t="shared" si="0"/>
        <v>Interest to the Residual Unitholders</v>
      </c>
      <c r="I12" s="305">
        <f>+'00 - Cover'!$F$17</f>
        <v>45498</v>
      </c>
      <c r="J12" s="305">
        <f>+'00 - Cover'!$F$17</f>
        <v>45498</v>
      </c>
      <c r="K12" s="940" t="s">
        <v>1515</v>
      </c>
      <c r="L12" s="301" t="str">
        <f>$L$23</f>
        <v>FCH PRIME CASH 23 INT AC</v>
      </c>
      <c r="M12" s="301" t="s">
        <v>1518</v>
      </c>
      <c r="N12" s="301" t="s">
        <v>1517</v>
      </c>
      <c r="O12" s="301" t="s">
        <v>1526</v>
      </c>
      <c r="P12" s="308"/>
      <c r="Q12" s="301"/>
      <c r="R12" s="307"/>
      <c r="S12" s="302"/>
      <c r="T12" s="308"/>
      <c r="U12" s="301" t="s">
        <v>1595</v>
      </c>
      <c r="V12" s="301" t="s">
        <v>250</v>
      </c>
      <c r="W12" s="301" t="s">
        <v>1593</v>
      </c>
      <c r="X12" s="301" t="s">
        <v>1594</v>
      </c>
      <c r="Y12" s="406"/>
      <c r="Z12" s="406"/>
      <c r="AA12" s="406"/>
      <c r="AB12" s="406"/>
      <c r="AC12" s="406"/>
    </row>
    <row r="13" spans="1:29" x14ac:dyDescent="0.25">
      <c r="A13" s="937" t="str">
        <f t="shared" si="1"/>
        <v>12_250724</v>
      </c>
      <c r="B13" s="301" t="s">
        <v>1512</v>
      </c>
      <c r="C13" s="938" t="s">
        <v>1513</v>
      </c>
      <c r="D13" s="939" t="s">
        <v>1514</v>
      </c>
      <c r="E13" s="408">
        <f>+'14 - Fees'!J61+'14 - Fees'!J62</f>
        <v>1953.9699999999998</v>
      </c>
      <c r="F13" s="303" t="s">
        <v>687</v>
      </c>
      <c r="G13" s="309" t="s">
        <v>1546</v>
      </c>
      <c r="H13" s="304" t="str">
        <f t="shared" si="0"/>
        <v>Fees - Servicer</v>
      </c>
      <c r="I13" s="305">
        <f>+'00 - Cover'!$F$17</f>
        <v>45498</v>
      </c>
      <c r="J13" s="305">
        <f>+'00 - Cover'!$F$17</f>
        <v>45498</v>
      </c>
      <c r="K13" s="940" t="s">
        <v>1515</v>
      </c>
      <c r="L13" s="301" t="str">
        <f>$L$23</f>
        <v>FCH PRIME CASH 23 INT AC</v>
      </c>
      <c r="M13" s="301" t="s">
        <v>1518</v>
      </c>
      <c r="N13" s="301" t="s">
        <v>1517</v>
      </c>
      <c r="O13" s="301" t="s">
        <v>1526</v>
      </c>
      <c r="P13" s="308"/>
      <c r="Q13" s="301"/>
      <c r="R13" s="307"/>
      <c r="S13" s="302"/>
      <c r="T13" s="308"/>
      <c r="U13" s="301" t="s">
        <v>1595</v>
      </c>
      <c r="V13" s="301" t="s">
        <v>250</v>
      </c>
      <c r="W13" s="301" t="s">
        <v>1593</v>
      </c>
      <c r="X13" s="301" t="s">
        <v>1594</v>
      </c>
      <c r="Y13" s="406"/>
      <c r="Z13" s="406"/>
      <c r="AA13" s="406"/>
      <c r="AB13" s="406"/>
      <c r="AC13" s="406"/>
    </row>
    <row r="14" spans="1:29" ht="25" x14ac:dyDescent="0.25">
      <c r="A14" s="937" t="str">
        <f t="shared" ref="A14:A15" si="3">ROW()-1&amp;"_"&amp;TEXT(I14,"JJMMAA")</f>
        <v>13_250724</v>
      </c>
      <c r="B14" s="301" t="s">
        <v>1512</v>
      </c>
      <c r="C14" s="938" t="s">
        <v>1513</v>
      </c>
      <c r="D14" s="939" t="s">
        <v>1514</v>
      </c>
      <c r="E14" s="408">
        <f>+'13 - Issuer Account'!H56</f>
        <v>9754251.5420999993</v>
      </c>
      <c r="F14" s="303" t="s">
        <v>687</v>
      </c>
      <c r="G14" s="304" t="s">
        <v>1600</v>
      </c>
      <c r="H14" s="304" t="str">
        <f t="shared" ref="H14:H15" si="4">+G14</f>
        <v>Transfert Financial Reserve to General</v>
      </c>
      <c r="I14" s="305">
        <f>+'00 - Cover'!$F$17</f>
        <v>45498</v>
      </c>
      <c r="J14" s="305">
        <f>+'00 - Cover'!$F$17</f>
        <v>45498</v>
      </c>
      <c r="K14" s="940" t="s">
        <v>1515</v>
      </c>
      <c r="L14" s="301" t="str">
        <f>$L$25</f>
        <v>FCH PRIME CASH 23 RES AC</v>
      </c>
      <c r="M14" s="301" t="s">
        <v>1518</v>
      </c>
      <c r="N14" s="301" t="s">
        <v>1517</v>
      </c>
      <c r="O14" s="306" t="s">
        <v>1516</v>
      </c>
      <c r="P14" s="301"/>
      <c r="Q14" s="301"/>
      <c r="R14" s="307"/>
      <c r="S14" s="302"/>
      <c r="T14" s="302"/>
      <c r="U14" s="301" t="s">
        <v>1519</v>
      </c>
      <c r="V14" s="301" t="s">
        <v>1518</v>
      </c>
      <c r="W14" s="301" t="s">
        <v>1517</v>
      </c>
      <c r="X14" s="301" t="s">
        <v>1520</v>
      </c>
      <c r="Y14" s="406"/>
      <c r="Z14" s="406"/>
      <c r="AA14" s="406"/>
      <c r="AB14" s="406"/>
      <c r="AC14" s="941" t="s">
        <v>1521</v>
      </c>
    </row>
    <row r="15" spans="1:29" x14ac:dyDescent="0.25">
      <c r="A15" s="937" t="str">
        <f t="shared" si="3"/>
        <v>14_250724</v>
      </c>
      <c r="B15" s="301" t="s">
        <v>1512</v>
      </c>
      <c r="C15" s="938" t="s">
        <v>1513</v>
      </c>
      <c r="D15" s="939" t="s">
        <v>1514</v>
      </c>
      <c r="E15" s="356">
        <f>+'13 - Issuer Account'!H56</f>
        <v>9754251.5420999993</v>
      </c>
      <c r="F15" s="303" t="s">
        <v>687</v>
      </c>
      <c r="G15" s="304" t="s">
        <v>1601</v>
      </c>
      <c r="H15" s="304" t="str">
        <f t="shared" si="4"/>
        <v>Transfert requiered reserved amount</v>
      </c>
      <c r="I15" s="305">
        <f>+'00 - Cover'!$F$17</f>
        <v>45498</v>
      </c>
      <c r="J15" s="305">
        <f>+'00 - Cover'!$F$17</f>
        <v>45498</v>
      </c>
      <c r="K15" s="940" t="s">
        <v>1515</v>
      </c>
      <c r="L15" s="301" t="str">
        <f t="shared" ref="L15" si="5">$L$23</f>
        <v>FCH PRIME CASH 23 INT AC</v>
      </c>
      <c r="M15" s="301" t="s">
        <v>1518</v>
      </c>
      <c r="N15" s="301" t="s">
        <v>1517</v>
      </c>
      <c r="O15" s="301" t="s">
        <v>1526</v>
      </c>
      <c r="P15" s="301"/>
      <c r="Q15" s="301"/>
      <c r="R15" s="307"/>
      <c r="S15" s="302"/>
      <c r="T15" s="302"/>
      <c r="U15" s="301" t="str">
        <f>$L$25</f>
        <v>FCH PRIME CASH 23 RES AC</v>
      </c>
      <c r="V15" s="301" t="s">
        <v>1518</v>
      </c>
      <c r="W15" s="301" t="s">
        <v>1517</v>
      </c>
      <c r="X15" s="306" t="s">
        <v>1516</v>
      </c>
    </row>
    <row r="16" spans="1:29" x14ac:dyDescent="0.25">
      <c r="E16" s="300"/>
      <c r="G16" s="311"/>
    </row>
    <row r="17" spans="3:14" ht="13" x14ac:dyDescent="0.3">
      <c r="C17" s="112"/>
      <c r="G17" s="311"/>
    </row>
    <row r="18" spans="3:14" ht="12" customHeight="1" x14ac:dyDescent="0.3">
      <c r="C18" s="112"/>
      <c r="G18" s="311"/>
      <c r="H18" s="311"/>
    </row>
    <row r="19" spans="3:14" ht="12" customHeight="1" x14ac:dyDescent="0.3">
      <c r="C19" s="112"/>
      <c r="G19" s="311"/>
      <c r="H19" s="311"/>
    </row>
    <row r="20" spans="3:14" ht="13.5" thickBot="1" x14ac:dyDescent="0.35">
      <c r="C20" s="112"/>
      <c r="H20" s="311"/>
    </row>
    <row r="21" spans="3:14" ht="12.75" customHeight="1" thickBot="1" x14ac:dyDescent="0.4">
      <c r="C21" s="112"/>
      <c r="H21" s="311"/>
      <c r="L21" s="963" t="s">
        <v>1584</v>
      </c>
      <c r="M21" s="963" t="s">
        <v>1582</v>
      </c>
      <c r="N21" s="963" t="s">
        <v>1560</v>
      </c>
    </row>
    <row r="22" spans="3:14" ht="14.25" customHeight="1" x14ac:dyDescent="0.35">
      <c r="C22" s="112"/>
      <c r="H22" s="311"/>
      <c r="L22" s="964" t="s">
        <v>1585</v>
      </c>
      <c r="M22" s="966" t="s">
        <v>1554</v>
      </c>
      <c r="N22" s="966" t="s">
        <v>1589</v>
      </c>
    </row>
    <row r="23" spans="3:14" ht="14.25" customHeight="1" x14ac:dyDescent="0.35">
      <c r="C23" s="112"/>
      <c r="H23" s="311"/>
      <c r="L23" s="964" t="s">
        <v>1586</v>
      </c>
      <c r="M23" s="966" t="s">
        <v>1554</v>
      </c>
      <c r="N23" s="966" t="s">
        <v>1590</v>
      </c>
    </row>
    <row r="24" spans="3:14" ht="14.25" customHeight="1" x14ac:dyDescent="0.35">
      <c r="C24" s="112"/>
      <c r="H24" s="311"/>
      <c r="L24" s="964" t="s">
        <v>1587</v>
      </c>
      <c r="M24" s="966" t="s">
        <v>1554</v>
      </c>
      <c r="N24" s="966" t="s">
        <v>1591</v>
      </c>
    </row>
    <row r="25" spans="3:14" ht="14.25" customHeight="1" x14ac:dyDescent="0.35">
      <c r="E25" s="357"/>
      <c r="F25" s="310"/>
      <c r="L25" s="964" t="s">
        <v>1588</v>
      </c>
      <c r="M25" s="966" t="s">
        <v>1554</v>
      </c>
      <c r="N25" s="966" t="s">
        <v>1592</v>
      </c>
    </row>
    <row r="26" spans="3:14" ht="12.75" customHeight="1" x14ac:dyDescent="0.25">
      <c r="D26" s="311"/>
    </row>
    <row r="27" spans="3:14" ht="15.75" customHeight="1" x14ac:dyDescent="0.25">
      <c r="D27" s="311"/>
    </row>
    <row r="28" spans="3:14" ht="15.75" customHeight="1" x14ac:dyDescent="0.25">
      <c r="D28" s="311"/>
    </row>
    <row r="29" spans="3:14" ht="15.75" customHeight="1" x14ac:dyDescent="0.25">
      <c r="D29" s="311"/>
    </row>
    <row r="30" spans="3:14" ht="15.75" customHeight="1" x14ac:dyDescent="0.25">
      <c r="D30" s="311"/>
    </row>
    <row r="31" spans="3:14" x14ac:dyDescent="0.25">
      <c r="D31" s="311"/>
    </row>
    <row r="34" spans="4:4" x14ac:dyDescent="0.25">
      <c r="D34" s="311"/>
    </row>
  </sheetData>
  <phoneticPr fontId="111" type="noConversion"/>
  <pageMargins left="0.7" right="0.7" top="0.75" bottom="0.75" header="0.3" footer="0.3"/>
  <pageSetup paperSize="9" scale="1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36355-EB9C-4474-A981-6328FF5CCCDE}">
  <dimension ref="A1:CN485"/>
  <sheetViews>
    <sheetView showGridLines="0" topLeftCell="BX221" zoomScale="80" zoomScaleNormal="80" workbookViewId="0">
      <selection activeCell="CM174" sqref="CM174"/>
    </sheetView>
  </sheetViews>
  <sheetFormatPr defaultRowHeight="12.5" x14ac:dyDescent="0.25"/>
  <cols>
    <col min="1" max="1" width="16.54296875" style="216" customWidth="1"/>
    <col min="2" max="3" width="16.54296875" customWidth="1"/>
    <col min="4" max="64" width="16.54296875" style="5" customWidth="1"/>
    <col min="65" max="65" width="16.54296875" style="216" customWidth="1"/>
    <col min="66" max="73" width="16.54296875" style="5" customWidth="1"/>
    <col min="74" max="75" width="16.54296875" style="216" customWidth="1"/>
    <col min="76" max="77" width="16.54296875" customWidth="1"/>
    <col min="78" max="78" width="32" bestFit="1" customWidth="1"/>
    <col min="79" max="79" width="32" customWidth="1"/>
    <col min="80" max="86" width="16.54296875" style="5" customWidth="1"/>
    <col min="87" max="87" width="16.54296875" style="732" customWidth="1"/>
    <col min="88" max="88" width="16.54296875" style="5" customWidth="1"/>
    <col min="89" max="89" width="44.81640625" bestFit="1" customWidth="1"/>
    <col min="90" max="90" width="16.54296875" customWidth="1"/>
    <col min="92" max="92" width="15.1796875" bestFit="1" customWidth="1"/>
  </cols>
  <sheetData>
    <row r="1" spans="1:92" s="721" customFormat="1" ht="39" customHeight="1" thickBot="1" x14ac:dyDescent="0.3">
      <c r="A1" s="1248" t="s">
        <v>833</v>
      </c>
      <c r="B1" s="1249"/>
      <c r="C1" s="1249"/>
      <c r="D1" s="1249"/>
      <c r="E1" s="1249"/>
      <c r="F1" s="1249"/>
      <c r="G1" s="1249"/>
      <c r="H1" s="1249"/>
      <c r="I1" s="1249"/>
      <c r="J1" s="1249"/>
      <c r="K1" s="1249"/>
      <c r="L1" s="1249"/>
      <c r="M1" s="1249"/>
      <c r="N1" s="1249"/>
      <c r="O1" s="1249"/>
      <c r="P1" s="1249"/>
      <c r="Q1" s="1248" t="s">
        <v>834</v>
      </c>
      <c r="R1" s="1249"/>
      <c r="S1" s="1249"/>
      <c r="T1" s="1249"/>
      <c r="U1" s="1249"/>
      <c r="V1" s="1249"/>
      <c r="W1" s="1249"/>
      <c r="X1" s="1249"/>
      <c r="Y1" s="1249"/>
      <c r="Z1" s="1249"/>
      <c r="AA1" s="1249"/>
      <c r="AB1" s="1249"/>
      <c r="AC1" s="1249"/>
      <c r="AD1" s="1249"/>
      <c r="AE1" s="1249"/>
      <c r="AF1" s="1249"/>
      <c r="AG1" s="1249"/>
      <c r="AH1" s="1249"/>
      <c r="AI1" s="1249"/>
      <c r="AJ1" s="1249"/>
      <c r="AK1" s="1249"/>
      <c r="AL1" s="1249"/>
      <c r="AM1" s="1249"/>
      <c r="AN1" s="1249"/>
      <c r="AO1" s="1249"/>
      <c r="AP1" s="1249"/>
      <c r="AQ1" s="1249"/>
      <c r="AR1" s="1249"/>
      <c r="AS1" s="1249"/>
      <c r="AT1" s="1250"/>
      <c r="AU1" s="1248" t="s">
        <v>203</v>
      </c>
      <c r="AV1" s="1249"/>
      <c r="AW1" s="1249"/>
      <c r="AX1" s="1249"/>
      <c r="AY1" s="1249"/>
      <c r="AZ1" s="1249"/>
      <c r="BA1" s="1249"/>
      <c r="BB1" s="1249"/>
      <c r="BC1" s="1249"/>
      <c r="BD1" s="1249"/>
      <c r="BE1" s="1249"/>
      <c r="BF1" s="1249"/>
      <c r="BG1" s="1249"/>
      <c r="BH1" s="1249"/>
      <c r="BI1" s="1249"/>
      <c r="BJ1" s="1249"/>
      <c r="BK1" s="1249"/>
      <c r="BL1" s="1249"/>
      <c r="BM1" s="1255" t="s">
        <v>835</v>
      </c>
      <c r="BN1" s="1256"/>
      <c r="BO1" s="1256"/>
      <c r="BP1" s="1257"/>
      <c r="BQ1" s="731" t="s">
        <v>836</v>
      </c>
      <c r="BR1" s="719"/>
      <c r="BS1" s="1010"/>
      <c r="BT1" s="719"/>
      <c r="BU1" s="1010"/>
      <c r="BV1" s="719"/>
      <c r="BW1" s="1010"/>
      <c r="BX1" s="719"/>
      <c r="BY1" s="1010"/>
      <c r="BZ1" s="719"/>
      <c r="CA1" s="1010"/>
      <c r="CB1" s="720"/>
      <c r="CC1" s="931"/>
      <c r="CD1" s="931"/>
      <c r="CE1" s="931"/>
      <c r="CF1" s="931"/>
      <c r="CG1" s="931"/>
      <c r="CH1" s="931"/>
      <c r="CI1" s="1236" t="s">
        <v>837</v>
      </c>
      <c r="CJ1" s="1237"/>
      <c r="CK1" s="1237"/>
      <c r="CL1" s="1237"/>
      <c r="CM1" s="1237"/>
      <c r="CN1" s="1238"/>
    </row>
    <row r="2" spans="1:92" s="721" customFormat="1" ht="77.25" customHeight="1" x14ac:dyDescent="0.25">
      <c r="A2" s="1216" t="s">
        <v>838</v>
      </c>
      <c r="B2" s="1246" t="s">
        <v>897</v>
      </c>
      <c r="C2" s="1239" t="s">
        <v>839</v>
      </c>
      <c r="D2" s="1241" t="s">
        <v>840</v>
      </c>
      <c r="E2" s="1243" t="s">
        <v>898</v>
      </c>
      <c r="F2" s="1245" t="s">
        <v>136</v>
      </c>
      <c r="G2" s="1245" t="s">
        <v>137</v>
      </c>
      <c r="H2" s="1251" t="s">
        <v>841</v>
      </c>
      <c r="I2" s="1252"/>
      <c r="J2" s="1253"/>
      <c r="K2" s="1245" t="s">
        <v>138</v>
      </c>
      <c r="L2" s="1245" t="s">
        <v>842</v>
      </c>
      <c r="M2" s="1245" t="s">
        <v>843</v>
      </c>
      <c r="N2" s="1229" t="s">
        <v>901</v>
      </c>
      <c r="O2" s="1229" t="s">
        <v>903</v>
      </c>
      <c r="P2" s="1231" t="s">
        <v>844</v>
      </c>
      <c r="Q2" s="1233" t="s">
        <v>845</v>
      </c>
      <c r="R2" s="1234"/>
      <c r="S2" s="1235"/>
      <c r="T2" s="1228" t="s">
        <v>202</v>
      </c>
      <c r="U2" s="1228"/>
      <c r="V2" s="1228"/>
      <c r="W2" s="1228" t="s">
        <v>846</v>
      </c>
      <c r="X2" s="1228"/>
      <c r="Y2" s="1228"/>
      <c r="Z2" s="1228" t="s">
        <v>847</v>
      </c>
      <c r="AA2" s="1228"/>
      <c r="AB2" s="1228"/>
      <c r="AC2" s="1228" t="s">
        <v>848</v>
      </c>
      <c r="AD2" s="1228"/>
      <c r="AE2" s="1228"/>
      <c r="AF2" s="1228" t="s">
        <v>851</v>
      </c>
      <c r="AG2" s="1228"/>
      <c r="AH2" s="1228"/>
      <c r="AI2" s="1228" t="s">
        <v>852</v>
      </c>
      <c r="AJ2" s="1228"/>
      <c r="AK2" s="1228"/>
      <c r="AL2" s="1228" t="s">
        <v>849</v>
      </c>
      <c r="AM2" s="1228"/>
      <c r="AN2" s="1228"/>
      <c r="AO2" s="1228" t="s">
        <v>850</v>
      </c>
      <c r="AP2" s="1228"/>
      <c r="AQ2" s="1228"/>
      <c r="AR2" s="1228" t="s">
        <v>853</v>
      </c>
      <c r="AS2" s="1228"/>
      <c r="AT2" s="1254"/>
      <c r="AU2" s="1220" t="s">
        <v>139</v>
      </c>
      <c r="AV2" s="1220" t="s">
        <v>140</v>
      </c>
      <c r="AW2" s="1220" t="s">
        <v>141</v>
      </c>
      <c r="AX2" s="1220" t="s">
        <v>142</v>
      </c>
      <c r="AY2" s="1220" t="s">
        <v>143</v>
      </c>
      <c r="AZ2" s="1220" t="s">
        <v>144</v>
      </c>
      <c r="BA2" s="1220" t="s">
        <v>904</v>
      </c>
      <c r="BB2" s="1220" t="s">
        <v>905</v>
      </c>
      <c r="BC2" s="1220" t="s">
        <v>906</v>
      </c>
      <c r="BD2" s="1220" t="s">
        <v>145</v>
      </c>
      <c r="BE2" s="1220" t="s">
        <v>147</v>
      </c>
      <c r="BF2" s="1220" t="s">
        <v>146</v>
      </c>
      <c r="BG2" s="1220" t="s">
        <v>148</v>
      </c>
      <c r="BH2" s="1220" t="s">
        <v>854</v>
      </c>
      <c r="BI2" s="1220" t="s">
        <v>239</v>
      </c>
      <c r="BJ2" s="1220" t="s">
        <v>855</v>
      </c>
      <c r="BK2" s="1220" t="s">
        <v>149</v>
      </c>
      <c r="BL2" s="1220" t="s">
        <v>150</v>
      </c>
      <c r="BM2" s="1220" t="s">
        <v>856</v>
      </c>
      <c r="BN2" s="1220" t="s">
        <v>857</v>
      </c>
      <c r="BO2" s="1220" t="s">
        <v>858</v>
      </c>
      <c r="BP2" s="1254" t="s">
        <v>859</v>
      </c>
      <c r="BQ2" s="1259" t="s">
        <v>838</v>
      </c>
      <c r="BR2" s="1214" t="s">
        <v>2509</v>
      </c>
      <c r="BS2" s="1214" t="s">
        <v>2510</v>
      </c>
      <c r="BT2" s="1214" t="s">
        <v>2511</v>
      </c>
      <c r="BU2" s="1214" t="s">
        <v>2512</v>
      </c>
      <c r="BV2" s="1214" t="s">
        <v>2513</v>
      </c>
      <c r="BW2" s="1214" t="s">
        <v>2514</v>
      </c>
      <c r="BX2" s="1214" t="s">
        <v>2515</v>
      </c>
      <c r="BY2" s="1214" t="s">
        <v>2516</v>
      </c>
      <c r="BZ2" s="1214" t="s">
        <v>2517</v>
      </c>
      <c r="CA2" s="1214" t="s">
        <v>2518</v>
      </c>
      <c r="CB2" s="1214" t="s">
        <v>2519</v>
      </c>
      <c r="CC2" s="1226" t="s">
        <v>2520</v>
      </c>
      <c r="CD2" s="1222" t="s">
        <v>1506</v>
      </c>
      <c r="CE2" s="1222" t="s">
        <v>1509</v>
      </c>
      <c r="CF2" s="1222" t="s">
        <v>1510</v>
      </c>
      <c r="CG2" s="1222" t="s">
        <v>1507</v>
      </c>
      <c r="CH2" s="1222" t="s">
        <v>1508</v>
      </c>
      <c r="CI2" s="1216" t="s">
        <v>838</v>
      </c>
      <c r="CJ2" s="1218" t="s">
        <v>860</v>
      </c>
      <c r="CK2" s="1218" t="s">
        <v>861</v>
      </c>
      <c r="CL2" s="1220" t="s">
        <v>862</v>
      </c>
      <c r="CM2" s="1224" t="s">
        <v>863</v>
      </c>
      <c r="CN2" s="1212" t="s">
        <v>864</v>
      </c>
    </row>
    <row r="3" spans="1:92" s="721" customFormat="1" ht="100.5" customHeight="1" thickBot="1" x14ac:dyDescent="0.3">
      <c r="A3" s="1217"/>
      <c r="B3" s="1247"/>
      <c r="C3" s="1240"/>
      <c r="D3" s="1242"/>
      <c r="E3" s="1244"/>
      <c r="F3" s="1230"/>
      <c r="G3" s="1230"/>
      <c r="H3" s="722" t="s">
        <v>865</v>
      </c>
      <c r="I3" s="722" t="s">
        <v>866</v>
      </c>
      <c r="J3" s="722" t="s">
        <v>867</v>
      </c>
      <c r="K3" s="1230"/>
      <c r="L3" s="1230"/>
      <c r="M3" s="1230"/>
      <c r="N3" s="1230"/>
      <c r="O3" s="1230"/>
      <c r="P3" s="1232"/>
      <c r="Q3" s="723" t="s">
        <v>205</v>
      </c>
      <c r="R3" s="724" t="s">
        <v>206</v>
      </c>
      <c r="S3" s="724" t="s">
        <v>207</v>
      </c>
      <c r="T3" s="724" t="s">
        <v>205</v>
      </c>
      <c r="U3" s="724" t="s">
        <v>206</v>
      </c>
      <c r="V3" s="724" t="s">
        <v>207</v>
      </c>
      <c r="W3" s="724" t="s">
        <v>205</v>
      </c>
      <c r="X3" s="724" t="s">
        <v>206</v>
      </c>
      <c r="Y3" s="724" t="s">
        <v>207</v>
      </c>
      <c r="Z3" s="724" t="s">
        <v>205</v>
      </c>
      <c r="AA3" s="724" t="s">
        <v>206</v>
      </c>
      <c r="AB3" s="724" t="s">
        <v>207</v>
      </c>
      <c r="AC3" s="724" t="s">
        <v>205</v>
      </c>
      <c r="AD3" s="724" t="s">
        <v>206</v>
      </c>
      <c r="AE3" s="724" t="s">
        <v>207</v>
      </c>
      <c r="AF3" s="724" t="s">
        <v>205</v>
      </c>
      <c r="AG3" s="724" t="s">
        <v>206</v>
      </c>
      <c r="AH3" s="724" t="s">
        <v>207</v>
      </c>
      <c r="AI3" s="724" t="s">
        <v>205</v>
      </c>
      <c r="AJ3" s="724" t="s">
        <v>206</v>
      </c>
      <c r="AK3" s="724" t="s">
        <v>207</v>
      </c>
      <c r="AL3" s="724" t="s">
        <v>205</v>
      </c>
      <c r="AM3" s="724" t="s">
        <v>206</v>
      </c>
      <c r="AN3" s="724" t="s">
        <v>207</v>
      </c>
      <c r="AO3" s="724" t="s">
        <v>205</v>
      </c>
      <c r="AP3" s="724" t="s">
        <v>206</v>
      </c>
      <c r="AQ3" s="724" t="s">
        <v>207</v>
      </c>
      <c r="AR3" s="724" t="s">
        <v>205</v>
      </c>
      <c r="AS3" s="724" t="s">
        <v>206</v>
      </c>
      <c r="AT3" s="725" t="s">
        <v>207</v>
      </c>
      <c r="AU3" s="1221"/>
      <c r="AV3" s="1221"/>
      <c r="AW3" s="1221"/>
      <c r="AX3" s="1221"/>
      <c r="AY3" s="1221"/>
      <c r="AZ3" s="1221"/>
      <c r="BA3" s="1221"/>
      <c r="BB3" s="1221"/>
      <c r="BC3" s="1221"/>
      <c r="BD3" s="1221"/>
      <c r="BE3" s="1221"/>
      <c r="BF3" s="1221"/>
      <c r="BG3" s="1221"/>
      <c r="BH3" s="1221"/>
      <c r="BI3" s="1221"/>
      <c r="BJ3" s="1221"/>
      <c r="BK3" s="1221"/>
      <c r="BL3" s="1221"/>
      <c r="BM3" s="1221"/>
      <c r="BN3" s="1221"/>
      <c r="BO3" s="1221"/>
      <c r="BP3" s="1258"/>
      <c r="BQ3" s="1260"/>
      <c r="BR3" s="1215"/>
      <c r="BS3" s="1215"/>
      <c r="BT3" s="1215"/>
      <c r="BU3" s="1215"/>
      <c r="BV3" s="1215"/>
      <c r="BW3" s="1215"/>
      <c r="BX3" s="1215"/>
      <c r="BY3" s="1215"/>
      <c r="BZ3" s="1215"/>
      <c r="CA3" s="1215"/>
      <c r="CB3" s="1215"/>
      <c r="CC3" s="1227"/>
      <c r="CD3" s="1223"/>
      <c r="CE3" s="1223"/>
      <c r="CF3" s="1223"/>
      <c r="CG3" s="1223"/>
      <c r="CH3" s="1223"/>
      <c r="CI3" s="1217"/>
      <c r="CJ3" s="1219"/>
      <c r="CK3" s="1219"/>
      <c r="CL3" s="1221"/>
      <c r="CM3" s="1225"/>
      <c r="CN3" s="1213"/>
    </row>
    <row r="4" spans="1:92" x14ac:dyDescent="0.25">
      <c r="A4" s="216">
        <v>45473</v>
      </c>
      <c r="B4" t="s">
        <v>899</v>
      </c>
      <c r="C4" t="s">
        <v>868</v>
      </c>
      <c r="D4" s="727">
        <v>706842265.12000024</v>
      </c>
      <c r="E4" s="727">
        <v>0</v>
      </c>
      <c r="F4" s="727">
        <v>4887596.6399999978</v>
      </c>
      <c r="G4" s="727">
        <v>667655.79</v>
      </c>
      <c r="H4" s="727">
        <v>0</v>
      </c>
      <c r="I4" s="727">
        <v>250.18</v>
      </c>
      <c r="J4" s="727">
        <v>0</v>
      </c>
      <c r="K4" s="727">
        <v>0</v>
      </c>
      <c r="L4" s="727">
        <v>0</v>
      </c>
      <c r="M4" s="727">
        <v>0</v>
      </c>
      <c r="N4" s="727">
        <v>0</v>
      </c>
      <c r="O4" s="727">
        <v>0</v>
      </c>
      <c r="P4" s="727">
        <v>701287262.86999977</v>
      </c>
      <c r="Q4" s="727">
        <v>57532.390000000014</v>
      </c>
      <c r="R4" s="727">
        <v>7687.0799999999981</v>
      </c>
      <c r="S4" s="727">
        <v>0</v>
      </c>
      <c r="T4" s="727">
        <v>92567.569999999992</v>
      </c>
      <c r="U4" s="727">
        <v>12093.820000000002</v>
      </c>
      <c r="V4" s="727">
        <v>0</v>
      </c>
      <c r="W4" s="727">
        <v>45633.520000000019</v>
      </c>
      <c r="X4" s="727">
        <v>6985.619999999999</v>
      </c>
      <c r="Y4" s="727">
        <v>0</v>
      </c>
      <c r="Z4" s="727">
        <v>0</v>
      </c>
      <c r="AA4" s="727">
        <v>0</v>
      </c>
      <c r="AB4" s="727">
        <v>0</v>
      </c>
      <c r="AC4" s="727">
        <v>0</v>
      </c>
      <c r="AD4" s="727">
        <v>0</v>
      </c>
      <c r="AE4" s="727">
        <v>0</v>
      </c>
      <c r="AF4" s="727">
        <v>0</v>
      </c>
      <c r="AG4" s="727">
        <v>0</v>
      </c>
      <c r="AH4" s="727">
        <v>0</v>
      </c>
      <c r="AI4" s="727">
        <v>0</v>
      </c>
      <c r="AJ4" s="727">
        <v>0</v>
      </c>
      <c r="AK4" s="727">
        <v>0</v>
      </c>
      <c r="AL4" s="727">
        <v>0</v>
      </c>
      <c r="AM4" s="727">
        <v>0</v>
      </c>
      <c r="AN4" s="727">
        <v>0</v>
      </c>
      <c r="AO4" s="727">
        <v>0</v>
      </c>
      <c r="AP4" s="727">
        <v>0</v>
      </c>
      <c r="AQ4" s="727">
        <v>0</v>
      </c>
      <c r="AR4" s="727">
        <v>104466.44</v>
      </c>
      <c r="AS4" s="727">
        <v>12795.280000000002</v>
      </c>
      <c r="AT4" s="727">
        <v>0</v>
      </c>
      <c r="AU4" s="727">
        <v>4795029.0699999994</v>
      </c>
      <c r="AV4" s="727">
        <v>45633.520000000019</v>
      </c>
      <c r="AW4" s="727">
        <v>667655.79</v>
      </c>
      <c r="AX4" s="727">
        <v>5508318.3800000045</v>
      </c>
      <c r="AY4" s="727">
        <v>836869.96000000054</v>
      </c>
      <c r="AZ4" s="727">
        <v>6985.619999999999</v>
      </c>
      <c r="BA4" s="727">
        <v>66.449999999999989</v>
      </c>
      <c r="BB4" s="727">
        <v>94.960000000000022</v>
      </c>
      <c r="BC4" s="727">
        <v>0</v>
      </c>
      <c r="BD4" s="727">
        <v>746.26</v>
      </c>
      <c r="BE4" s="727">
        <v>334.82</v>
      </c>
      <c r="BF4" s="727">
        <v>0</v>
      </c>
      <c r="BG4" s="727">
        <v>845098.0700000003</v>
      </c>
      <c r="BH4" s="727">
        <v>0</v>
      </c>
      <c r="BI4" s="727">
        <v>0</v>
      </c>
      <c r="BJ4" s="727">
        <v>0</v>
      </c>
      <c r="BK4" s="727">
        <v>6353416.4499999937</v>
      </c>
      <c r="BL4" s="727">
        <v>6353416.4499999927</v>
      </c>
      <c r="BM4" s="727">
        <v>0</v>
      </c>
      <c r="BN4" s="727">
        <v>392184.97000000055</v>
      </c>
      <c r="BO4" s="727">
        <v>0</v>
      </c>
      <c r="BP4" s="727">
        <v>0</v>
      </c>
      <c r="BQ4" s="726">
        <v>45473</v>
      </c>
      <c r="BR4" s="728">
        <v>698965879.67999971</v>
      </c>
      <c r="BS4" s="728">
        <v>3669</v>
      </c>
      <c r="BT4" s="728">
        <v>2195802.83</v>
      </c>
      <c r="BU4" s="728">
        <v>15</v>
      </c>
      <c r="BV4" s="728">
        <v>125580.36</v>
      </c>
      <c r="BW4" s="728">
        <v>3</v>
      </c>
      <c r="BX4" s="728">
        <v>0</v>
      </c>
      <c r="BY4" s="728">
        <v>1</v>
      </c>
      <c r="BZ4" s="728">
        <v>0</v>
      </c>
      <c r="CA4" s="728">
        <v>0</v>
      </c>
      <c r="CB4" s="728">
        <v>0</v>
      </c>
      <c r="CC4" s="728">
        <v>0</v>
      </c>
      <c r="CD4" s="728">
        <v>0</v>
      </c>
      <c r="CE4" s="728">
        <v>399475.56</v>
      </c>
      <c r="CF4" s="728">
        <v>3369319.82</v>
      </c>
      <c r="CG4" s="728">
        <v>0</v>
      </c>
      <c r="CH4" s="728">
        <v>399475.56</v>
      </c>
      <c r="CI4" s="726">
        <v>45473</v>
      </c>
      <c r="CJ4" s="729" t="s">
        <v>256</v>
      </c>
      <c r="CK4" s="729" t="s">
        <v>257</v>
      </c>
      <c r="CL4" s="728">
        <v>701287262.86999977</v>
      </c>
      <c r="CM4" s="732"/>
      <c r="CN4" s="5"/>
    </row>
    <row r="5" spans="1:92" x14ac:dyDescent="0.25">
      <c r="A5" s="216">
        <v>45473</v>
      </c>
      <c r="B5" t="s">
        <v>899</v>
      </c>
      <c r="C5" t="s">
        <v>869</v>
      </c>
      <c r="D5" s="727">
        <v>0</v>
      </c>
      <c r="E5" s="727">
        <v>0</v>
      </c>
      <c r="F5" s="727">
        <v>0</v>
      </c>
      <c r="G5" s="727">
        <v>0</v>
      </c>
      <c r="H5" s="727">
        <v>0</v>
      </c>
      <c r="I5" s="727">
        <v>0</v>
      </c>
      <c r="J5" s="727">
        <v>0</v>
      </c>
      <c r="K5" s="727">
        <v>0</v>
      </c>
      <c r="L5" s="727">
        <v>0</v>
      </c>
      <c r="M5" s="727">
        <v>0</v>
      </c>
      <c r="N5" s="727">
        <v>0</v>
      </c>
      <c r="O5" s="727">
        <v>0</v>
      </c>
      <c r="P5" s="727">
        <v>0</v>
      </c>
      <c r="Q5" s="727">
        <v>0</v>
      </c>
      <c r="R5" s="727">
        <v>0</v>
      </c>
      <c r="S5" s="727">
        <v>0</v>
      </c>
      <c r="T5" s="727">
        <v>0</v>
      </c>
      <c r="U5" s="727">
        <v>0</v>
      </c>
      <c r="V5" s="727">
        <v>0</v>
      </c>
      <c r="W5" s="727">
        <v>0</v>
      </c>
      <c r="X5" s="727">
        <v>0</v>
      </c>
      <c r="Y5" s="727">
        <v>0</v>
      </c>
      <c r="Z5" s="727">
        <v>0</v>
      </c>
      <c r="AA5" s="727">
        <v>0</v>
      </c>
      <c r="AB5" s="727">
        <v>0</v>
      </c>
      <c r="AC5" s="727">
        <v>0</v>
      </c>
      <c r="AD5" s="727">
        <v>0</v>
      </c>
      <c r="AE5" s="727">
        <v>0</v>
      </c>
      <c r="AF5" s="727">
        <v>0</v>
      </c>
      <c r="AG5" s="727">
        <v>0</v>
      </c>
      <c r="AH5" s="727">
        <v>0</v>
      </c>
      <c r="AI5" s="727">
        <v>0</v>
      </c>
      <c r="AJ5" s="727">
        <v>0</v>
      </c>
      <c r="AK5" s="727">
        <v>0</v>
      </c>
      <c r="AL5" s="727">
        <v>0</v>
      </c>
      <c r="AM5" s="727">
        <v>0</v>
      </c>
      <c r="AN5" s="727">
        <v>0</v>
      </c>
      <c r="AO5" s="727">
        <v>0</v>
      </c>
      <c r="AP5" s="727">
        <v>0</v>
      </c>
      <c r="AQ5" s="727">
        <v>0</v>
      </c>
      <c r="AR5" s="727">
        <v>0</v>
      </c>
      <c r="AS5" s="727">
        <v>0</v>
      </c>
      <c r="AT5" s="727">
        <v>0</v>
      </c>
      <c r="AU5" s="727">
        <v>0</v>
      </c>
      <c r="AV5" s="727">
        <v>0</v>
      </c>
      <c r="AW5" s="727">
        <v>0</v>
      </c>
      <c r="AX5" s="727">
        <v>0</v>
      </c>
      <c r="AY5" s="727">
        <v>0</v>
      </c>
      <c r="AZ5" s="727">
        <v>0</v>
      </c>
      <c r="BA5" s="727">
        <v>0</v>
      </c>
      <c r="BB5" s="727">
        <v>0</v>
      </c>
      <c r="BC5" s="727">
        <v>0</v>
      </c>
      <c r="BD5" s="727">
        <v>0</v>
      </c>
      <c r="BE5" s="727">
        <v>0</v>
      </c>
      <c r="BF5" s="727">
        <v>0</v>
      </c>
      <c r="BG5" s="727">
        <v>0</v>
      </c>
      <c r="BH5" s="727">
        <v>0</v>
      </c>
      <c r="BI5" s="727">
        <v>0</v>
      </c>
      <c r="BJ5" s="727"/>
      <c r="BK5" s="727">
        <v>0</v>
      </c>
      <c r="BL5" s="727">
        <v>0</v>
      </c>
      <c r="BM5" s="727">
        <v>0</v>
      </c>
      <c r="BN5" s="727">
        <v>0</v>
      </c>
      <c r="BO5" s="727">
        <v>0</v>
      </c>
      <c r="BP5" s="727">
        <v>0</v>
      </c>
      <c r="BQ5" s="726">
        <v>45443</v>
      </c>
      <c r="BR5" s="728">
        <v>702398532.93000031</v>
      </c>
      <c r="BS5" s="728">
        <v>3682</v>
      </c>
      <c r="BT5" s="728">
        <v>4355821.4400000004</v>
      </c>
      <c r="BU5" s="728">
        <v>22</v>
      </c>
      <c r="BV5" s="728">
        <v>87910.75</v>
      </c>
      <c r="BW5" s="728">
        <v>2</v>
      </c>
      <c r="BX5" s="728">
        <v>0</v>
      </c>
      <c r="BY5" s="728">
        <v>0</v>
      </c>
      <c r="BZ5" s="728">
        <v>0</v>
      </c>
      <c r="CA5" s="728">
        <v>0</v>
      </c>
      <c r="CB5" s="728">
        <v>0</v>
      </c>
      <c r="CC5" s="728">
        <v>0</v>
      </c>
      <c r="CD5" s="728">
        <v>0</v>
      </c>
      <c r="CE5" s="728">
        <v>0</v>
      </c>
      <c r="CF5" s="728">
        <v>3775212.81</v>
      </c>
      <c r="CG5" s="728">
        <v>0</v>
      </c>
      <c r="CH5" s="728">
        <v>0</v>
      </c>
      <c r="CI5" s="726">
        <v>45473</v>
      </c>
      <c r="CJ5" s="729" t="s">
        <v>258</v>
      </c>
      <c r="CK5" s="729" t="s">
        <v>259</v>
      </c>
      <c r="CL5" s="728">
        <v>1116067447.1700001</v>
      </c>
      <c r="CM5" s="732"/>
      <c r="CN5" s="5"/>
    </row>
    <row r="6" spans="1:92" x14ac:dyDescent="0.25">
      <c r="A6" s="216">
        <v>45443</v>
      </c>
      <c r="B6" t="s">
        <v>899</v>
      </c>
      <c r="C6" t="s">
        <v>868</v>
      </c>
      <c r="D6" s="5">
        <v>712314813.96000087</v>
      </c>
      <c r="E6" s="5">
        <v>0</v>
      </c>
      <c r="F6" s="5">
        <v>4892047.1100000022</v>
      </c>
      <c r="G6" s="5">
        <v>581914.99</v>
      </c>
      <c r="H6" s="5">
        <v>0</v>
      </c>
      <c r="I6" s="5">
        <v>1413.2599999999998</v>
      </c>
      <c r="J6" s="5">
        <v>0</v>
      </c>
      <c r="K6" s="5">
        <v>0</v>
      </c>
      <c r="L6" s="5">
        <v>0</v>
      </c>
      <c r="M6" s="5">
        <v>0</v>
      </c>
      <c r="N6" s="5">
        <v>0</v>
      </c>
      <c r="O6" s="5">
        <v>0</v>
      </c>
      <c r="P6" s="5">
        <v>706842265.12000024</v>
      </c>
      <c r="Q6" s="5">
        <v>83181.740000000005</v>
      </c>
      <c r="R6" s="5">
        <v>5249.6399999999994</v>
      </c>
      <c r="S6" s="5">
        <v>0</v>
      </c>
      <c r="T6" s="5">
        <v>45638.840000000011</v>
      </c>
      <c r="U6" s="5">
        <v>6830.32</v>
      </c>
      <c r="V6" s="5">
        <v>0</v>
      </c>
      <c r="W6" s="5">
        <v>71288.189999999988</v>
      </c>
      <c r="X6" s="5">
        <v>4392.8799999999992</v>
      </c>
      <c r="Y6" s="5">
        <v>0</v>
      </c>
      <c r="Z6" s="5">
        <v>0</v>
      </c>
      <c r="AA6" s="5">
        <v>0</v>
      </c>
      <c r="AB6" s="5">
        <v>0</v>
      </c>
      <c r="AC6" s="5">
        <v>0</v>
      </c>
      <c r="AD6" s="5">
        <v>0</v>
      </c>
      <c r="AE6" s="5">
        <v>0</v>
      </c>
      <c r="AF6" s="5">
        <v>0</v>
      </c>
      <c r="AG6" s="5">
        <v>0</v>
      </c>
      <c r="AH6" s="5">
        <v>0</v>
      </c>
      <c r="AI6" s="5">
        <v>0</v>
      </c>
      <c r="AJ6" s="5">
        <v>0</v>
      </c>
      <c r="AK6" s="5">
        <v>0</v>
      </c>
      <c r="AL6" s="5">
        <v>0</v>
      </c>
      <c r="AM6" s="5">
        <v>0</v>
      </c>
      <c r="AN6" s="5">
        <v>0</v>
      </c>
      <c r="AO6" s="5">
        <v>0</v>
      </c>
      <c r="AP6" s="5">
        <v>0</v>
      </c>
      <c r="AQ6" s="5">
        <v>0</v>
      </c>
      <c r="AR6" s="5">
        <v>57532.390000000014</v>
      </c>
      <c r="AS6" s="5">
        <v>7687.0799999999981</v>
      </c>
      <c r="AT6" s="5">
        <v>0</v>
      </c>
      <c r="AU6" s="5">
        <v>4846408.2700000014</v>
      </c>
      <c r="AV6" s="5">
        <v>71288.189999999988</v>
      </c>
      <c r="AW6" s="5">
        <v>581914.99</v>
      </c>
      <c r="AX6" s="5">
        <v>5499611.4499999927</v>
      </c>
      <c r="AY6" s="5">
        <v>848277.42000000027</v>
      </c>
      <c r="AZ6" s="5">
        <v>4392.8799999999992</v>
      </c>
      <c r="BA6" s="5">
        <v>66.680000000000021</v>
      </c>
      <c r="BB6" s="5">
        <v>83.94999999999996</v>
      </c>
      <c r="BC6" s="5">
        <v>0</v>
      </c>
      <c r="BD6" s="5">
        <v>1290.83</v>
      </c>
      <c r="BE6" s="5">
        <v>11.33</v>
      </c>
      <c r="BF6" s="5">
        <v>0</v>
      </c>
      <c r="BG6" s="5">
        <v>854123.09000000055</v>
      </c>
      <c r="BH6" s="5">
        <v>0</v>
      </c>
      <c r="BI6" s="5">
        <v>0</v>
      </c>
      <c r="BJ6" s="5">
        <v>0</v>
      </c>
      <c r="BK6" s="5">
        <v>6353734.540000001</v>
      </c>
      <c r="BL6" s="5">
        <v>6353734.540000001</v>
      </c>
      <c r="BM6" s="5">
        <v>0</v>
      </c>
      <c r="BN6" s="5">
        <v>410525.70000000106</v>
      </c>
      <c r="BO6" s="5">
        <v>0</v>
      </c>
      <c r="BP6" s="5">
        <v>0</v>
      </c>
      <c r="BQ6" s="726">
        <v>45412</v>
      </c>
      <c r="BR6" s="728">
        <v>706600362.5200007</v>
      </c>
      <c r="BS6" s="728">
        <v>3697</v>
      </c>
      <c r="BT6" s="728">
        <v>5711069.3900000015</v>
      </c>
      <c r="BU6" s="728">
        <v>31</v>
      </c>
      <c r="BV6" s="728">
        <v>3382.05</v>
      </c>
      <c r="BW6" s="728">
        <v>1</v>
      </c>
      <c r="BX6" s="728">
        <v>0</v>
      </c>
      <c r="BY6" s="728">
        <v>0</v>
      </c>
      <c r="BZ6" s="728">
        <v>0</v>
      </c>
      <c r="CA6" s="728">
        <v>0</v>
      </c>
      <c r="CB6" s="728">
        <v>0</v>
      </c>
      <c r="CC6" s="728">
        <v>0</v>
      </c>
      <c r="CD6" s="728">
        <v>0</v>
      </c>
      <c r="CE6" s="728">
        <v>0</v>
      </c>
      <c r="CF6" s="728">
        <v>3780146.77</v>
      </c>
      <c r="CG6" s="728">
        <v>0</v>
      </c>
      <c r="CH6" s="728">
        <v>0</v>
      </c>
      <c r="CI6" s="726">
        <v>45473</v>
      </c>
      <c r="CJ6" t="s">
        <v>260</v>
      </c>
      <c r="CK6" t="s">
        <v>261</v>
      </c>
      <c r="CL6" s="5">
        <v>3688</v>
      </c>
      <c r="CM6" s="732"/>
      <c r="CN6" s="5"/>
    </row>
    <row r="7" spans="1:92" x14ac:dyDescent="0.25">
      <c r="A7" s="216">
        <v>45443</v>
      </c>
      <c r="B7" t="s">
        <v>899</v>
      </c>
      <c r="C7" t="s">
        <v>869</v>
      </c>
      <c r="D7" s="5">
        <v>0</v>
      </c>
      <c r="E7" s="5">
        <v>0</v>
      </c>
      <c r="F7" s="5">
        <v>0</v>
      </c>
      <c r="G7" s="5">
        <v>0</v>
      </c>
      <c r="H7" s="5">
        <v>0</v>
      </c>
      <c r="I7" s="5">
        <v>0</v>
      </c>
      <c r="J7" s="5">
        <v>0</v>
      </c>
      <c r="K7" s="5">
        <v>0</v>
      </c>
      <c r="L7" s="5">
        <v>0</v>
      </c>
      <c r="M7" s="5">
        <v>0</v>
      </c>
      <c r="N7" s="5">
        <v>0</v>
      </c>
      <c r="O7" s="5">
        <v>0</v>
      </c>
      <c r="P7" s="5">
        <v>0</v>
      </c>
      <c r="Q7" s="5">
        <v>0</v>
      </c>
      <c r="R7" s="5">
        <v>0</v>
      </c>
      <c r="S7" s="5">
        <v>0</v>
      </c>
      <c r="T7" s="5">
        <v>0</v>
      </c>
      <c r="U7" s="5">
        <v>0</v>
      </c>
      <c r="V7" s="5">
        <v>0</v>
      </c>
      <c r="W7" s="5">
        <v>0</v>
      </c>
      <c r="X7" s="5">
        <v>0</v>
      </c>
      <c r="Y7" s="5">
        <v>0</v>
      </c>
      <c r="Z7" s="5">
        <v>0</v>
      </c>
      <c r="AA7" s="5">
        <v>0</v>
      </c>
      <c r="AB7" s="5">
        <v>0</v>
      </c>
      <c r="AC7" s="5">
        <v>0</v>
      </c>
      <c r="AD7" s="5">
        <v>0</v>
      </c>
      <c r="AE7" s="5">
        <v>0</v>
      </c>
      <c r="AF7" s="5">
        <v>0</v>
      </c>
      <c r="AG7" s="5">
        <v>0</v>
      </c>
      <c r="AH7" s="5">
        <v>0</v>
      </c>
      <c r="AI7" s="5">
        <v>0</v>
      </c>
      <c r="AJ7" s="5">
        <v>0</v>
      </c>
      <c r="AK7" s="5">
        <v>0</v>
      </c>
      <c r="AL7" s="5">
        <v>0</v>
      </c>
      <c r="AM7" s="5">
        <v>0</v>
      </c>
      <c r="AN7" s="5">
        <v>0</v>
      </c>
      <c r="AO7" s="5">
        <v>0</v>
      </c>
      <c r="AP7" s="5">
        <v>0</v>
      </c>
      <c r="AQ7" s="5">
        <v>0</v>
      </c>
      <c r="AR7" s="5">
        <v>0</v>
      </c>
      <c r="AS7" s="5">
        <v>0</v>
      </c>
      <c r="AT7" s="5">
        <v>0</v>
      </c>
      <c r="AU7" s="5">
        <v>0</v>
      </c>
      <c r="AV7" s="5">
        <v>0</v>
      </c>
      <c r="AW7" s="5">
        <v>0</v>
      </c>
      <c r="AX7" s="5">
        <v>0</v>
      </c>
      <c r="AY7" s="5">
        <v>0</v>
      </c>
      <c r="AZ7" s="5">
        <v>0</v>
      </c>
      <c r="BA7" s="5">
        <v>0</v>
      </c>
      <c r="BB7" s="5">
        <v>0</v>
      </c>
      <c r="BC7" s="5">
        <v>0</v>
      </c>
      <c r="BD7" s="5">
        <v>0</v>
      </c>
      <c r="BE7" s="5">
        <v>0</v>
      </c>
      <c r="BF7" s="5">
        <v>0</v>
      </c>
      <c r="BG7" s="5">
        <v>0</v>
      </c>
      <c r="BH7" s="5">
        <v>0</v>
      </c>
      <c r="BI7" s="5">
        <v>0</v>
      </c>
      <c r="BK7" s="5">
        <v>0</v>
      </c>
      <c r="BL7" s="5">
        <v>0</v>
      </c>
      <c r="BM7" s="5">
        <v>0</v>
      </c>
      <c r="BN7" s="5">
        <v>0</v>
      </c>
      <c r="BO7" s="5">
        <v>0</v>
      </c>
      <c r="BP7" s="5">
        <v>0</v>
      </c>
      <c r="BQ7" s="726">
        <v>45382</v>
      </c>
      <c r="BR7" s="728">
        <v>714031765.05999994</v>
      </c>
      <c r="BS7" s="728">
        <v>3720</v>
      </c>
      <c r="BT7" s="728">
        <v>2648673.5900000003</v>
      </c>
      <c r="BU7" s="728">
        <v>19</v>
      </c>
      <c r="BV7" s="728">
        <v>998843.09</v>
      </c>
      <c r="BW7" s="728">
        <v>5</v>
      </c>
      <c r="BX7" s="728">
        <v>105122.68000000002</v>
      </c>
      <c r="BY7" s="728">
        <v>4</v>
      </c>
      <c r="BZ7" s="728">
        <v>0</v>
      </c>
      <c r="CA7" s="728">
        <v>0</v>
      </c>
      <c r="CB7" s="728">
        <v>0</v>
      </c>
      <c r="CC7" s="728">
        <v>0</v>
      </c>
      <c r="CD7" s="728">
        <v>0</v>
      </c>
      <c r="CE7" s="728">
        <v>405892.99</v>
      </c>
      <c r="CF7" s="728">
        <v>3418102.59</v>
      </c>
      <c r="CG7" s="728">
        <v>0</v>
      </c>
      <c r="CH7" s="728">
        <v>405892.99</v>
      </c>
      <c r="CI7" s="726">
        <v>45473</v>
      </c>
      <c r="CJ7" t="s">
        <v>262</v>
      </c>
      <c r="CK7" t="s">
        <v>263</v>
      </c>
      <c r="CL7" s="5">
        <v>3295</v>
      </c>
      <c r="CM7" s="732"/>
      <c r="CN7" s="5"/>
    </row>
    <row r="8" spans="1:92" x14ac:dyDescent="0.25">
      <c r="A8" s="216">
        <v>45412</v>
      </c>
      <c r="B8" t="s">
        <v>899</v>
      </c>
      <c r="C8" t="s">
        <v>868</v>
      </c>
      <c r="D8" s="5">
        <v>717784404.42000175</v>
      </c>
      <c r="E8" s="5">
        <v>0</v>
      </c>
      <c r="F8" s="5">
        <v>4955354.1600000011</v>
      </c>
      <c r="G8" s="5">
        <v>515506.72</v>
      </c>
      <c r="H8" s="5">
        <v>0</v>
      </c>
      <c r="I8" s="5">
        <v>1270.4199999999998</v>
      </c>
      <c r="J8" s="5">
        <v>0</v>
      </c>
      <c r="K8" s="5">
        <v>0</v>
      </c>
      <c r="L8" s="5">
        <v>0</v>
      </c>
      <c r="M8" s="5">
        <v>0</v>
      </c>
      <c r="N8" s="5">
        <v>0</v>
      </c>
      <c r="O8" s="5">
        <v>0</v>
      </c>
      <c r="P8" s="5">
        <v>712314813.96000087</v>
      </c>
      <c r="Q8" s="5">
        <v>84046.089999999967</v>
      </c>
      <c r="R8" s="5">
        <v>5659.4600000000009</v>
      </c>
      <c r="S8" s="5">
        <v>0</v>
      </c>
      <c r="T8" s="5">
        <v>74590.569999999992</v>
      </c>
      <c r="U8" s="5">
        <v>4421.66</v>
      </c>
      <c r="V8" s="5">
        <v>0</v>
      </c>
      <c r="W8" s="5">
        <v>75454.919999999984</v>
      </c>
      <c r="X8" s="5">
        <v>4831.4800000000014</v>
      </c>
      <c r="Y8" s="5">
        <v>0</v>
      </c>
      <c r="Z8" s="5">
        <v>0</v>
      </c>
      <c r="AA8" s="5">
        <v>0</v>
      </c>
      <c r="AB8" s="5">
        <v>0</v>
      </c>
      <c r="AC8" s="5">
        <v>0</v>
      </c>
      <c r="AD8" s="5">
        <v>0</v>
      </c>
      <c r="AE8" s="5">
        <v>0</v>
      </c>
      <c r="AF8" s="5">
        <v>0</v>
      </c>
      <c r="AG8" s="5">
        <v>0</v>
      </c>
      <c r="AH8" s="5">
        <v>0</v>
      </c>
      <c r="AI8" s="5">
        <v>0</v>
      </c>
      <c r="AJ8" s="5">
        <v>0</v>
      </c>
      <c r="AK8" s="5">
        <v>0</v>
      </c>
      <c r="AL8" s="5">
        <v>0</v>
      </c>
      <c r="AM8" s="5">
        <v>0</v>
      </c>
      <c r="AN8" s="5">
        <v>0</v>
      </c>
      <c r="AO8" s="5">
        <v>0</v>
      </c>
      <c r="AP8" s="5">
        <v>0</v>
      </c>
      <c r="AQ8" s="5">
        <v>0</v>
      </c>
      <c r="AR8" s="5">
        <v>83181.740000000005</v>
      </c>
      <c r="AS8" s="5">
        <v>5249.6399999999994</v>
      </c>
      <c r="AT8" s="5">
        <v>0</v>
      </c>
      <c r="AU8" s="5">
        <v>4880763.589999998</v>
      </c>
      <c r="AV8" s="5">
        <v>75454.919999999984</v>
      </c>
      <c r="AW8" s="5">
        <v>515506.72</v>
      </c>
      <c r="AX8" s="5">
        <v>5471725.2299999967</v>
      </c>
      <c r="AY8" s="5">
        <v>863157.00999999978</v>
      </c>
      <c r="AZ8" s="5">
        <v>4831.4800000000014</v>
      </c>
      <c r="BA8" s="5">
        <v>94.38000000000001</v>
      </c>
      <c r="BB8" s="5">
        <v>118.33999999999997</v>
      </c>
      <c r="BC8" s="5">
        <v>0</v>
      </c>
      <c r="BD8" s="5">
        <v>3335.81</v>
      </c>
      <c r="BE8" s="5">
        <v>42.980000000000004</v>
      </c>
      <c r="BF8" s="5">
        <v>0</v>
      </c>
      <c r="BG8" s="5">
        <v>871579.99999999942</v>
      </c>
      <c r="BH8" s="5">
        <v>0</v>
      </c>
      <c r="BI8" s="5">
        <v>0</v>
      </c>
      <c r="BJ8" s="5">
        <v>0</v>
      </c>
      <c r="BK8" s="5">
        <v>6343305.2299999986</v>
      </c>
      <c r="BL8" s="5">
        <v>6343305.2299999986</v>
      </c>
      <c r="BM8" s="5">
        <v>0</v>
      </c>
      <c r="BN8" s="5">
        <v>397980.56000000017</v>
      </c>
      <c r="BO8" s="5">
        <v>0</v>
      </c>
      <c r="BP8" s="5">
        <v>0</v>
      </c>
      <c r="BQ8" s="216">
        <v>45351</v>
      </c>
      <c r="BR8" s="5">
        <v>719723249.09000003</v>
      </c>
      <c r="BS8" s="5">
        <v>3739</v>
      </c>
      <c r="BT8" s="5">
        <v>3474341.62</v>
      </c>
      <c r="BU8" s="5">
        <v>19</v>
      </c>
      <c r="BV8" s="5">
        <v>709984.85</v>
      </c>
      <c r="BW8" s="5">
        <v>8</v>
      </c>
      <c r="BX8" s="5">
        <v>177091.55</v>
      </c>
      <c r="BY8" s="5">
        <v>2</v>
      </c>
      <c r="BZ8" s="5">
        <v>0</v>
      </c>
      <c r="CA8" s="5">
        <v>0</v>
      </c>
      <c r="CB8" s="5">
        <v>0</v>
      </c>
      <c r="CC8" s="5">
        <v>0</v>
      </c>
      <c r="CD8" s="5">
        <v>0</v>
      </c>
      <c r="CE8" s="5">
        <v>0</v>
      </c>
      <c r="CF8" s="5">
        <v>3832111.27</v>
      </c>
      <c r="CG8" s="5">
        <v>0</v>
      </c>
      <c r="CH8" s="5">
        <v>0</v>
      </c>
      <c r="CI8" s="726">
        <v>45473</v>
      </c>
      <c r="CJ8" t="s">
        <v>264</v>
      </c>
      <c r="CK8" t="s">
        <v>265</v>
      </c>
      <c r="CL8" s="5">
        <v>190153.81314262465</v>
      </c>
      <c r="CM8" s="732"/>
      <c r="CN8" s="5"/>
    </row>
    <row r="9" spans="1:92" x14ac:dyDescent="0.25">
      <c r="A9" s="216">
        <v>45412</v>
      </c>
      <c r="B9" t="s">
        <v>899</v>
      </c>
      <c r="C9" t="s">
        <v>869</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5">
        <v>0</v>
      </c>
      <c r="AT9" s="5">
        <v>0</v>
      </c>
      <c r="AU9" s="5">
        <v>0</v>
      </c>
      <c r="AV9" s="5">
        <v>0</v>
      </c>
      <c r="AW9" s="5">
        <v>0</v>
      </c>
      <c r="AX9" s="5">
        <v>0</v>
      </c>
      <c r="AY9" s="5">
        <v>0</v>
      </c>
      <c r="AZ9" s="5">
        <v>0</v>
      </c>
      <c r="BA9" s="5">
        <v>0</v>
      </c>
      <c r="BB9" s="5">
        <v>0</v>
      </c>
      <c r="BC9" s="5">
        <v>0</v>
      </c>
      <c r="BD9" s="5">
        <v>0</v>
      </c>
      <c r="BE9" s="5">
        <v>0</v>
      </c>
      <c r="BF9" s="5">
        <v>0</v>
      </c>
      <c r="BG9" s="5">
        <v>0</v>
      </c>
      <c r="BH9" s="5">
        <v>0</v>
      </c>
      <c r="BI9" s="5">
        <v>0</v>
      </c>
      <c r="BK9" s="5">
        <v>0</v>
      </c>
      <c r="BL9" s="5">
        <v>0</v>
      </c>
      <c r="BM9" s="5">
        <v>0</v>
      </c>
      <c r="BN9" s="5">
        <v>0</v>
      </c>
      <c r="BO9" s="5">
        <v>0</v>
      </c>
      <c r="BP9" s="5">
        <v>0</v>
      </c>
      <c r="BQ9" s="216">
        <v>45322</v>
      </c>
      <c r="BR9" s="5">
        <v>726618592.59000003</v>
      </c>
      <c r="BS9" s="5">
        <v>3767</v>
      </c>
      <c r="BT9" s="5">
        <v>4811753.3499999996</v>
      </c>
      <c r="BU9" s="5">
        <v>19</v>
      </c>
      <c r="BV9" s="5">
        <v>1267152.06</v>
      </c>
      <c r="BW9" s="5">
        <v>7</v>
      </c>
      <c r="BX9" s="5">
        <v>0</v>
      </c>
      <c r="BY9" s="5">
        <v>0</v>
      </c>
      <c r="BZ9" s="5">
        <v>0</v>
      </c>
      <c r="CA9" s="5">
        <v>0</v>
      </c>
      <c r="CB9" s="5">
        <v>0</v>
      </c>
      <c r="CC9" s="5">
        <v>0</v>
      </c>
      <c r="CD9" s="5">
        <v>0</v>
      </c>
      <c r="CE9" s="5">
        <v>0</v>
      </c>
      <c r="CF9" s="5">
        <v>3837031.38</v>
      </c>
      <c r="CG9" s="5">
        <v>0</v>
      </c>
      <c r="CH9" s="932">
        <v>0</v>
      </c>
      <c r="CI9" s="726">
        <v>45473</v>
      </c>
      <c r="CJ9" t="s">
        <v>266</v>
      </c>
      <c r="CK9" t="s">
        <v>267</v>
      </c>
      <c r="CL9" s="5">
        <v>1.4406073240254667E-2</v>
      </c>
      <c r="CM9" s="732"/>
      <c r="CN9" s="5"/>
    </row>
    <row r="10" spans="1:92" x14ac:dyDescent="0.25">
      <c r="A10" s="216">
        <v>45382</v>
      </c>
      <c r="B10" t="s">
        <v>899</v>
      </c>
      <c r="C10" t="s">
        <v>868</v>
      </c>
      <c r="D10" s="5">
        <v>724084667.10999954</v>
      </c>
      <c r="E10" s="5">
        <v>0</v>
      </c>
      <c r="F10" s="5">
        <v>4929820.2499999972</v>
      </c>
      <c r="G10" s="5">
        <v>1371710.64</v>
      </c>
      <c r="H10" s="5">
        <v>0</v>
      </c>
      <c r="I10" s="5">
        <v>1268.2</v>
      </c>
      <c r="J10" s="5">
        <v>0</v>
      </c>
      <c r="K10" s="5">
        <v>0</v>
      </c>
      <c r="L10" s="5">
        <v>0</v>
      </c>
      <c r="M10" s="5">
        <v>0</v>
      </c>
      <c r="N10" s="5">
        <v>0</v>
      </c>
      <c r="O10" s="5">
        <v>0</v>
      </c>
      <c r="P10" s="5">
        <v>717784404.41999996</v>
      </c>
      <c r="Q10" s="5">
        <v>86286.680000000022</v>
      </c>
      <c r="R10" s="5">
        <v>6989.1299999999992</v>
      </c>
      <c r="S10" s="5">
        <v>0</v>
      </c>
      <c r="T10" s="5">
        <v>70299.989999999962</v>
      </c>
      <c r="U10" s="5">
        <v>4775.9099999999989</v>
      </c>
      <c r="V10" s="5">
        <v>0</v>
      </c>
      <c r="W10" s="5">
        <v>72540.579999999973</v>
      </c>
      <c r="X10" s="5">
        <v>6105.58</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84046.089999999967</v>
      </c>
      <c r="AS10" s="5">
        <v>5659.4600000000009</v>
      </c>
      <c r="AT10" s="5">
        <v>0</v>
      </c>
      <c r="AU10" s="5">
        <v>4859520.2599999951</v>
      </c>
      <c r="AV10" s="5">
        <v>72540.579999999973</v>
      </c>
      <c r="AW10" s="5">
        <v>1371710.64</v>
      </c>
      <c r="AX10" s="5">
        <v>6303771.4799999986</v>
      </c>
      <c r="AY10" s="5">
        <v>868476.57</v>
      </c>
      <c r="AZ10" s="5">
        <v>6105.58</v>
      </c>
      <c r="BA10" s="5">
        <v>93.37</v>
      </c>
      <c r="BB10" s="5">
        <v>98.68</v>
      </c>
      <c r="BC10" s="5">
        <v>0</v>
      </c>
      <c r="BD10" s="5">
        <v>9027.6500000000015</v>
      </c>
      <c r="BE10" s="5">
        <v>57.430000000000007</v>
      </c>
      <c r="BF10" s="5">
        <v>0</v>
      </c>
      <c r="BG10" s="5">
        <v>883859.28</v>
      </c>
      <c r="BH10" s="5">
        <v>0</v>
      </c>
      <c r="BI10" s="5">
        <v>0</v>
      </c>
      <c r="BJ10" s="5">
        <v>0</v>
      </c>
      <c r="BK10" s="5">
        <v>7187630.7599999998</v>
      </c>
      <c r="BL10" s="5">
        <v>7187630.7599999998</v>
      </c>
      <c r="BM10" s="5">
        <v>419128.93</v>
      </c>
      <c r="BN10" s="5">
        <v>419128.93</v>
      </c>
      <c r="BO10" s="5">
        <v>0</v>
      </c>
      <c r="BP10" s="5">
        <v>0</v>
      </c>
      <c r="BQ10" s="216">
        <v>45291</v>
      </c>
      <c r="BR10" s="5">
        <v>735712836.07000005</v>
      </c>
      <c r="BS10" s="5">
        <v>3800</v>
      </c>
      <c r="BT10" s="5">
        <v>2818782.74</v>
      </c>
      <c r="BU10" s="5">
        <v>16</v>
      </c>
      <c r="BV10" s="5">
        <v>654738.47</v>
      </c>
      <c r="BW10" s="5">
        <v>2</v>
      </c>
      <c r="BX10" s="5">
        <v>0</v>
      </c>
      <c r="BY10" s="5">
        <v>0</v>
      </c>
      <c r="BZ10" s="5">
        <v>0</v>
      </c>
      <c r="CA10" s="5">
        <v>0</v>
      </c>
      <c r="CB10" s="5">
        <v>0</v>
      </c>
      <c r="CC10" s="5">
        <v>0</v>
      </c>
      <c r="CD10" s="5">
        <v>0</v>
      </c>
      <c r="CE10" s="5">
        <v>1717.46</v>
      </c>
      <c r="CF10" s="5">
        <v>3879102.52</v>
      </c>
      <c r="CG10" s="5">
        <v>0</v>
      </c>
      <c r="CH10" s="5">
        <v>1717.46</v>
      </c>
      <c r="CI10" s="726">
        <v>45473</v>
      </c>
      <c r="CJ10" t="s">
        <v>268</v>
      </c>
      <c r="CK10" t="s">
        <v>269</v>
      </c>
      <c r="CL10" s="5">
        <v>234.58654851385245</v>
      </c>
      <c r="CM10" s="732"/>
      <c r="CN10" s="5"/>
    </row>
    <row r="11" spans="1:92" x14ac:dyDescent="0.25">
      <c r="A11" s="216">
        <v>45382</v>
      </c>
      <c r="B11" t="s">
        <v>899</v>
      </c>
      <c r="C11" t="s">
        <v>869</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5">
        <v>0</v>
      </c>
      <c r="AW11" s="5">
        <v>0</v>
      </c>
      <c r="AX11" s="5">
        <v>0</v>
      </c>
      <c r="AY11" s="5">
        <v>0</v>
      </c>
      <c r="AZ11" s="5">
        <v>0</v>
      </c>
      <c r="BA11" s="5">
        <v>0</v>
      </c>
      <c r="BB11" s="5">
        <v>0</v>
      </c>
      <c r="BC11" s="5">
        <v>0</v>
      </c>
      <c r="BD11" s="5">
        <v>0</v>
      </c>
      <c r="BE11" s="5">
        <v>0</v>
      </c>
      <c r="BF11" s="5">
        <v>0</v>
      </c>
      <c r="BG11" s="5">
        <v>0</v>
      </c>
      <c r="BH11" s="5">
        <v>0</v>
      </c>
      <c r="BI11" s="5">
        <v>0</v>
      </c>
      <c r="BJ11" s="5">
        <v>0</v>
      </c>
      <c r="BK11" s="5">
        <v>0</v>
      </c>
      <c r="BL11" s="5">
        <v>0</v>
      </c>
      <c r="BM11" s="5">
        <v>0</v>
      </c>
      <c r="BN11" s="5">
        <v>0</v>
      </c>
      <c r="BO11" s="5">
        <v>0</v>
      </c>
      <c r="BP11" s="5">
        <v>0</v>
      </c>
      <c r="BQ11" s="216">
        <v>45260</v>
      </c>
      <c r="BR11" s="5">
        <v>742196949.74000001</v>
      </c>
      <c r="BS11" s="5">
        <v>3832</v>
      </c>
      <c r="BT11" s="5">
        <v>1801102.29</v>
      </c>
      <c r="BU11" s="5">
        <v>10</v>
      </c>
      <c r="BV11" s="5">
        <v>801737.43</v>
      </c>
      <c r="BW11" s="5">
        <v>5</v>
      </c>
      <c r="BX11" s="5">
        <v>0</v>
      </c>
      <c r="BY11" s="5">
        <v>0</v>
      </c>
      <c r="BZ11" s="5">
        <v>0</v>
      </c>
      <c r="CA11" s="5">
        <v>0</v>
      </c>
      <c r="CB11" s="5">
        <v>0</v>
      </c>
      <c r="CC11" s="5">
        <v>0</v>
      </c>
      <c r="CD11" s="5">
        <v>0</v>
      </c>
      <c r="CE11" s="5">
        <v>0</v>
      </c>
      <c r="CF11" s="5">
        <v>3888899.28</v>
      </c>
      <c r="CG11" s="5">
        <v>0</v>
      </c>
      <c r="CH11" s="5">
        <v>0</v>
      </c>
      <c r="CI11" s="726">
        <v>45473</v>
      </c>
      <c r="CJ11" t="s">
        <v>270</v>
      </c>
      <c r="CK11" t="s">
        <v>271</v>
      </c>
      <c r="CL11" s="5">
        <v>58.885964485989916</v>
      </c>
      <c r="CM11" s="732"/>
      <c r="CN11" s="5"/>
    </row>
    <row r="12" spans="1:92" x14ac:dyDescent="0.25">
      <c r="A12" s="216">
        <v>45351</v>
      </c>
      <c r="B12" t="s">
        <v>899</v>
      </c>
      <c r="C12" t="s">
        <v>868</v>
      </c>
      <c r="D12" s="5">
        <v>732697498</v>
      </c>
      <c r="E12" s="5">
        <v>0</v>
      </c>
      <c r="F12" s="5">
        <v>4937474.88</v>
      </c>
      <c r="G12" s="5">
        <v>3676512.91</v>
      </c>
      <c r="H12" s="5">
        <v>0</v>
      </c>
      <c r="I12" s="5">
        <v>1156.9000000000001</v>
      </c>
      <c r="J12" s="5">
        <v>0</v>
      </c>
      <c r="K12" s="5">
        <v>0</v>
      </c>
      <c r="L12" s="5">
        <v>0</v>
      </c>
      <c r="M12" s="5">
        <v>0</v>
      </c>
      <c r="N12" s="5">
        <v>0</v>
      </c>
      <c r="O12" s="5">
        <v>0</v>
      </c>
      <c r="P12" s="5">
        <v>724084667.11000001</v>
      </c>
      <c r="Q12" s="5">
        <v>75111.850000000006</v>
      </c>
      <c r="R12" s="5">
        <v>8781.85</v>
      </c>
      <c r="S12" s="5">
        <v>0</v>
      </c>
      <c r="T12" s="5">
        <v>75747.429999999993</v>
      </c>
      <c r="U12" s="5">
        <v>5365.94</v>
      </c>
      <c r="V12" s="5">
        <v>0</v>
      </c>
      <c r="W12" s="5">
        <v>64572.6</v>
      </c>
      <c r="X12" s="5">
        <v>7158.66</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86286.68</v>
      </c>
      <c r="AS12" s="5">
        <v>6989.13</v>
      </c>
      <c r="AT12" s="5">
        <v>0</v>
      </c>
      <c r="AU12" s="5">
        <v>4861727.45</v>
      </c>
      <c r="AV12" s="5">
        <v>64572.6</v>
      </c>
      <c r="AW12" s="5">
        <v>3676512.91</v>
      </c>
      <c r="AX12" s="5">
        <v>8602812.9600000009</v>
      </c>
      <c r="AY12" s="5">
        <v>875993.2</v>
      </c>
      <c r="AZ12" s="5">
        <v>7158.66</v>
      </c>
      <c r="BA12" s="5">
        <v>104.95</v>
      </c>
      <c r="BB12" s="5">
        <v>115.6</v>
      </c>
      <c r="BC12" s="5">
        <v>0</v>
      </c>
      <c r="BD12" s="5">
        <v>1176.25</v>
      </c>
      <c r="BE12" s="5">
        <v>4.59</v>
      </c>
      <c r="BF12" s="5">
        <v>0</v>
      </c>
      <c r="BG12" s="5">
        <v>884553.25</v>
      </c>
      <c r="BH12" s="5">
        <v>0</v>
      </c>
      <c r="BI12" s="5">
        <v>0</v>
      </c>
      <c r="BJ12" s="5">
        <v>0</v>
      </c>
      <c r="BK12" s="5">
        <v>9487366.2100000009</v>
      </c>
      <c r="BL12" s="5">
        <v>9487366.2100000009</v>
      </c>
      <c r="BM12" s="5">
        <v>396472.88</v>
      </c>
      <c r="BN12" s="5">
        <v>396472.88</v>
      </c>
      <c r="BO12" s="5">
        <v>0</v>
      </c>
      <c r="BP12" s="5">
        <v>0</v>
      </c>
      <c r="BQ12" s="216">
        <v>45230</v>
      </c>
      <c r="BR12" s="5">
        <v>751085014.37</v>
      </c>
      <c r="BS12" s="5">
        <v>3847</v>
      </c>
      <c r="BT12" s="5">
        <v>0</v>
      </c>
      <c r="BU12" s="5">
        <v>0</v>
      </c>
      <c r="BV12" s="5">
        <v>0</v>
      </c>
      <c r="BW12" s="5">
        <v>0</v>
      </c>
      <c r="BX12" s="5">
        <v>0</v>
      </c>
      <c r="BY12" s="5">
        <v>0</v>
      </c>
      <c r="BZ12" s="5">
        <v>0</v>
      </c>
      <c r="CA12" s="5">
        <v>0</v>
      </c>
      <c r="CB12" s="5">
        <v>0</v>
      </c>
      <c r="CC12" s="5">
        <v>0</v>
      </c>
      <c r="CD12" s="5">
        <v>0</v>
      </c>
      <c r="CE12" s="5">
        <v>0</v>
      </c>
      <c r="CF12" s="5">
        <v>3893805.59</v>
      </c>
      <c r="CG12" s="5">
        <v>0</v>
      </c>
      <c r="CH12" s="5">
        <v>0</v>
      </c>
      <c r="CI12" s="726">
        <v>45473</v>
      </c>
      <c r="CJ12" t="s">
        <v>272</v>
      </c>
      <c r="CK12" t="s">
        <v>273</v>
      </c>
      <c r="CL12" s="5">
        <v>175.70058402786211</v>
      </c>
      <c r="CM12" s="732"/>
      <c r="CN12" s="5"/>
    </row>
    <row r="13" spans="1:92" x14ac:dyDescent="0.25">
      <c r="A13" s="216">
        <v>45351</v>
      </c>
      <c r="B13" t="s">
        <v>899</v>
      </c>
      <c r="C13" t="s">
        <v>869</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0</v>
      </c>
      <c r="AW13" s="5">
        <v>0</v>
      </c>
      <c r="AX13" s="5">
        <v>0</v>
      </c>
      <c r="AY13" s="5">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216"/>
      <c r="BV13" s="5"/>
      <c r="BW13" s="5"/>
      <c r="BX13" s="5"/>
      <c r="BY13" s="5"/>
      <c r="BZ13" s="5"/>
      <c r="CA13" s="5"/>
      <c r="CI13" s="726">
        <v>45473</v>
      </c>
      <c r="CJ13" t="s">
        <v>274</v>
      </c>
      <c r="CK13" t="s">
        <v>275</v>
      </c>
      <c r="CL13" s="5">
        <v>0.79077717588823737</v>
      </c>
      <c r="CM13" s="732"/>
      <c r="CN13" s="5"/>
    </row>
    <row r="14" spans="1:92" x14ac:dyDescent="0.25">
      <c r="A14" s="216">
        <v>45322</v>
      </c>
      <c r="B14" t="s">
        <v>899</v>
      </c>
      <c r="C14" t="s">
        <v>868</v>
      </c>
      <c r="D14" s="5">
        <v>739186357.27999997</v>
      </c>
      <c r="E14" s="5">
        <v>0</v>
      </c>
      <c r="F14" s="5">
        <v>5002402.3099999996</v>
      </c>
      <c r="G14" s="5">
        <v>1486537.02</v>
      </c>
      <c r="H14" s="5">
        <v>0</v>
      </c>
      <c r="I14" s="5">
        <v>80.05</v>
      </c>
      <c r="J14" s="5">
        <v>0</v>
      </c>
      <c r="K14" s="5">
        <v>0</v>
      </c>
      <c r="L14" s="5">
        <v>0</v>
      </c>
      <c r="M14" s="5">
        <v>0</v>
      </c>
      <c r="N14" s="5">
        <v>0</v>
      </c>
      <c r="O14" s="5">
        <v>0</v>
      </c>
      <c r="P14" s="5">
        <v>732697498</v>
      </c>
      <c r="Q14" s="5">
        <v>92529.64</v>
      </c>
      <c r="R14" s="5">
        <v>10202.25</v>
      </c>
      <c r="S14" s="5">
        <v>0</v>
      </c>
      <c r="T14" s="5">
        <v>69781.22</v>
      </c>
      <c r="U14" s="5">
        <v>8565.07</v>
      </c>
      <c r="V14" s="5">
        <v>0</v>
      </c>
      <c r="W14" s="5">
        <v>87199.01</v>
      </c>
      <c r="X14" s="5">
        <v>9985.4699999999993</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75111.850000000006</v>
      </c>
      <c r="AS14" s="5">
        <v>8781.85</v>
      </c>
      <c r="AT14" s="5">
        <v>0</v>
      </c>
      <c r="AU14" s="5">
        <v>4932621.09</v>
      </c>
      <c r="AV14" s="5">
        <v>87199.01</v>
      </c>
      <c r="AW14" s="5">
        <v>1486537.02</v>
      </c>
      <c r="AX14" s="5">
        <v>6506357.1200000001</v>
      </c>
      <c r="AY14" s="5">
        <v>886080.03</v>
      </c>
      <c r="AZ14" s="5">
        <v>9985.4699999999993</v>
      </c>
      <c r="BA14" s="5">
        <v>108.96</v>
      </c>
      <c r="BB14" s="5">
        <v>148.88</v>
      </c>
      <c r="BC14" s="5">
        <v>0</v>
      </c>
      <c r="BD14" s="5">
        <v>7187.84</v>
      </c>
      <c r="BE14" s="5">
        <v>126.23</v>
      </c>
      <c r="BF14" s="5">
        <v>0</v>
      </c>
      <c r="BG14" s="5">
        <v>903637.41</v>
      </c>
      <c r="BH14" s="5">
        <v>0</v>
      </c>
      <c r="BI14" s="5">
        <v>0</v>
      </c>
      <c r="BJ14" s="5">
        <v>0</v>
      </c>
      <c r="BK14" s="5">
        <v>7409994.5300000003</v>
      </c>
      <c r="BL14" s="5">
        <v>7409994.5300000003</v>
      </c>
      <c r="BM14" s="5">
        <v>425064.34</v>
      </c>
      <c r="BN14" s="5">
        <v>425064.34</v>
      </c>
      <c r="BO14" s="5">
        <v>0</v>
      </c>
      <c r="BP14" s="5">
        <v>0</v>
      </c>
      <c r="BQ14" s="216"/>
      <c r="BV14" s="5"/>
      <c r="BW14" s="5"/>
      <c r="BX14" s="5"/>
      <c r="BY14" s="5"/>
      <c r="BZ14" s="5"/>
      <c r="CA14" s="5"/>
      <c r="CI14" s="726">
        <v>45473</v>
      </c>
      <c r="CJ14" t="s">
        <v>276</v>
      </c>
      <c r="CK14" t="s">
        <v>870</v>
      </c>
      <c r="CL14" s="5">
        <v>0.61381829314976211</v>
      </c>
      <c r="CM14" s="732"/>
      <c r="CN14" s="5"/>
    </row>
    <row r="15" spans="1:92" x14ac:dyDescent="0.25">
      <c r="A15" s="216">
        <v>45322</v>
      </c>
      <c r="B15" t="s">
        <v>899</v>
      </c>
      <c r="C15" t="s">
        <v>869</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5">
        <v>0</v>
      </c>
      <c r="AT15" s="5">
        <v>0</v>
      </c>
      <c r="AU15" s="5">
        <v>0</v>
      </c>
      <c r="AV15" s="5">
        <v>0</v>
      </c>
      <c r="AW15" s="5">
        <v>0</v>
      </c>
      <c r="AX15" s="5">
        <v>0</v>
      </c>
      <c r="AY15" s="5">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216"/>
      <c r="BV15" s="5"/>
      <c r="BW15" s="5"/>
      <c r="BX15" s="5"/>
      <c r="BY15" s="5"/>
      <c r="BZ15" s="5"/>
      <c r="CA15" s="5"/>
      <c r="CI15" s="726">
        <v>45473</v>
      </c>
      <c r="CJ15" t="s">
        <v>278</v>
      </c>
      <c r="CK15" t="s">
        <v>1248</v>
      </c>
      <c r="CL15" s="5">
        <v>0.46096446272599251</v>
      </c>
      <c r="CM15" s="732"/>
      <c r="CN15" s="5"/>
    </row>
    <row r="16" spans="1:92" x14ac:dyDescent="0.25">
      <c r="A16" s="216">
        <v>45291</v>
      </c>
      <c r="B16" t="s">
        <v>899</v>
      </c>
      <c r="C16" t="s">
        <v>868</v>
      </c>
      <c r="D16" s="5">
        <v>744799789.46000004</v>
      </c>
      <c r="E16" s="5">
        <v>0</v>
      </c>
      <c r="F16" s="5">
        <v>4997383.97</v>
      </c>
      <c r="G16" s="5">
        <v>616128.16</v>
      </c>
      <c r="H16" s="5">
        <v>0</v>
      </c>
      <c r="I16" s="5">
        <v>79.95</v>
      </c>
      <c r="J16" s="5">
        <v>0</v>
      </c>
      <c r="K16" s="5">
        <v>0</v>
      </c>
      <c r="L16" s="5">
        <v>0</v>
      </c>
      <c r="M16" s="5">
        <v>0</v>
      </c>
      <c r="N16" s="5">
        <v>0</v>
      </c>
      <c r="O16" s="5">
        <v>0</v>
      </c>
      <c r="P16" s="5">
        <v>739186357.27999997</v>
      </c>
      <c r="Q16" s="5">
        <v>66580.289999999994</v>
      </c>
      <c r="R16" s="5">
        <v>8602.0499999999993</v>
      </c>
      <c r="S16" s="5">
        <v>0</v>
      </c>
      <c r="T16" s="5">
        <v>85973.3</v>
      </c>
      <c r="U16" s="5">
        <v>9514.19</v>
      </c>
      <c r="V16" s="5">
        <v>0</v>
      </c>
      <c r="W16" s="5">
        <v>60023.95</v>
      </c>
      <c r="X16" s="5">
        <v>7913.99</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92529.64</v>
      </c>
      <c r="AS16" s="5">
        <v>10202.25</v>
      </c>
      <c r="AT16" s="5">
        <v>0</v>
      </c>
      <c r="AU16" s="5">
        <v>4911410.67</v>
      </c>
      <c r="AV16" s="5">
        <v>60023.95</v>
      </c>
      <c r="AW16" s="5">
        <v>616128.16</v>
      </c>
      <c r="AX16" s="5">
        <v>5587562.7800000003</v>
      </c>
      <c r="AY16" s="5">
        <v>890581.77</v>
      </c>
      <c r="AZ16" s="5">
        <v>7913.99</v>
      </c>
      <c r="BA16" s="5">
        <v>51.69</v>
      </c>
      <c r="BB16" s="5">
        <v>73.59</v>
      </c>
      <c r="BC16" s="5">
        <v>0</v>
      </c>
      <c r="BD16" s="5">
        <v>3663.44</v>
      </c>
      <c r="BE16" s="5">
        <v>206.23</v>
      </c>
      <c r="BF16" s="5">
        <v>0</v>
      </c>
      <c r="BG16" s="5">
        <v>902490.71</v>
      </c>
      <c r="BH16" s="5">
        <v>0</v>
      </c>
      <c r="BI16" s="5">
        <v>0</v>
      </c>
      <c r="BJ16" s="5">
        <v>0</v>
      </c>
      <c r="BK16" s="5">
        <v>6490053.4900000002</v>
      </c>
      <c r="BL16" s="5">
        <v>6490053.4900000002</v>
      </c>
      <c r="BM16" s="5">
        <v>433477.01</v>
      </c>
      <c r="BN16" s="5">
        <v>433477.01</v>
      </c>
      <c r="BO16" s="5">
        <v>0</v>
      </c>
      <c r="BP16" s="5">
        <v>0</v>
      </c>
      <c r="BQ16" s="216"/>
      <c r="BV16" s="5"/>
      <c r="BW16" s="5"/>
      <c r="BX16" s="5"/>
      <c r="BY16" s="5"/>
      <c r="BZ16" s="5"/>
      <c r="CA16" s="5"/>
      <c r="CI16" s="726">
        <v>45473</v>
      </c>
      <c r="CJ16" t="s">
        <v>279</v>
      </c>
      <c r="CK16" t="s">
        <v>282</v>
      </c>
      <c r="CL16" s="5">
        <v>0.1468844062395227</v>
      </c>
      <c r="CM16" s="732"/>
      <c r="CN16" s="5"/>
    </row>
    <row r="17" spans="1:92" x14ac:dyDescent="0.25">
      <c r="A17" s="216">
        <v>45291</v>
      </c>
      <c r="B17" t="s">
        <v>899</v>
      </c>
      <c r="C17" t="s">
        <v>869</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5">
        <v>0</v>
      </c>
      <c r="AW17" s="5">
        <v>0</v>
      </c>
      <c r="AX17" s="5">
        <v>0</v>
      </c>
      <c r="AY17" s="5">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216"/>
      <c r="BV17" s="5"/>
      <c r="BW17" s="5"/>
      <c r="BX17" s="5"/>
      <c r="BY17" s="5"/>
      <c r="BZ17" s="5"/>
      <c r="CA17" s="5"/>
      <c r="CI17" s="726">
        <v>45473</v>
      </c>
      <c r="CJ17" t="s">
        <v>280</v>
      </c>
      <c r="CK17" t="s">
        <v>284</v>
      </c>
      <c r="CL17" s="5">
        <v>4.2086479011770171E-2</v>
      </c>
      <c r="CM17" s="732"/>
      <c r="CN17" s="5"/>
    </row>
    <row r="18" spans="1:92" x14ac:dyDescent="0.25">
      <c r="A18" s="216">
        <v>45260</v>
      </c>
      <c r="B18" t="s">
        <v>899</v>
      </c>
      <c r="C18" t="s">
        <v>868</v>
      </c>
      <c r="D18" s="5">
        <v>751085014.37</v>
      </c>
      <c r="E18" s="5">
        <v>0</v>
      </c>
      <c r="F18" s="5">
        <v>4999969.28</v>
      </c>
      <c r="G18" s="5">
        <v>1285255.6299999999</v>
      </c>
      <c r="H18" s="5">
        <v>0</v>
      </c>
      <c r="I18" s="5">
        <v>0</v>
      </c>
      <c r="J18" s="5">
        <v>0</v>
      </c>
      <c r="K18" s="5">
        <v>0</v>
      </c>
      <c r="L18" s="5">
        <v>0</v>
      </c>
      <c r="M18" s="5">
        <v>0</v>
      </c>
      <c r="N18" s="5">
        <v>0</v>
      </c>
      <c r="O18" s="5">
        <v>0</v>
      </c>
      <c r="P18" s="5">
        <v>744799789.46000004</v>
      </c>
      <c r="Q18" s="5">
        <v>0</v>
      </c>
      <c r="R18" s="5">
        <v>0</v>
      </c>
      <c r="S18" s="5">
        <v>0</v>
      </c>
      <c r="T18" s="5">
        <v>66580.289999999994</v>
      </c>
      <c r="U18" s="5">
        <v>8602.0499999999993</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66580.289999999994</v>
      </c>
      <c r="AS18" s="5">
        <v>8602.0499999999993</v>
      </c>
      <c r="AT18" s="5">
        <v>0</v>
      </c>
      <c r="AU18" s="5">
        <v>4933388.99</v>
      </c>
      <c r="AV18" s="5">
        <v>0</v>
      </c>
      <c r="AW18" s="5">
        <v>1285255.6299999999</v>
      </c>
      <c r="AX18" s="5">
        <v>6218644.6200000001</v>
      </c>
      <c r="AY18" s="5">
        <v>893922.74</v>
      </c>
      <c r="AZ18" s="5">
        <v>0</v>
      </c>
      <c r="BA18" s="5">
        <v>0</v>
      </c>
      <c r="BB18" s="5">
        <v>0</v>
      </c>
      <c r="BC18" s="5">
        <v>0</v>
      </c>
      <c r="BD18" s="5">
        <v>8208.68</v>
      </c>
      <c r="BE18" s="5">
        <v>349.35</v>
      </c>
      <c r="BF18" s="5">
        <v>0</v>
      </c>
      <c r="BG18" s="5">
        <v>902480.77</v>
      </c>
      <c r="BH18" s="5">
        <v>0</v>
      </c>
      <c r="BI18" s="5">
        <v>0</v>
      </c>
      <c r="BJ18" s="5">
        <v>0</v>
      </c>
      <c r="BK18" s="5">
        <v>7121125.3899999997</v>
      </c>
      <c r="BL18" s="5">
        <v>7121125.3899999997</v>
      </c>
      <c r="BM18" s="5">
        <v>418685.79</v>
      </c>
      <c r="BN18" s="5">
        <v>418685.79</v>
      </c>
      <c r="BO18" s="5">
        <v>0</v>
      </c>
      <c r="BP18" s="5">
        <v>0</v>
      </c>
      <c r="BQ18" s="216"/>
      <c r="BV18" s="5"/>
      <c r="BW18" s="5"/>
      <c r="BX18" s="5"/>
      <c r="BY18" s="5"/>
      <c r="BZ18" s="5"/>
      <c r="CA18" s="5"/>
      <c r="CI18" s="726">
        <v>45473</v>
      </c>
      <c r="CJ18" t="s">
        <v>281</v>
      </c>
      <c r="CK18" t="s">
        <v>285</v>
      </c>
      <c r="CL18" s="5">
        <v>9.9268875161226164E-2</v>
      </c>
      <c r="CM18" s="732"/>
      <c r="CN18" s="5"/>
    </row>
    <row r="19" spans="1:92" x14ac:dyDescent="0.25">
      <c r="A19" s="216">
        <v>45260</v>
      </c>
      <c r="B19" t="s">
        <v>899</v>
      </c>
      <c r="C19" t="s">
        <v>869</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5">
        <v>0</v>
      </c>
      <c r="AW19" s="5">
        <v>0</v>
      </c>
      <c r="AX19" s="5">
        <v>0</v>
      </c>
      <c r="AY19" s="5">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216"/>
      <c r="BV19" s="5"/>
      <c r="BW19" s="5"/>
      <c r="BX19" s="5"/>
      <c r="BY19" s="5"/>
      <c r="BZ19" s="5"/>
      <c r="CA19" s="5"/>
      <c r="CI19" s="726">
        <v>45473</v>
      </c>
      <c r="CJ19" t="s">
        <v>283</v>
      </c>
      <c r="CK19" t="s">
        <v>286</v>
      </c>
      <c r="CL19" s="5">
        <v>0.71176023958748091</v>
      </c>
      <c r="CM19" s="732"/>
      <c r="CN19" s="5"/>
    </row>
    <row r="20" spans="1:92" x14ac:dyDescent="0.25">
      <c r="A20" s="216">
        <v>45230</v>
      </c>
      <c r="B20" t="s">
        <v>899</v>
      </c>
      <c r="C20" t="s">
        <v>868</v>
      </c>
      <c r="D20" s="5">
        <v>0</v>
      </c>
      <c r="E20" s="5">
        <v>751085014.37</v>
      </c>
      <c r="F20" s="5">
        <v>0</v>
      </c>
      <c r="G20" s="5">
        <v>0</v>
      </c>
      <c r="H20" s="5">
        <v>0</v>
      </c>
      <c r="I20" s="5">
        <v>0</v>
      </c>
      <c r="J20" s="5">
        <v>0</v>
      </c>
      <c r="K20" s="5">
        <v>0</v>
      </c>
      <c r="L20" s="5">
        <v>0</v>
      </c>
      <c r="M20" s="5">
        <v>0</v>
      </c>
      <c r="N20" s="5">
        <v>0</v>
      </c>
      <c r="O20" s="5">
        <v>0</v>
      </c>
      <c r="P20" s="5">
        <v>751085014.37</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5">
        <v>0</v>
      </c>
      <c r="AW20" s="5">
        <v>0</v>
      </c>
      <c r="AX20" s="5">
        <v>0</v>
      </c>
      <c r="AY20" s="5">
        <v>0</v>
      </c>
      <c r="AZ20" s="5">
        <v>0</v>
      </c>
      <c r="BA20" s="5">
        <v>0</v>
      </c>
      <c r="BB20" s="5">
        <v>0</v>
      </c>
      <c r="BC20" s="5">
        <v>0</v>
      </c>
      <c r="BD20" s="5">
        <v>0</v>
      </c>
      <c r="BE20" s="5">
        <v>0</v>
      </c>
      <c r="BF20" s="5">
        <v>0</v>
      </c>
      <c r="BG20" s="5">
        <v>0</v>
      </c>
      <c r="BH20" s="5">
        <v>0</v>
      </c>
      <c r="BI20" s="5">
        <v>0</v>
      </c>
      <c r="BJ20" s="5">
        <v>0</v>
      </c>
      <c r="BK20" s="5">
        <v>0</v>
      </c>
      <c r="BL20" s="5">
        <v>0</v>
      </c>
      <c r="BM20" s="5">
        <v>474668.81</v>
      </c>
      <c r="BN20" s="5">
        <v>474668.81</v>
      </c>
      <c r="BO20" s="5">
        <v>0</v>
      </c>
      <c r="BP20" s="5">
        <v>0</v>
      </c>
      <c r="BQ20" s="216"/>
      <c r="BV20" s="5"/>
      <c r="BW20" s="5"/>
      <c r="BX20" s="5"/>
      <c r="BY20" s="5"/>
      <c r="BZ20" s="5"/>
      <c r="CA20" s="5"/>
      <c r="CI20" s="726">
        <v>45473</v>
      </c>
      <c r="CJ20" t="s">
        <v>292</v>
      </c>
      <c r="CK20" t="s">
        <v>913</v>
      </c>
      <c r="CL20" s="5">
        <v>1412453.2600000007</v>
      </c>
      <c r="CM20" s="732">
        <v>294</v>
      </c>
      <c r="CN20" s="5">
        <v>39293805.489999995</v>
      </c>
    </row>
    <row r="21" spans="1:92" x14ac:dyDescent="0.25">
      <c r="A21" s="216">
        <v>45230</v>
      </c>
      <c r="B21" t="s">
        <v>899</v>
      </c>
      <c r="C21" t="s">
        <v>869</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5">
        <v>0</v>
      </c>
      <c r="AW21" s="5">
        <v>0</v>
      </c>
      <c r="AX21" s="5">
        <v>0</v>
      </c>
      <c r="AY21" s="5">
        <v>0</v>
      </c>
      <c r="AZ21" s="5">
        <v>0</v>
      </c>
      <c r="BA21" s="5">
        <v>0</v>
      </c>
      <c r="BB21" s="5">
        <v>0</v>
      </c>
      <c r="BC21" s="5">
        <v>0</v>
      </c>
      <c r="BD21" s="5">
        <v>0</v>
      </c>
      <c r="BE21" s="5">
        <v>0</v>
      </c>
      <c r="BF21" s="5">
        <v>0</v>
      </c>
      <c r="BG21" s="5">
        <v>0</v>
      </c>
      <c r="BH21" s="5">
        <v>0</v>
      </c>
      <c r="BI21" s="5">
        <v>0</v>
      </c>
      <c r="BJ21" s="5">
        <v>0</v>
      </c>
      <c r="BK21" s="5">
        <v>0</v>
      </c>
      <c r="BL21" s="5">
        <v>0</v>
      </c>
      <c r="BM21" s="5">
        <v>0</v>
      </c>
      <c r="BN21" s="5">
        <v>0</v>
      </c>
      <c r="BO21" s="5">
        <v>0</v>
      </c>
      <c r="BP21" s="5">
        <v>0</v>
      </c>
      <c r="BQ21" s="216"/>
      <c r="BV21" s="5"/>
      <c r="BW21" s="5"/>
      <c r="BX21" s="5"/>
      <c r="BY21" s="5"/>
      <c r="BZ21" s="5"/>
      <c r="CA21" s="5"/>
      <c r="CI21" s="726">
        <v>45473</v>
      </c>
      <c r="CJ21" t="s">
        <v>293</v>
      </c>
      <c r="CK21" t="s">
        <v>914</v>
      </c>
      <c r="CL21" s="5">
        <v>20286314.530000009</v>
      </c>
      <c r="CM21" s="732">
        <v>739</v>
      </c>
      <c r="CN21" s="5">
        <v>130486056.91000003</v>
      </c>
    </row>
    <row r="22" spans="1:92" x14ac:dyDescent="0.25">
      <c r="BM22" s="5"/>
      <c r="BQ22" s="216"/>
      <c r="BV22" s="5"/>
      <c r="BW22" s="5"/>
      <c r="BX22" s="5"/>
      <c r="BY22" s="5"/>
      <c r="BZ22" s="5"/>
      <c r="CA22" s="5"/>
      <c r="CI22" s="726">
        <v>45473</v>
      </c>
      <c r="CJ22" t="s">
        <v>294</v>
      </c>
      <c r="CK22" t="s">
        <v>915</v>
      </c>
      <c r="CL22" s="5">
        <v>51676047.269999973</v>
      </c>
      <c r="CM22" s="732">
        <v>693</v>
      </c>
      <c r="CN22" s="5">
        <v>123152287.71999998</v>
      </c>
    </row>
    <row r="23" spans="1:92" x14ac:dyDescent="0.25">
      <c r="BM23" s="5"/>
      <c r="BQ23" s="216"/>
      <c r="BV23" s="5"/>
      <c r="BW23" s="5"/>
      <c r="BX23" s="5"/>
      <c r="BY23" s="5"/>
      <c r="BZ23" s="5"/>
      <c r="CA23" s="5"/>
      <c r="CI23" s="726">
        <v>45473</v>
      </c>
      <c r="CJ23" t="s">
        <v>295</v>
      </c>
      <c r="CK23" t="s">
        <v>916</v>
      </c>
      <c r="CL23" s="5">
        <v>193390971.26000011</v>
      </c>
      <c r="CM23" s="732">
        <v>1183</v>
      </c>
      <c r="CN23" s="5">
        <v>290149094.06</v>
      </c>
    </row>
    <row r="24" spans="1:92" x14ac:dyDescent="0.25">
      <c r="BM24" s="5"/>
      <c r="BQ24" s="216"/>
      <c r="BV24" s="5"/>
      <c r="BW24" s="5"/>
      <c r="BX24" s="5"/>
      <c r="BY24" s="5"/>
      <c r="BZ24" s="5"/>
      <c r="CA24" s="5"/>
      <c r="CI24" s="726">
        <v>45473</v>
      </c>
      <c r="CJ24" t="s">
        <v>296</v>
      </c>
      <c r="CK24" t="s">
        <v>917</v>
      </c>
      <c r="CL24" s="5">
        <v>169106648.28000015</v>
      </c>
      <c r="CM24" s="732">
        <v>492</v>
      </c>
      <c r="CN24" s="5">
        <v>216229129.98999998</v>
      </c>
    </row>
    <row r="25" spans="1:92" x14ac:dyDescent="0.25">
      <c r="BM25" s="5"/>
      <c r="BQ25" s="216"/>
      <c r="BV25" s="5"/>
      <c r="BW25" s="5"/>
      <c r="BX25" s="5"/>
      <c r="BY25" s="5"/>
      <c r="BZ25" s="5"/>
      <c r="CA25" s="5"/>
      <c r="CI25" s="726">
        <v>45473</v>
      </c>
      <c r="CJ25" t="s">
        <v>297</v>
      </c>
      <c r="CK25" t="s">
        <v>918</v>
      </c>
      <c r="CL25" s="5">
        <v>141467553.15000004</v>
      </c>
      <c r="CM25" s="732">
        <v>208</v>
      </c>
      <c r="CN25" s="5">
        <v>172025485.85999998</v>
      </c>
    </row>
    <row r="26" spans="1:92" x14ac:dyDescent="0.25">
      <c r="BM26" s="5"/>
      <c r="BQ26" s="216"/>
      <c r="BV26" s="5"/>
      <c r="BW26" s="5"/>
      <c r="BX26" s="5"/>
      <c r="BY26" s="5"/>
      <c r="BZ26" s="5"/>
      <c r="CA26" s="5"/>
      <c r="CI26" s="726">
        <v>45473</v>
      </c>
      <c r="CJ26" t="s">
        <v>298</v>
      </c>
      <c r="CK26" t="s">
        <v>919</v>
      </c>
      <c r="CL26" s="5">
        <v>92078335.639999971</v>
      </c>
      <c r="CM26" s="732">
        <v>68</v>
      </c>
      <c r="CN26" s="5">
        <v>105626587.14000002</v>
      </c>
    </row>
    <row r="27" spans="1:92" x14ac:dyDescent="0.25">
      <c r="BM27" s="5"/>
      <c r="BQ27" s="216"/>
      <c r="BV27" s="5"/>
      <c r="BW27" s="5"/>
      <c r="BX27" s="5"/>
      <c r="BY27" s="5"/>
      <c r="BZ27" s="5"/>
      <c r="CA27" s="5"/>
      <c r="CI27" s="726">
        <v>45473</v>
      </c>
      <c r="CJ27" t="s">
        <v>299</v>
      </c>
      <c r="CK27" t="s">
        <v>920</v>
      </c>
      <c r="CL27" s="5">
        <v>31868939.48</v>
      </c>
      <c r="CM27" s="732">
        <v>11</v>
      </c>
      <c r="CN27" s="5">
        <v>39105000</v>
      </c>
    </row>
    <row r="28" spans="1:92" x14ac:dyDescent="0.25">
      <c r="BM28" s="5"/>
      <c r="BQ28" s="216"/>
      <c r="BV28" s="5"/>
      <c r="BW28" s="5"/>
      <c r="BX28" s="5"/>
      <c r="BY28" s="5"/>
      <c r="BZ28" s="5"/>
      <c r="CA28" s="5"/>
      <c r="CI28" s="726">
        <v>45473</v>
      </c>
      <c r="CJ28" t="s">
        <v>302</v>
      </c>
      <c r="CK28" t="s">
        <v>913</v>
      </c>
      <c r="CL28" s="5">
        <v>0</v>
      </c>
      <c r="CM28" s="732">
        <v>0</v>
      </c>
      <c r="CN28" s="5">
        <v>0</v>
      </c>
    </row>
    <row r="29" spans="1:92" x14ac:dyDescent="0.25">
      <c r="BM29" s="5"/>
      <c r="BQ29" s="216"/>
      <c r="BV29" s="5"/>
      <c r="BW29" s="5"/>
      <c r="BX29" s="5"/>
      <c r="BY29" s="5"/>
      <c r="BZ29" s="5"/>
      <c r="CA29" s="5"/>
      <c r="CI29" s="726">
        <v>45473</v>
      </c>
      <c r="CJ29" t="s">
        <v>303</v>
      </c>
      <c r="CK29" t="s">
        <v>914</v>
      </c>
      <c r="CL29" s="5">
        <v>1064272.7199999997</v>
      </c>
      <c r="CM29" s="732">
        <v>79</v>
      </c>
      <c r="CN29" s="5">
        <v>3188312.81</v>
      </c>
    </row>
    <row r="30" spans="1:92" x14ac:dyDescent="0.25">
      <c r="BM30" s="5"/>
      <c r="BQ30" s="216"/>
      <c r="BV30" s="5"/>
      <c r="BW30" s="5"/>
      <c r="BX30" s="5"/>
      <c r="BY30" s="5"/>
      <c r="BZ30" s="5"/>
      <c r="CA30" s="5"/>
      <c r="CI30" s="726">
        <v>45473</v>
      </c>
      <c r="CJ30" t="s">
        <v>304</v>
      </c>
      <c r="CK30" t="s">
        <v>915</v>
      </c>
      <c r="CL30" s="5">
        <v>13331019.349999996</v>
      </c>
      <c r="CM30" s="732">
        <v>355</v>
      </c>
      <c r="CN30" s="5">
        <v>29541078.02</v>
      </c>
    </row>
    <row r="31" spans="1:92" x14ac:dyDescent="0.25">
      <c r="BM31" s="5"/>
      <c r="BQ31" s="216"/>
      <c r="BV31" s="5"/>
      <c r="BW31" s="5"/>
      <c r="BX31" s="5"/>
      <c r="BY31" s="5"/>
      <c r="BZ31" s="5"/>
      <c r="CA31" s="5"/>
      <c r="CI31" s="726">
        <v>45473</v>
      </c>
      <c r="CJ31" t="s">
        <v>305</v>
      </c>
      <c r="CK31" t="s">
        <v>916</v>
      </c>
      <c r="CL31" s="5">
        <v>163522912.38999987</v>
      </c>
      <c r="CM31" s="732">
        <v>1779</v>
      </c>
      <c r="CN31" s="5">
        <v>313736222.59000003</v>
      </c>
    </row>
    <row r="32" spans="1:92" x14ac:dyDescent="0.25">
      <c r="BM32" s="5"/>
      <c r="BQ32" s="216"/>
      <c r="BV32" s="5"/>
      <c r="BW32" s="5"/>
      <c r="BX32" s="5"/>
      <c r="BY32" s="5"/>
      <c r="BZ32" s="5"/>
      <c r="CA32" s="5"/>
      <c r="CI32" s="726">
        <v>45473</v>
      </c>
      <c r="CJ32" t="s">
        <v>306</v>
      </c>
      <c r="CK32" t="s">
        <v>917</v>
      </c>
      <c r="CL32" s="5">
        <v>211293462.2899999</v>
      </c>
      <c r="CM32" s="732">
        <v>1044</v>
      </c>
      <c r="CN32" s="5">
        <v>357774028.62999988</v>
      </c>
    </row>
    <row r="33" spans="65:92" x14ac:dyDescent="0.25">
      <c r="BM33" s="5"/>
      <c r="BQ33" s="216"/>
      <c r="BV33" s="5"/>
      <c r="BW33" s="5"/>
      <c r="BX33" s="5"/>
      <c r="BY33" s="5"/>
      <c r="BZ33" s="5"/>
      <c r="CA33" s="5"/>
      <c r="CI33" s="726">
        <v>45473</v>
      </c>
      <c r="CJ33" t="s">
        <v>307</v>
      </c>
      <c r="CK33" t="s">
        <v>918</v>
      </c>
      <c r="CL33" s="5">
        <v>158902516.38999996</v>
      </c>
      <c r="CM33" s="732">
        <v>312</v>
      </c>
      <c r="CN33" s="5">
        <v>215876050.31999996</v>
      </c>
    </row>
    <row r="34" spans="65:92" x14ac:dyDescent="0.25">
      <c r="BM34" s="5"/>
      <c r="BQ34" s="216"/>
      <c r="BV34" s="5"/>
      <c r="BW34" s="5"/>
      <c r="BX34" s="5"/>
      <c r="BY34" s="5"/>
      <c r="BZ34" s="5"/>
      <c r="CA34" s="5"/>
      <c r="CI34" s="726">
        <v>45473</v>
      </c>
      <c r="CJ34" t="s">
        <v>308</v>
      </c>
      <c r="CK34" t="s">
        <v>919</v>
      </c>
      <c r="CL34" s="5">
        <v>108321451.63999997</v>
      </c>
      <c r="CM34" s="732">
        <v>99</v>
      </c>
      <c r="CN34" s="5">
        <v>136794754.80000001</v>
      </c>
    </row>
    <row r="35" spans="65:92" x14ac:dyDescent="0.25">
      <c r="BM35" s="5"/>
      <c r="BQ35" s="216"/>
      <c r="BV35" s="5"/>
      <c r="BW35" s="5"/>
      <c r="BX35" s="5"/>
      <c r="BY35" s="5"/>
      <c r="BZ35" s="5"/>
      <c r="CA35" s="5"/>
      <c r="CI35" s="726">
        <v>45473</v>
      </c>
      <c r="CJ35" t="s">
        <v>309</v>
      </c>
      <c r="CK35" t="s">
        <v>920</v>
      </c>
      <c r="CL35" s="5">
        <v>44851628.089999996</v>
      </c>
      <c r="CM35" s="732">
        <v>20</v>
      </c>
      <c r="CN35" s="5">
        <v>59157000</v>
      </c>
    </row>
    <row r="36" spans="65:92" x14ac:dyDescent="0.25">
      <c r="BM36" s="5"/>
      <c r="BQ36" s="216"/>
      <c r="BV36" s="5"/>
      <c r="BW36" s="5"/>
      <c r="BX36" s="5"/>
      <c r="BY36" s="5"/>
      <c r="BZ36" s="5"/>
      <c r="CA36" s="5"/>
      <c r="CI36" s="726">
        <v>45473</v>
      </c>
      <c r="CJ36" t="s">
        <v>312</v>
      </c>
      <c r="CK36" t="s">
        <v>921</v>
      </c>
      <c r="CL36" s="5">
        <v>44753196.319999985</v>
      </c>
      <c r="CM36" s="732">
        <v>130</v>
      </c>
      <c r="CN36" s="5">
        <v>49907106</v>
      </c>
    </row>
    <row r="37" spans="65:92" x14ac:dyDescent="0.25">
      <c r="BM37" s="5"/>
      <c r="BQ37" s="216"/>
      <c r="BV37" s="5"/>
      <c r="BW37" s="5"/>
      <c r="BX37" s="5"/>
      <c r="BY37" s="5"/>
      <c r="BZ37" s="5"/>
      <c r="CA37" s="5"/>
      <c r="CI37" s="726">
        <v>45473</v>
      </c>
      <c r="CJ37" t="s">
        <v>313</v>
      </c>
      <c r="CK37" t="s">
        <v>922</v>
      </c>
      <c r="CL37" s="5">
        <v>448198565.65999949</v>
      </c>
      <c r="CM37" s="732">
        <v>1392</v>
      </c>
      <c r="CN37" s="5">
        <v>531093364.73000002</v>
      </c>
    </row>
    <row r="38" spans="65:92" x14ac:dyDescent="0.25">
      <c r="BM38" s="5"/>
      <c r="BQ38" s="216"/>
      <c r="BV38" s="5"/>
      <c r="BW38" s="5"/>
      <c r="BX38" s="5"/>
      <c r="BY38" s="5"/>
      <c r="BZ38" s="5"/>
      <c r="CA38" s="5"/>
      <c r="CI38" s="726">
        <v>45473</v>
      </c>
      <c r="CJ38" t="s">
        <v>314</v>
      </c>
      <c r="CK38" t="s">
        <v>923</v>
      </c>
      <c r="CL38" s="5">
        <v>122593764.34000011</v>
      </c>
      <c r="CM38" s="732">
        <v>744</v>
      </c>
      <c r="CN38" s="5">
        <v>210328984.84999999</v>
      </c>
    </row>
    <row r="39" spans="65:92" x14ac:dyDescent="0.25">
      <c r="BM39" s="5"/>
      <c r="BQ39" s="216"/>
      <c r="BV39" s="5"/>
      <c r="BW39" s="5"/>
      <c r="BX39" s="5"/>
      <c r="BY39" s="5"/>
      <c r="BZ39" s="5"/>
      <c r="CA39" s="5"/>
      <c r="CI39" s="726">
        <v>45473</v>
      </c>
      <c r="CJ39" t="s">
        <v>315</v>
      </c>
      <c r="CK39" t="s">
        <v>924</v>
      </c>
      <c r="CL39" s="5">
        <v>53535879.389999986</v>
      </c>
      <c r="CM39" s="730">
        <v>603</v>
      </c>
      <c r="CN39" s="5">
        <v>153966431.99999997</v>
      </c>
    </row>
    <row r="40" spans="65:92" x14ac:dyDescent="0.25">
      <c r="BM40" s="5"/>
      <c r="BQ40" s="216"/>
      <c r="BV40" s="5"/>
      <c r="BW40" s="5"/>
      <c r="BX40" s="5"/>
      <c r="BY40" s="5"/>
      <c r="BZ40" s="5"/>
      <c r="CA40" s="5"/>
      <c r="CI40" s="726">
        <v>45473</v>
      </c>
      <c r="CJ40" t="s">
        <v>316</v>
      </c>
      <c r="CK40" t="s">
        <v>925</v>
      </c>
      <c r="CL40" s="5">
        <v>32205857.16</v>
      </c>
      <c r="CM40" s="730">
        <v>819</v>
      </c>
      <c r="CN40" s="5">
        <v>170771559.58999994</v>
      </c>
    </row>
    <row r="41" spans="65:92" x14ac:dyDescent="0.25">
      <c r="BM41" s="5"/>
      <c r="BQ41" s="216"/>
      <c r="BV41" s="5"/>
      <c r="BW41" s="5"/>
      <c r="BX41" s="5"/>
      <c r="BY41" s="5"/>
      <c r="BZ41" s="5"/>
      <c r="CA41" s="5"/>
      <c r="CI41" s="726">
        <v>45473</v>
      </c>
      <c r="CJ41" t="s">
        <v>317</v>
      </c>
      <c r="CK41" t="s">
        <v>926</v>
      </c>
      <c r="CL41" s="5">
        <v>0</v>
      </c>
      <c r="CM41" s="730">
        <v>0</v>
      </c>
      <c r="CN41" s="5">
        <v>0</v>
      </c>
    </row>
    <row r="42" spans="65:92" x14ac:dyDescent="0.25">
      <c r="BM42" s="5"/>
      <c r="BQ42" s="216"/>
      <c r="BV42" s="5"/>
      <c r="BW42" s="5"/>
      <c r="BX42" s="5"/>
      <c r="BY42" s="5"/>
      <c r="BZ42" s="5"/>
      <c r="CA42" s="5"/>
      <c r="CI42" s="726">
        <v>45473</v>
      </c>
      <c r="CJ42" t="s">
        <v>320</v>
      </c>
      <c r="CK42" t="s">
        <v>921</v>
      </c>
      <c r="CL42" s="5">
        <v>5445795.5099999998</v>
      </c>
      <c r="CM42" s="730">
        <v>274</v>
      </c>
      <c r="CN42" s="5">
        <v>52308894.709999993</v>
      </c>
    </row>
    <row r="43" spans="65:92" x14ac:dyDescent="0.25">
      <c r="BM43" s="5"/>
      <c r="BQ43" s="216"/>
      <c r="BV43" s="5"/>
      <c r="BW43" s="5"/>
      <c r="BX43" s="5"/>
      <c r="BY43" s="5"/>
      <c r="BZ43" s="5"/>
      <c r="CA43" s="5"/>
      <c r="CI43" s="726">
        <v>45473</v>
      </c>
      <c r="CJ43" t="s">
        <v>321</v>
      </c>
      <c r="CK43" t="s">
        <v>922</v>
      </c>
      <c r="CL43" s="5">
        <v>38903262.739999928</v>
      </c>
      <c r="CM43" s="730">
        <v>826</v>
      </c>
      <c r="CN43" s="5">
        <v>179997013.89999992</v>
      </c>
    </row>
    <row r="44" spans="65:92" x14ac:dyDescent="0.25">
      <c r="BM44" s="5"/>
      <c r="BQ44" s="216"/>
      <c r="BV44" s="5"/>
      <c r="BW44" s="5"/>
      <c r="BX44" s="5"/>
      <c r="BY44" s="5"/>
      <c r="BZ44" s="5"/>
      <c r="CA44" s="5"/>
      <c r="CI44" s="726">
        <v>45473</v>
      </c>
      <c r="CJ44" t="s">
        <v>322</v>
      </c>
      <c r="CK44" t="s">
        <v>923</v>
      </c>
      <c r="CL44" s="5">
        <v>108551538.94000007</v>
      </c>
      <c r="CM44" s="730">
        <v>864</v>
      </c>
      <c r="CN44" s="5">
        <v>213676351.12999991</v>
      </c>
    </row>
    <row r="45" spans="65:92" x14ac:dyDescent="0.25">
      <c r="BM45" s="5"/>
      <c r="BQ45" s="216"/>
      <c r="BV45" s="5"/>
      <c r="BW45" s="5"/>
      <c r="BX45" s="5"/>
      <c r="BY45" s="5"/>
      <c r="BZ45" s="5"/>
      <c r="CA45" s="5"/>
      <c r="CI45" s="726">
        <v>45473</v>
      </c>
      <c r="CJ45" t="s">
        <v>323</v>
      </c>
      <c r="CK45" t="s">
        <v>924</v>
      </c>
      <c r="CL45" s="5">
        <v>169129956.03</v>
      </c>
      <c r="CM45" s="730">
        <v>697</v>
      </c>
      <c r="CN45" s="5">
        <v>228063816.82000005</v>
      </c>
    </row>
    <row r="46" spans="65:92" x14ac:dyDescent="0.25">
      <c r="BM46" s="5"/>
      <c r="BQ46" s="216"/>
      <c r="BV46" s="5"/>
      <c r="BW46" s="5"/>
      <c r="BX46" s="5"/>
      <c r="BY46" s="5"/>
      <c r="BZ46" s="5"/>
      <c r="CA46" s="5"/>
      <c r="CI46" s="726">
        <v>45473</v>
      </c>
      <c r="CJ46" t="s">
        <v>324</v>
      </c>
      <c r="CK46" t="s">
        <v>925</v>
      </c>
      <c r="CL46" s="5">
        <v>262806611.06999987</v>
      </c>
      <c r="CM46" s="730">
        <v>803</v>
      </c>
      <c r="CN46" s="5">
        <v>307157149.66000003</v>
      </c>
    </row>
    <row r="47" spans="65:92" x14ac:dyDescent="0.25">
      <c r="BM47" s="5"/>
      <c r="BQ47" s="216"/>
      <c r="BV47" s="5"/>
      <c r="BW47" s="5"/>
      <c r="BX47" s="5"/>
      <c r="BY47" s="5"/>
      <c r="BZ47" s="5"/>
      <c r="CA47" s="5"/>
      <c r="CI47" s="726">
        <v>45473</v>
      </c>
      <c r="CJ47" t="s">
        <v>325</v>
      </c>
      <c r="CK47" t="s">
        <v>926</v>
      </c>
      <c r="CL47" s="5">
        <v>116450098.58000004</v>
      </c>
      <c r="CM47" s="730">
        <v>224</v>
      </c>
      <c r="CN47" s="5">
        <v>134864220.94999999</v>
      </c>
    </row>
    <row r="48" spans="65:92" x14ac:dyDescent="0.25">
      <c r="BM48" s="5"/>
      <c r="BQ48" s="216"/>
      <c r="BV48" s="5"/>
      <c r="BW48" s="5"/>
      <c r="BX48" s="5"/>
      <c r="BY48" s="5"/>
      <c r="BZ48" s="5"/>
      <c r="CA48" s="5"/>
      <c r="CI48" s="726">
        <v>45473</v>
      </c>
      <c r="CJ48" t="s">
        <v>327</v>
      </c>
      <c r="CK48" t="s">
        <v>921</v>
      </c>
      <c r="CL48" s="5">
        <v>0</v>
      </c>
      <c r="CM48" s="730">
        <v>0</v>
      </c>
      <c r="CN48" s="5">
        <v>0</v>
      </c>
    </row>
    <row r="49" spans="65:92" x14ac:dyDescent="0.25">
      <c r="BM49" s="5"/>
      <c r="BQ49" s="216"/>
      <c r="BV49" s="5"/>
      <c r="BW49" s="5"/>
      <c r="BX49" s="5"/>
      <c r="BY49" s="5"/>
      <c r="BZ49" s="5"/>
      <c r="CA49" s="5"/>
      <c r="CI49" s="726">
        <v>45473</v>
      </c>
      <c r="CJ49" t="s">
        <v>328</v>
      </c>
      <c r="CK49" t="s">
        <v>922</v>
      </c>
      <c r="CL49" s="5">
        <v>726262.71</v>
      </c>
      <c r="CM49" s="730">
        <v>3</v>
      </c>
      <c r="CN49" s="5">
        <v>933183</v>
      </c>
    </row>
    <row r="50" spans="65:92" x14ac:dyDescent="0.25">
      <c r="BM50" s="5"/>
      <c r="BQ50" s="216"/>
      <c r="BV50" s="5"/>
      <c r="BW50" s="5"/>
      <c r="BX50" s="5"/>
      <c r="BY50" s="5"/>
      <c r="BZ50" s="5"/>
      <c r="CA50" s="5"/>
      <c r="CI50" s="726">
        <v>45473</v>
      </c>
      <c r="CJ50" t="s">
        <v>329</v>
      </c>
      <c r="CK50" t="s">
        <v>923</v>
      </c>
      <c r="CL50" s="5">
        <v>29485255.93</v>
      </c>
      <c r="CM50" s="730">
        <v>261</v>
      </c>
      <c r="CN50" s="5">
        <v>54727844.18</v>
      </c>
    </row>
    <row r="51" spans="65:92" x14ac:dyDescent="0.25">
      <c r="BM51" s="5"/>
      <c r="BQ51" s="216"/>
      <c r="BV51" s="5"/>
      <c r="BW51" s="5"/>
      <c r="BX51" s="5"/>
      <c r="BY51" s="5"/>
      <c r="BZ51" s="5"/>
      <c r="CA51" s="5"/>
      <c r="CI51" s="726">
        <v>45473</v>
      </c>
      <c r="CJ51" t="s">
        <v>330</v>
      </c>
      <c r="CK51" t="s">
        <v>924</v>
      </c>
      <c r="CL51" s="5">
        <v>118732458.77000016</v>
      </c>
      <c r="CM51" s="730">
        <v>701</v>
      </c>
      <c r="CN51" s="5">
        <v>193043669.34000003</v>
      </c>
    </row>
    <row r="52" spans="65:92" x14ac:dyDescent="0.25">
      <c r="BM52" s="5"/>
      <c r="BQ52" s="216"/>
      <c r="BV52" s="5"/>
      <c r="BW52" s="5"/>
      <c r="BX52" s="5"/>
      <c r="BY52" s="5"/>
      <c r="BZ52" s="5"/>
      <c r="CA52" s="5"/>
      <c r="CI52" s="726">
        <v>45473</v>
      </c>
      <c r="CJ52" t="s">
        <v>331</v>
      </c>
      <c r="CK52" t="s">
        <v>925</v>
      </c>
      <c r="CL52" s="5">
        <v>319624366.72999978</v>
      </c>
      <c r="CM52" s="730">
        <v>1651</v>
      </c>
      <c r="CN52" s="5">
        <v>497862078.63000011</v>
      </c>
    </row>
    <row r="53" spans="65:92" x14ac:dyDescent="0.25">
      <c r="BM53" s="5"/>
      <c r="BQ53" s="216"/>
      <c r="BV53" s="5"/>
      <c r="BW53" s="5"/>
      <c r="BX53" s="5"/>
      <c r="BY53" s="5"/>
      <c r="BZ53" s="5"/>
      <c r="CA53" s="5"/>
      <c r="CI53" s="726">
        <v>45473</v>
      </c>
      <c r="CJ53" t="s">
        <v>332</v>
      </c>
      <c r="CK53" t="s">
        <v>927</v>
      </c>
      <c r="CL53" s="5">
        <v>197189314.18000016</v>
      </c>
      <c r="CM53" s="730">
        <v>950</v>
      </c>
      <c r="CN53" s="5">
        <v>318717308.88</v>
      </c>
    </row>
    <row r="54" spans="65:92" x14ac:dyDescent="0.25">
      <c r="BM54" s="5"/>
      <c r="BQ54" s="216"/>
      <c r="BV54" s="5"/>
      <c r="BW54" s="5"/>
      <c r="BX54" s="5"/>
      <c r="BY54" s="5"/>
      <c r="BZ54" s="5"/>
      <c r="CA54" s="5"/>
      <c r="CI54" s="726">
        <v>45473</v>
      </c>
      <c r="CJ54" t="s">
        <v>333</v>
      </c>
      <c r="CK54" t="s">
        <v>928</v>
      </c>
      <c r="CL54" s="5">
        <v>35529604.549999967</v>
      </c>
      <c r="CM54" s="730">
        <v>122</v>
      </c>
      <c r="CN54" s="5">
        <v>50783363.139999993</v>
      </c>
    </row>
    <row r="55" spans="65:92" x14ac:dyDescent="0.25">
      <c r="BM55" s="5"/>
      <c r="BQ55" s="216"/>
      <c r="BV55" s="5"/>
      <c r="BW55" s="5"/>
      <c r="BX55" s="5"/>
      <c r="BY55" s="5"/>
      <c r="BZ55" s="5"/>
      <c r="CA55" s="5"/>
      <c r="CI55" s="726">
        <v>45473</v>
      </c>
      <c r="CJ55" t="s">
        <v>335</v>
      </c>
      <c r="CK55">
        <v>2003</v>
      </c>
      <c r="CL55" s="5">
        <v>0</v>
      </c>
      <c r="CM55" s="730">
        <v>0</v>
      </c>
      <c r="CN55" s="5">
        <v>0</v>
      </c>
    </row>
    <row r="56" spans="65:92" x14ac:dyDescent="0.25">
      <c r="BM56" s="5"/>
      <c r="BQ56" s="216"/>
      <c r="BV56" s="5"/>
      <c r="BW56" s="5"/>
      <c r="BX56" s="5"/>
      <c r="BY56" s="5"/>
      <c r="BZ56" s="5"/>
      <c r="CA56" s="5"/>
      <c r="CI56" s="726">
        <v>45473</v>
      </c>
      <c r="CJ56" t="s">
        <v>336</v>
      </c>
      <c r="CK56">
        <v>2004</v>
      </c>
      <c r="CL56" s="5">
        <v>182287.83</v>
      </c>
      <c r="CM56" s="730">
        <v>42</v>
      </c>
      <c r="CN56" s="5">
        <v>6879126.8999999994</v>
      </c>
    </row>
    <row r="57" spans="65:92" x14ac:dyDescent="0.25">
      <c r="BM57" s="5"/>
      <c r="BQ57" s="216"/>
      <c r="BV57" s="5"/>
      <c r="BW57" s="5"/>
      <c r="BX57" s="5"/>
      <c r="BY57" s="5"/>
      <c r="BZ57" s="5"/>
      <c r="CA57" s="5"/>
      <c r="CI57" s="726">
        <v>45473</v>
      </c>
      <c r="CJ57" t="s">
        <v>337</v>
      </c>
      <c r="CK57">
        <v>2005</v>
      </c>
      <c r="CL57" s="5">
        <v>5985037.0800000038</v>
      </c>
      <c r="CM57" s="730">
        <v>303</v>
      </c>
      <c r="CN57" s="5">
        <v>62069226.480000019</v>
      </c>
    </row>
    <row r="58" spans="65:92" x14ac:dyDescent="0.25">
      <c r="BM58" s="5"/>
      <c r="BQ58" s="216"/>
      <c r="BV58" s="5"/>
      <c r="BW58" s="5"/>
      <c r="BX58" s="5"/>
      <c r="BY58" s="5"/>
      <c r="BZ58" s="5"/>
      <c r="CA58" s="5"/>
      <c r="CI58" s="726">
        <v>45473</v>
      </c>
      <c r="CJ58" t="s">
        <v>338</v>
      </c>
      <c r="CK58">
        <v>2006</v>
      </c>
      <c r="CL58" s="5">
        <v>6131242.3800000027</v>
      </c>
      <c r="CM58" s="730">
        <v>170</v>
      </c>
      <c r="CN58" s="5">
        <v>34544679.289999999</v>
      </c>
    </row>
    <row r="59" spans="65:92" x14ac:dyDescent="0.25">
      <c r="BM59" s="5"/>
      <c r="BQ59" s="216"/>
      <c r="BV59" s="5"/>
      <c r="BW59" s="5"/>
      <c r="BX59" s="5"/>
      <c r="BY59" s="5"/>
      <c r="BZ59" s="5"/>
      <c r="CA59" s="5"/>
      <c r="CI59" s="726">
        <v>45473</v>
      </c>
      <c r="CJ59" t="s">
        <v>339</v>
      </c>
      <c r="CK59">
        <v>2007</v>
      </c>
      <c r="CL59" s="5">
        <v>8413940.1799999997</v>
      </c>
      <c r="CM59" s="730">
        <v>146</v>
      </c>
      <c r="CN59" s="5">
        <v>30888271.670000002</v>
      </c>
    </row>
    <row r="60" spans="65:92" x14ac:dyDescent="0.25">
      <c r="BM60" s="5"/>
      <c r="BQ60" s="216"/>
      <c r="BV60" s="5"/>
      <c r="BW60" s="5"/>
      <c r="BX60" s="5"/>
      <c r="BY60" s="5"/>
      <c r="BZ60" s="5"/>
      <c r="CA60" s="5"/>
      <c r="CI60" s="726">
        <v>45473</v>
      </c>
      <c r="CJ60" t="s">
        <v>340</v>
      </c>
      <c r="CK60">
        <v>2008</v>
      </c>
      <c r="CL60" s="5">
        <v>7845246.8899999978</v>
      </c>
      <c r="CM60" s="730">
        <v>117</v>
      </c>
      <c r="CN60" s="5">
        <v>25816333.899999999</v>
      </c>
    </row>
    <row r="61" spans="65:92" x14ac:dyDescent="0.25">
      <c r="BM61" s="5"/>
      <c r="BQ61" s="216"/>
      <c r="BV61" s="5"/>
      <c r="BW61" s="5"/>
      <c r="BX61" s="5"/>
      <c r="BY61" s="5"/>
      <c r="BZ61" s="5"/>
      <c r="CA61" s="5"/>
      <c r="CI61" s="726">
        <v>45473</v>
      </c>
      <c r="CJ61" t="s">
        <v>341</v>
      </c>
      <c r="CK61">
        <v>2009</v>
      </c>
      <c r="CL61" s="5">
        <v>30316024.929999985</v>
      </c>
      <c r="CM61" s="730">
        <v>309</v>
      </c>
      <c r="CN61" s="5">
        <v>83740161.229999959</v>
      </c>
    </row>
    <row r="62" spans="65:92" x14ac:dyDescent="0.25">
      <c r="BM62" s="5"/>
      <c r="BQ62" s="216"/>
      <c r="BV62" s="5"/>
      <c r="BW62" s="5"/>
      <c r="BX62" s="5"/>
      <c r="BY62" s="5"/>
      <c r="BZ62" s="5"/>
      <c r="CA62" s="5"/>
      <c r="CI62" s="726">
        <v>45473</v>
      </c>
      <c r="CJ62" t="s">
        <v>342</v>
      </c>
      <c r="CK62">
        <v>2010</v>
      </c>
      <c r="CL62" s="5">
        <v>15845077.760000005</v>
      </c>
      <c r="CM62" s="730">
        <v>189</v>
      </c>
      <c r="CN62" s="5">
        <v>49776969.270000003</v>
      </c>
    </row>
    <row r="63" spans="65:92" x14ac:dyDescent="0.25">
      <c r="BM63" s="5"/>
      <c r="BQ63" s="216"/>
      <c r="BV63" s="5"/>
      <c r="BW63" s="5"/>
      <c r="BX63" s="5"/>
      <c r="BY63" s="5"/>
      <c r="BZ63" s="5"/>
      <c r="CA63" s="5"/>
      <c r="CI63" s="726">
        <v>45473</v>
      </c>
      <c r="CJ63" t="s">
        <v>343</v>
      </c>
      <c r="CK63">
        <v>2011</v>
      </c>
      <c r="CL63" s="5">
        <v>6194988.2299999977</v>
      </c>
      <c r="CM63" s="730">
        <v>83</v>
      </c>
      <c r="CN63" s="5">
        <v>18491076.620000001</v>
      </c>
    </row>
    <row r="64" spans="65:92" x14ac:dyDescent="0.25">
      <c r="BM64" s="5"/>
      <c r="BQ64" s="216"/>
      <c r="BV64" s="5"/>
      <c r="BW64" s="5"/>
      <c r="BX64" s="5"/>
      <c r="BY64" s="5"/>
      <c r="BZ64" s="5"/>
      <c r="CA64" s="5"/>
      <c r="CI64" s="726">
        <v>45473</v>
      </c>
      <c r="CJ64" t="s">
        <v>344</v>
      </c>
      <c r="CK64">
        <v>2012</v>
      </c>
      <c r="CL64" s="5">
        <v>1034112.7499999999</v>
      </c>
      <c r="CM64" s="730">
        <v>20</v>
      </c>
      <c r="CN64" s="5">
        <v>3266168.65</v>
      </c>
    </row>
    <row r="65" spans="65:92" x14ac:dyDescent="0.25">
      <c r="BM65" s="5"/>
      <c r="BQ65" s="216"/>
      <c r="BV65" s="5"/>
      <c r="BW65" s="5"/>
      <c r="BX65" s="5"/>
      <c r="BY65" s="5"/>
      <c r="BZ65" s="5"/>
      <c r="CA65" s="5"/>
      <c r="CI65" s="726">
        <v>45473</v>
      </c>
      <c r="CJ65" t="s">
        <v>345</v>
      </c>
      <c r="CK65">
        <v>2013</v>
      </c>
      <c r="CL65" s="5">
        <v>1774137.3199999996</v>
      </c>
      <c r="CM65" s="730">
        <v>24</v>
      </c>
      <c r="CN65" s="5">
        <v>4518340.9000000004</v>
      </c>
    </row>
    <row r="66" spans="65:92" x14ac:dyDescent="0.25">
      <c r="BM66" s="5"/>
      <c r="BQ66" s="216"/>
      <c r="BV66" s="5"/>
      <c r="BW66" s="5"/>
      <c r="BX66" s="5"/>
      <c r="BY66" s="5"/>
      <c r="BZ66" s="5"/>
      <c r="CA66" s="5"/>
      <c r="CI66" s="726">
        <v>45473</v>
      </c>
      <c r="CJ66" t="s">
        <v>346</v>
      </c>
      <c r="CK66">
        <v>2014</v>
      </c>
      <c r="CL66" s="5">
        <v>6751222.1600000001</v>
      </c>
      <c r="CM66" s="730">
        <v>69</v>
      </c>
      <c r="CN66" s="5">
        <v>16267708.330000002</v>
      </c>
    </row>
    <row r="67" spans="65:92" x14ac:dyDescent="0.25">
      <c r="BM67" s="5"/>
      <c r="BQ67" s="216"/>
      <c r="BV67" s="5"/>
      <c r="BW67" s="5"/>
      <c r="BX67" s="5"/>
      <c r="BY67" s="5"/>
      <c r="BZ67" s="5"/>
      <c r="CA67" s="5"/>
      <c r="CI67" s="726">
        <v>45473</v>
      </c>
      <c r="CJ67" t="s">
        <v>347</v>
      </c>
      <c r="CK67">
        <v>2015</v>
      </c>
      <c r="CL67" s="5">
        <v>11692956.299999997</v>
      </c>
      <c r="CM67" s="730">
        <v>95</v>
      </c>
      <c r="CN67" s="5">
        <v>25948880.129999999</v>
      </c>
    </row>
    <row r="68" spans="65:92" x14ac:dyDescent="0.25">
      <c r="BM68" s="5"/>
      <c r="BQ68" s="216"/>
      <c r="BV68" s="5"/>
      <c r="BW68" s="5"/>
      <c r="BX68" s="5"/>
      <c r="BY68" s="5"/>
      <c r="BZ68" s="5"/>
      <c r="CA68" s="5"/>
      <c r="CI68" s="726">
        <v>45473</v>
      </c>
      <c r="CJ68" t="s">
        <v>348</v>
      </c>
      <c r="CK68">
        <v>2016</v>
      </c>
      <c r="CL68" s="5">
        <v>8028456.8499999996</v>
      </c>
      <c r="CM68" s="730">
        <v>69</v>
      </c>
      <c r="CN68" s="5">
        <v>14611506.43</v>
      </c>
    </row>
    <row r="69" spans="65:92" x14ac:dyDescent="0.25">
      <c r="BM69" s="5"/>
      <c r="BQ69" s="216"/>
      <c r="BV69" s="5"/>
      <c r="BW69" s="5"/>
      <c r="BX69" s="5"/>
      <c r="BY69" s="5"/>
      <c r="BZ69" s="5"/>
      <c r="CA69" s="5"/>
      <c r="CI69" s="726">
        <v>45473</v>
      </c>
      <c r="CJ69" t="s">
        <v>349</v>
      </c>
      <c r="CK69">
        <v>2017</v>
      </c>
      <c r="CL69" s="5">
        <v>40797985.100000016</v>
      </c>
      <c r="CM69" s="730">
        <v>222</v>
      </c>
      <c r="CN69" s="5">
        <v>66956197.75</v>
      </c>
    </row>
    <row r="70" spans="65:92" x14ac:dyDescent="0.25">
      <c r="BM70" s="5"/>
      <c r="BQ70" s="216"/>
      <c r="BV70" s="5"/>
      <c r="BW70" s="5"/>
      <c r="BX70" s="5"/>
      <c r="BY70" s="5"/>
      <c r="BZ70" s="5"/>
      <c r="CA70" s="5"/>
      <c r="CI70" s="726">
        <v>45473</v>
      </c>
      <c r="CJ70" t="s">
        <v>350</v>
      </c>
      <c r="CK70">
        <v>2018</v>
      </c>
      <c r="CL70" s="5">
        <v>44370616.330000028</v>
      </c>
      <c r="CM70" s="730">
        <v>226</v>
      </c>
      <c r="CN70" s="5">
        <v>72735275.349999994</v>
      </c>
    </row>
    <row r="71" spans="65:92" x14ac:dyDescent="0.25">
      <c r="BM71" s="5"/>
      <c r="BQ71" s="216"/>
      <c r="BV71" s="5"/>
      <c r="BW71" s="5"/>
      <c r="BX71" s="5"/>
      <c r="BY71" s="5"/>
      <c r="BZ71" s="5"/>
      <c r="CA71" s="5"/>
      <c r="CI71" s="726">
        <v>45473</v>
      </c>
      <c r="CJ71" t="s">
        <v>929</v>
      </c>
      <c r="CK71">
        <v>2019</v>
      </c>
      <c r="CL71" s="5">
        <v>53530885.56000001</v>
      </c>
      <c r="CM71" s="730">
        <v>246</v>
      </c>
      <c r="CN71" s="5">
        <v>73017848.99000001</v>
      </c>
    </row>
    <row r="72" spans="65:92" x14ac:dyDescent="0.25">
      <c r="BM72" s="5"/>
      <c r="BQ72" s="216"/>
      <c r="BV72" s="5"/>
      <c r="BW72" s="5"/>
      <c r="BX72" s="5"/>
      <c r="BY72" s="5"/>
      <c r="BZ72" s="5"/>
      <c r="CA72" s="5"/>
      <c r="CI72" s="726">
        <v>45473</v>
      </c>
      <c r="CJ72" t="s">
        <v>930</v>
      </c>
      <c r="CK72">
        <v>2020</v>
      </c>
      <c r="CL72" s="5">
        <v>116140354.44000013</v>
      </c>
      <c r="CM72" s="730">
        <v>385</v>
      </c>
      <c r="CN72" s="5">
        <v>143600962.75999999</v>
      </c>
    </row>
    <row r="73" spans="65:92" x14ac:dyDescent="0.25">
      <c r="BM73" s="5"/>
      <c r="BQ73" s="216"/>
      <c r="BV73" s="5"/>
      <c r="BW73" s="5"/>
      <c r="BX73" s="5"/>
      <c r="BY73" s="5"/>
      <c r="BZ73" s="5"/>
      <c r="CA73" s="5"/>
      <c r="CI73" s="726">
        <v>45473</v>
      </c>
      <c r="CJ73" t="s">
        <v>931</v>
      </c>
      <c r="CK73">
        <v>2021</v>
      </c>
      <c r="CL73" s="5">
        <v>99621427.630000055</v>
      </c>
      <c r="CM73" s="730">
        <v>349</v>
      </c>
      <c r="CN73" s="5">
        <v>117065600.47</v>
      </c>
    </row>
    <row r="74" spans="65:92" x14ac:dyDescent="0.25">
      <c r="BM74" s="5"/>
      <c r="BQ74" s="216"/>
      <c r="BV74" s="5"/>
      <c r="BW74" s="5"/>
      <c r="BX74" s="5"/>
      <c r="BY74" s="5"/>
      <c r="BZ74" s="5"/>
      <c r="CA74" s="5"/>
      <c r="CI74" s="726">
        <v>45473</v>
      </c>
      <c r="CJ74" t="s">
        <v>932</v>
      </c>
      <c r="CK74">
        <v>2022</v>
      </c>
      <c r="CL74" s="5">
        <v>157101643.89999986</v>
      </c>
      <c r="CM74" s="730">
        <v>400</v>
      </c>
      <c r="CN74" s="5">
        <v>175770996.25</v>
      </c>
    </row>
    <row r="75" spans="65:92" x14ac:dyDescent="0.25">
      <c r="BM75" s="5"/>
      <c r="BQ75" s="216"/>
      <c r="BV75" s="5"/>
      <c r="BW75" s="5"/>
      <c r="BX75" s="5"/>
      <c r="BY75" s="5"/>
      <c r="BZ75" s="5"/>
      <c r="CA75" s="5"/>
      <c r="CI75" s="726">
        <v>45473</v>
      </c>
      <c r="CJ75" t="s">
        <v>933</v>
      </c>
      <c r="CK75">
        <v>2023</v>
      </c>
      <c r="CL75" s="5">
        <v>79529619.250000015</v>
      </c>
      <c r="CM75" s="730">
        <v>224</v>
      </c>
      <c r="CN75" s="5">
        <v>90102115.799999997</v>
      </c>
    </row>
    <row r="76" spans="65:92" x14ac:dyDescent="0.25">
      <c r="BM76" s="5"/>
      <c r="BQ76" s="216"/>
      <c r="BV76" s="5"/>
      <c r="BW76" s="5"/>
      <c r="BX76" s="5"/>
      <c r="BY76" s="5"/>
      <c r="BZ76" s="5"/>
      <c r="CA76" s="5"/>
      <c r="CI76" s="726">
        <v>45473</v>
      </c>
      <c r="CJ76" t="s">
        <v>352</v>
      </c>
      <c r="CK76" t="s">
        <v>934</v>
      </c>
      <c r="CL76" s="5">
        <v>284044542.92000008</v>
      </c>
      <c r="CM76" s="730">
        <v>1207</v>
      </c>
      <c r="CN76" s="5">
        <v>393227453.02000004</v>
      </c>
    </row>
    <row r="77" spans="65:92" x14ac:dyDescent="0.25">
      <c r="BM77" s="5"/>
      <c r="BQ77" s="216"/>
      <c r="BV77" s="5"/>
      <c r="BW77" s="5"/>
      <c r="BX77" s="5"/>
      <c r="BY77" s="5"/>
      <c r="BZ77" s="5"/>
      <c r="CA77" s="5"/>
      <c r="CI77" s="726">
        <v>45473</v>
      </c>
      <c r="CJ77" t="s">
        <v>354</v>
      </c>
      <c r="CK77" t="s">
        <v>935</v>
      </c>
      <c r="CL77" s="5">
        <v>298238593.03000039</v>
      </c>
      <c r="CM77" s="730">
        <v>1451</v>
      </c>
      <c r="CN77" s="5">
        <v>461208997.95000005</v>
      </c>
    </row>
    <row r="78" spans="65:92" x14ac:dyDescent="0.25">
      <c r="BM78" s="5"/>
      <c r="BQ78" s="216"/>
      <c r="BV78" s="5"/>
      <c r="BW78" s="5"/>
      <c r="BX78" s="5"/>
      <c r="BY78" s="5"/>
      <c r="BZ78" s="5"/>
      <c r="CA78" s="5"/>
      <c r="CI78" s="726">
        <v>45473</v>
      </c>
      <c r="CJ78" t="s">
        <v>356</v>
      </c>
      <c r="CK78" t="s">
        <v>936</v>
      </c>
      <c r="CL78" s="5">
        <v>56846908.909999996</v>
      </c>
      <c r="CM78" s="730">
        <v>294</v>
      </c>
      <c r="CN78" s="5">
        <v>90025409.409999996</v>
      </c>
    </row>
    <row r="79" spans="65:92" x14ac:dyDescent="0.25">
      <c r="BM79" s="5"/>
      <c r="BQ79" s="216"/>
      <c r="BV79" s="5"/>
      <c r="BW79" s="5"/>
      <c r="BX79" s="5"/>
      <c r="BY79" s="5"/>
      <c r="BZ79" s="5"/>
      <c r="CA79" s="5"/>
      <c r="CI79" s="726">
        <v>45473</v>
      </c>
      <c r="CJ79" t="s">
        <v>358</v>
      </c>
      <c r="CK79" t="s">
        <v>937</v>
      </c>
      <c r="CL79" s="5">
        <v>38779996.019999959</v>
      </c>
      <c r="CM79" s="730">
        <v>317</v>
      </c>
      <c r="CN79" s="5">
        <v>79670683.400000006</v>
      </c>
    </row>
    <row r="80" spans="65:92" x14ac:dyDescent="0.25">
      <c r="BM80" s="5"/>
      <c r="BQ80" s="216"/>
      <c r="BV80" s="5"/>
      <c r="BW80" s="5"/>
      <c r="BX80" s="5"/>
      <c r="BY80" s="5"/>
      <c r="BZ80" s="5"/>
      <c r="CA80" s="5"/>
      <c r="CI80" s="726">
        <v>45473</v>
      </c>
      <c r="CJ80" t="s">
        <v>360</v>
      </c>
      <c r="CK80" t="s">
        <v>938</v>
      </c>
      <c r="CL80" s="5">
        <v>22097713.139999986</v>
      </c>
      <c r="CM80" s="730">
        <v>387</v>
      </c>
      <c r="CN80" s="5">
        <v>86585395.390000001</v>
      </c>
    </row>
    <row r="81" spans="65:92" x14ac:dyDescent="0.25">
      <c r="BM81" s="5"/>
      <c r="BQ81" s="216"/>
      <c r="BV81" s="5"/>
      <c r="BW81" s="5"/>
      <c r="BX81" s="5"/>
      <c r="BY81" s="5"/>
      <c r="BZ81" s="5"/>
      <c r="CA81" s="5"/>
      <c r="CI81" s="726">
        <v>45473</v>
      </c>
      <c r="CJ81" t="s">
        <v>362</v>
      </c>
      <c r="CK81" t="s">
        <v>939</v>
      </c>
      <c r="CL81" s="5">
        <v>1279508.8499999999</v>
      </c>
      <c r="CM81" s="730">
        <v>32</v>
      </c>
      <c r="CN81" s="5">
        <v>5349508</v>
      </c>
    </row>
    <row r="82" spans="65:92" x14ac:dyDescent="0.25">
      <c r="BM82" s="5"/>
      <c r="BQ82" s="216"/>
      <c r="BV82" s="5"/>
      <c r="BW82" s="5"/>
      <c r="BX82" s="5"/>
      <c r="BY82" s="5"/>
      <c r="BZ82" s="5"/>
      <c r="CA82" s="5"/>
      <c r="CI82" s="726">
        <v>45473</v>
      </c>
      <c r="CJ82" t="s">
        <v>372</v>
      </c>
      <c r="CK82" t="s">
        <v>871</v>
      </c>
      <c r="CL82" s="5">
        <v>534641.3899999999</v>
      </c>
      <c r="CM82" s="730">
        <v>40</v>
      </c>
      <c r="CN82" s="5">
        <v>7569949.5099999998</v>
      </c>
    </row>
    <row r="83" spans="65:92" x14ac:dyDescent="0.25">
      <c r="BM83" s="5"/>
      <c r="BQ83" s="216"/>
      <c r="BV83" s="5"/>
      <c r="BW83" s="5"/>
      <c r="BX83" s="5"/>
      <c r="BY83" s="5"/>
      <c r="BZ83" s="5"/>
      <c r="CA83" s="5"/>
      <c r="CI83" s="726">
        <v>45473</v>
      </c>
      <c r="CJ83" t="s">
        <v>374</v>
      </c>
      <c r="CK83" t="s">
        <v>872</v>
      </c>
      <c r="CL83" s="5">
        <v>0</v>
      </c>
      <c r="CM83" s="730">
        <v>0</v>
      </c>
      <c r="CN83" s="5">
        <v>0</v>
      </c>
    </row>
    <row r="84" spans="65:92" x14ac:dyDescent="0.25">
      <c r="BM84" s="5"/>
      <c r="BQ84" s="216"/>
      <c r="BV84" s="5"/>
      <c r="BW84" s="5"/>
      <c r="BX84" s="5"/>
      <c r="BY84" s="5"/>
      <c r="BZ84" s="5"/>
      <c r="CA84" s="5"/>
      <c r="CI84" s="726">
        <v>45473</v>
      </c>
      <c r="CJ84" t="s">
        <v>376</v>
      </c>
      <c r="CK84" t="s">
        <v>873</v>
      </c>
      <c r="CL84" s="5">
        <v>681501264.87999952</v>
      </c>
      <c r="CM84" s="730">
        <v>3370</v>
      </c>
      <c r="CN84" s="5">
        <v>1035835469.78</v>
      </c>
    </row>
    <row r="85" spans="65:92" x14ac:dyDescent="0.25">
      <c r="BM85" s="5"/>
      <c r="BQ85" s="216"/>
      <c r="BV85" s="5"/>
      <c r="BW85" s="5"/>
      <c r="BX85" s="5"/>
      <c r="BY85" s="5"/>
      <c r="BZ85" s="5"/>
      <c r="CA85" s="5"/>
      <c r="CI85" s="726">
        <v>45473</v>
      </c>
      <c r="CJ85" t="s">
        <v>378</v>
      </c>
      <c r="CK85" t="s">
        <v>874</v>
      </c>
      <c r="CL85" s="5">
        <v>0</v>
      </c>
      <c r="CM85" s="730">
        <v>0</v>
      </c>
      <c r="CN85" s="5">
        <v>0</v>
      </c>
    </row>
    <row r="86" spans="65:92" x14ac:dyDescent="0.25">
      <c r="BM86" s="5"/>
      <c r="BQ86" s="216"/>
      <c r="BV86" s="5"/>
      <c r="BW86" s="5"/>
      <c r="BX86" s="5"/>
      <c r="BY86" s="5"/>
      <c r="BZ86" s="5"/>
      <c r="CA86" s="5"/>
      <c r="CI86" s="726">
        <v>45473</v>
      </c>
      <c r="CJ86" t="s">
        <v>380</v>
      </c>
      <c r="CK86" t="s">
        <v>875</v>
      </c>
      <c r="CL86" s="5">
        <v>0</v>
      </c>
      <c r="CM86" s="730">
        <v>0</v>
      </c>
      <c r="CN86" s="5">
        <v>0</v>
      </c>
    </row>
    <row r="87" spans="65:92" x14ac:dyDescent="0.25">
      <c r="BM87" s="5"/>
      <c r="BQ87" s="216"/>
      <c r="BV87" s="5"/>
      <c r="BW87" s="5"/>
      <c r="BX87" s="5"/>
      <c r="BY87" s="5"/>
      <c r="BZ87" s="5"/>
      <c r="CA87" s="5"/>
      <c r="CI87" s="726">
        <v>45473</v>
      </c>
      <c r="CJ87" t="s">
        <v>382</v>
      </c>
      <c r="CK87" t="s">
        <v>876</v>
      </c>
      <c r="CL87" s="5">
        <v>0</v>
      </c>
      <c r="CM87" s="730">
        <v>0</v>
      </c>
      <c r="CN87" s="5">
        <v>0</v>
      </c>
    </row>
    <row r="88" spans="65:92" x14ac:dyDescent="0.25">
      <c r="BM88" s="5"/>
      <c r="BQ88" s="216"/>
      <c r="BV88" s="5"/>
      <c r="BW88" s="5"/>
      <c r="BX88" s="5"/>
      <c r="BY88" s="5"/>
      <c r="BZ88" s="5"/>
      <c r="CA88" s="5"/>
      <c r="CI88" s="726">
        <v>45473</v>
      </c>
      <c r="CJ88" t="s">
        <v>384</v>
      </c>
      <c r="CK88" t="s">
        <v>877</v>
      </c>
      <c r="CL88" s="5">
        <v>19251356.599999998</v>
      </c>
      <c r="CM88" s="730">
        <v>278</v>
      </c>
      <c r="CN88" s="5">
        <v>72662027.879999995</v>
      </c>
    </row>
    <row r="89" spans="65:92" x14ac:dyDescent="0.25">
      <c r="BM89" s="5"/>
      <c r="BQ89" s="216"/>
      <c r="BV89" s="5"/>
      <c r="BW89" s="5"/>
      <c r="BX89" s="5"/>
      <c r="BY89" s="5"/>
      <c r="BZ89" s="5"/>
      <c r="CA89" s="5"/>
      <c r="CI89" s="726">
        <v>45473</v>
      </c>
      <c r="CJ89" t="s">
        <v>386</v>
      </c>
      <c r="CK89" t="s">
        <v>878</v>
      </c>
      <c r="CL89" s="5">
        <v>0</v>
      </c>
      <c r="CM89" s="730">
        <v>0</v>
      </c>
      <c r="CN89" s="5">
        <v>0</v>
      </c>
    </row>
    <row r="90" spans="65:92" x14ac:dyDescent="0.25">
      <c r="BM90" s="5"/>
      <c r="BQ90" s="216"/>
      <c r="BV90" s="5"/>
      <c r="BW90" s="5"/>
      <c r="BX90" s="5"/>
      <c r="BY90" s="5"/>
      <c r="BZ90" s="5"/>
      <c r="CA90" s="5"/>
      <c r="CI90" s="726">
        <v>45473</v>
      </c>
      <c r="CJ90" t="s">
        <v>388</v>
      </c>
      <c r="CK90" t="s">
        <v>879</v>
      </c>
      <c r="CL90" s="5">
        <v>0</v>
      </c>
      <c r="CM90" s="730">
        <v>0</v>
      </c>
      <c r="CN90" s="5">
        <v>0</v>
      </c>
    </row>
    <row r="91" spans="65:92" x14ac:dyDescent="0.25">
      <c r="BM91" s="5"/>
      <c r="BQ91" s="216"/>
      <c r="BV91" s="5"/>
      <c r="BW91" s="5"/>
      <c r="BX91" s="5"/>
      <c r="BY91" s="5"/>
      <c r="BZ91" s="5"/>
      <c r="CA91" s="5"/>
      <c r="CI91" s="726">
        <v>45473</v>
      </c>
      <c r="CJ91" t="s">
        <v>390</v>
      </c>
      <c r="CK91" t="s">
        <v>880</v>
      </c>
      <c r="CL91" s="5">
        <v>0</v>
      </c>
      <c r="CM91" s="730">
        <v>0</v>
      </c>
      <c r="CN91" s="5">
        <v>0</v>
      </c>
    </row>
    <row r="92" spans="65:92" x14ac:dyDescent="0.25">
      <c r="BM92" s="5"/>
      <c r="BQ92" s="216"/>
      <c r="BV92" s="5"/>
      <c r="BW92" s="5"/>
      <c r="BX92" s="5"/>
      <c r="BY92" s="5"/>
      <c r="BZ92" s="5"/>
      <c r="CA92" s="5"/>
      <c r="CI92" s="726">
        <v>45473</v>
      </c>
      <c r="CJ92" t="s">
        <v>392</v>
      </c>
      <c r="CK92" t="s">
        <v>881</v>
      </c>
      <c r="CL92" s="5">
        <v>0</v>
      </c>
      <c r="CM92" s="730">
        <v>0</v>
      </c>
      <c r="CN92" s="5">
        <v>0</v>
      </c>
    </row>
    <row r="93" spans="65:92" x14ac:dyDescent="0.25">
      <c r="BM93" s="5"/>
      <c r="BQ93" s="216"/>
      <c r="BV93" s="5"/>
      <c r="BW93" s="5"/>
      <c r="BX93" s="5"/>
      <c r="BY93" s="5"/>
      <c r="BZ93" s="5"/>
      <c r="CA93" s="5"/>
      <c r="CI93" s="726">
        <v>45473</v>
      </c>
      <c r="CJ93" t="s">
        <v>393</v>
      </c>
      <c r="CK93" t="s">
        <v>882</v>
      </c>
      <c r="CL93" s="5">
        <v>0</v>
      </c>
      <c r="CM93" s="730">
        <v>0</v>
      </c>
      <c r="CN93" s="5">
        <v>0</v>
      </c>
    </row>
    <row r="94" spans="65:92" x14ac:dyDescent="0.25">
      <c r="BM94" s="5"/>
      <c r="BQ94" s="216"/>
      <c r="BV94" s="5"/>
      <c r="BW94" s="5"/>
      <c r="BX94" s="5"/>
      <c r="BY94" s="5"/>
      <c r="BZ94" s="5"/>
      <c r="CA94" s="5"/>
      <c r="CI94" s="726">
        <v>45473</v>
      </c>
      <c r="CJ94" t="s">
        <v>394</v>
      </c>
      <c r="CK94" t="s">
        <v>883</v>
      </c>
      <c r="CL94" s="5">
        <v>0</v>
      </c>
      <c r="CM94" s="730">
        <v>0</v>
      </c>
      <c r="CN94" s="5">
        <v>0</v>
      </c>
    </row>
    <row r="95" spans="65:92" x14ac:dyDescent="0.25">
      <c r="BM95" s="5"/>
      <c r="BQ95" s="216"/>
      <c r="BV95" s="5"/>
      <c r="BW95" s="5"/>
      <c r="BX95" s="5"/>
      <c r="BY95" s="5"/>
      <c r="BZ95" s="5"/>
      <c r="CA95" s="5"/>
      <c r="CI95" s="726">
        <v>45473</v>
      </c>
      <c r="CJ95" t="s">
        <v>395</v>
      </c>
      <c r="CK95">
        <v>3</v>
      </c>
      <c r="CL95" s="5">
        <v>69615997.75</v>
      </c>
      <c r="CM95" s="730">
        <v>689</v>
      </c>
      <c r="CN95" s="5">
        <v>159994094.00999996</v>
      </c>
    </row>
    <row r="96" spans="65:92" x14ac:dyDescent="0.25">
      <c r="BM96" s="5"/>
      <c r="BQ96" s="216"/>
      <c r="BV96" s="5"/>
      <c r="BW96" s="5"/>
      <c r="BX96" s="5"/>
      <c r="BY96" s="5"/>
      <c r="BZ96" s="5"/>
      <c r="CA96" s="5"/>
      <c r="CI96" s="726">
        <v>45473</v>
      </c>
      <c r="CJ96" t="s">
        <v>396</v>
      </c>
      <c r="CK96">
        <v>1</v>
      </c>
      <c r="CL96" s="5">
        <v>499148390.23999971</v>
      </c>
      <c r="CM96" s="730">
        <v>1642</v>
      </c>
      <c r="CN96" s="5">
        <v>596335301.24000001</v>
      </c>
    </row>
    <row r="97" spans="65:92" x14ac:dyDescent="0.25">
      <c r="BM97" s="5"/>
      <c r="BQ97" s="216"/>
      <c r="BV97" s="5"/>
      <c r="BW97" s="5"/>
      <c r="BX97" s="5"/>
      <c r="BY97" s="5"/>
      <c r="BZ97" s="5"/>
      <c r="CA97" s="5"/>
      <c r="CI97" s="726">
        <v>45473</v>
      </c>
      <c r="CJ97" t="s">
        <v>397</v>
      </c>
      <c r="CK97">
        <v>4</v>
      </c>
      <c r="CL97" s="5">
        <v>103008163.20999999</v>
      </c>
      <c r="CM97" s="730">
        <v>925</v>
      </c>
      <c r="CN97" s="5">
        <v>254970155.66999984</v>
      </c>
    </row>
    <row r="98" spans="65:92" x14ac:dyDescent="0.25">
      <c r="BM98" s="5"/>
      <c r="BQ98" s="216"/>
      <c r="BV98" s="5"/>
      <c r="BW98" s="5"/>
      <c r="BX98" s="5"/>
      <c r="BY98" s="5"/>
      <c r="BZ98" s="5"/>
      <c r="CA98" s="5"/>
      <c r="CI98" s="726">
        <v>45473</v>
      </c>
      <c r="CJ98" t="s">
        <v>398</v>
      </c>
      <c r="CK98">
        <v>2</v>
      </c>
      <c r="CL98" s="5">
        <v>29514711.669999994</v>
      </c>
      <c r="CM98" s="730">
        <v>432</v>
      </c>
      <c r="CN98" s="5">
        <v>104767896.24999991</v>
      </c>
    </row>
    <row r="99" spans="65:92" x14ac:dyDescent="0.25">
      <c r="BM99" s="5"/>
      <c r="BQ99" s="216"/>
      <c r="BV99" s="5"/>
      <c r="BW99" s="5"/>
      <c r="BX99" s="5"/>
      <c r="BY99" s="5"/>
      <c r="BZ99" s="5"/>
      <c r="CA99" s="5"/>
      <c r="CI99" s="726">
        <v>45473</v>
      </c>
      <c r="CJ99" t="s">
        <v>399</v>
      </c>
      <c r="CK99" t="s">
        <v>884</v>
      </c>
      <c r="CL99" s="5">
        <v>12718501.790000003</v>
      </c>
      <c r="CM99" s="730">
        <v>694</v>
      </c>
      <c r="CN99" s="5"/>
    </row>
    <row r="100" spans="65:92" x14ac:dyDescent="0.25">
      <c r="BM100" s="5"/>
      <c r="BQ100" s="216"/>
      <c r="BV100" s="5"/>
      <c r="BW100" s="5"/>
      <c r="BX100" s="5"/>
      <c r="BY100" s="5"/>
      <c r="BZ100" s="5"/>
      <c r="CA100" s="5"/>
      <c r="CI100" s="726">
        <v>45473</v>
      </c>
      <c r="CJ100" t="s">
        <v>400</v>
      </c>
      <c r="CK100" t="s">
        <v>375</v>
      </c>
      <c r="CL100" s="5">
        <v>34188190.849999972</v>
      </c>
      <c r="CM100" s="730">
        <v>426</v>
      </c>
      <c r="CN100" s="5"/>
    </row>
    <row r="101" spans="65:92" x14ac:dyDescent="0.25">
      <c r="BM101" s="5"/>
      <c r="BQ101" s="216"/>
      <c r="BV101" s="5"/>
      <c r="BW101" s="5"/>
      <c r="BX101" s="5"/>
      <c r="BY101" s="5"/>
      <c r="BZ101" s="5"/>
      <c r="CA101" s="5"/>
      <c r="CI101" s="726">
        <v>45473</v>
      </c>
      <c r="CJ101" t="s">
        <v>401</v>
      </c>
      <c r="CK101" t="s">
        <v>377</v>
      </c>
      <c r="CL101" s="5">
        <v>56941661.779999964</v>
      </c>
      <c r="CM101" s="730">
        <v>441</v>
      </c>
      <c r="CN101" s="5"/>
    </row>
    <row r="102" spans="65:92" x14ac:dyDescent="0.25">
      <c r="BM102" s="5"/>
      <c r="BQ102" s="216"/>
      <c r="BV102" s="5"/>
      <c r="BW102" s="5"/>
      <c r="BX102" s="5"/>
      <c r="BY102" s="5"/>
      <c r="BZ102" s="5"/>
      <c r="CA102" s="5"/>
      <c r="CI102" s="726">
        <v>45473</v>
      </c>
      <c r="CJ102" t="s">
        <v>402</v>
      </c>
      <c r="CK102" t="s">
        <v>379</v>
      </c>
      <c r="CL102" s="5">
        <v>75380532.269999981</v>
      </c>
      <c r="CM102" s="730">
        <v>426</v>
      </c>
      <c r="CN102" s="5"/>
    </row>
    <row r="103" spans="65:92" x14ac:dyDescent="0.25">
      <c r="BM103" s="5"/>
      <c r="BQ103" s="216"/>
      <c r="BV103" s="5"/>
      <c r="BW103" s="5"/>
      <c r="BX103" s="5"/>
      <c r="BY103" s="5"/>
      <c r="BZ103" s="5"/>
      <c r="CA103" s="5"/>
      <c r="CI103" s="726">
        <v>45473</v>
      </c>
      <c r="CJ103" t="s">
        <v>403</v>
      </c>
      <c r="CK103" t="s">
        <v>381</v>
      </c>
      <c r="CL103" s="5">
        <v>80514056.090000078</v>
      </c>
      <c r="CM103" s="730">
        <v>354</v>
      </c>
      <c r="CN103" s="5"/>
    </row>
    <row r="104" spans="65:92" x14ac:dyDescent="0.25">
      <c r="BM104" s="5"/>
      <c r="BQ104" s="216"/>
      <c r="BV104" s="5"/>
      <c r="BW104" s="5"/>
      <c r="BX104" s="5"/>
      <c r="BY104" s="5"/>
      <c r="BZ104" s="5"/>
      <c r="CA104" s="5"/>
      <c r="CI104" s="726">
        <v>45473</v>
      </c>
      <c r="CJ104" t="s">
        <v>404</v>
      </c>
      <c r="CK104" t="s">
        <v>383</v>
      </c>
      <c r="CL104" s="5">
        <v>75364769.109999985</v>
      </c>
      <c r="CM104" s="730">
        <v>285</v>
      </c>
      <c r="CN104" s="5"/>
    </row>
    <row r="105" spans="65:92" x14ac:dyDescent="0.25">
      <c r="BM105" s="5"/>
      <c r="BQ105" s="216"/>
      <c r="BV105" s="5"/>
      <c r="BW105" s="5"/>
      <c r="BX105" s="5"/>
      <c r="BY105" s="5"/>
      <c r="BZ105" s="5"/>
      <c r="CA105" s="5"/>
      <c r="CI105" s="726">
        <v>45473</v>
      </c>
      <c r="CJ105" t="s">
        <v>405</v>
      </c>
      <c r="CK105" t="s">
        <v>385</v>
      </c>
      <c r="CL105" s="5">
        <v>76776010.519999981</v>
      </c>
      <c r="CM105" s="730">
        <v>266</v>
      </c>
      <c r="CN105" s="5"/>
    </row>
    <row r="106" spans="65:92" x14ac:dyDescent="0.25">
      <c r="BM106" s="5"/>
      <c r="BQ106" s="216"/>
      <c r="BV106" s="5"/>
      <c r="BW106" s="5"/>
      <c r="BX106" s="5"/>
      <c r="BY106" s="5"/>
      <c r="BZ106" s="5"/>
      <c r="CA106" s="5"/>
      <c r="CI106" s="726">
        <v>45473</v>
      </c>
      <c r="CJ106" t="s">
        <v>406</v>
      </c>
      <c r="CK106" t="s">
        <v>387</v>
      </c>
      <c r="CL106" s="5">
        <v>93815002.719999939</v>
      </c>
      <c r="CM106" s="730">
        <v>275</v>
      </c>
      <c r="CN106" s="5"/>
    </row>
    <row r="107" spans="65:92" x14ac:dyDescent="0.25">
      <c r="BM107" s="5"/>
      <c r="BQ107" s="216"/>
      <c r="BV107" s="5"/>
      <c r="BW107" s="5"/>
      <c r="BX107" s="5"/>
      <c r="BY107" s="5"/>
      <c r="BZ107" s="5"/>
      <c r="CA107" s="5"/>
      <c r="CI107" s="726">
        <v>45473</v>
      </c>
      <c r="CJ107" t="s">
        <v>407</v>
      </c>
      <c r="CK107" t="s">
        <v>389</v>
      </c>
      <c r="CL107" s="5">
        <v>101902709.90000004</v>
      </c>
      <c r="CM107" s="730">
        <v>276</v>
      </c>
      <c r="CN107" s="5"/>
    </row>
    <row r="108" spans="65:92" x14ac:dyDescent="0.25">
      <c r="BM108" s="5"/>
      <c r="BQ108" s="216"/>
      <c r="BV108" s="5"/>
      <c r="BW108" s="5"/>
      <c r="BX108" s="5"/>
      <c r="BY108" s="5"/>
      <c r="BZ108" s="5"/>
      <c r="CA108" s="5"/>
      <c r="CI108" s="726">
        <v>45473</v>
      </c>
      <c r="CJ108" t="s">
        <v>408</v>
      </c>
      <c r="CK108" t="s">
        <v>391</v>
      </c>
      <c r="CL108" s="5">
        <v>76469362.400000006</v>
      </c>
      <c r="CM108" s="730">
        <v>191</v>
      </c>
      <c r="CN108" s="5"/>
    </row>
    <row r="109" spans="65:92" x14ac:dyDescent="0.25">
      <c r="BM109" s="5"/>
      <c r="BQ109" s="216"/>
      <c r="BV109" s="5"/>
      <c r="BW109" s="5"/>
      <c r="BX109" s="5"/>
      <c r="BY109" s="5"/>
      <c r="BZ109" s="5"/>
      <c r="CA109" s="5"/>
      <c r="CI109" s="726">
        <v>45473</v>
      </c>
      <c r="CJ109" t="s">
        <v>409</v>
      </c>
      <c r="CK109" t="s">
        <v>940</v>
      </c>
      <c r="CL109" s="5">
        <v>17216465.439999998</v>
      </c>
      <c r="CM109" s="730">
        <v>54</v>
      </c>
      <c r="CN109" s="5"/>
    </row>
    <row r="110" spans="65:92" x14ac:dyDescent="0.25">
      <c r="BM110" s="5"/>
      <c r="BQ110" s="216"/>
      <c r="BV110" s="5"/>
      <c r="BW110" s="5"/>
      <c r="BX110" s="5"/>
      <c r="BY110" s="5"/>
      <c r="BZ110" s="5"/>
      <c r="CA110" s="5"/>
      <c r="CI110" s="726">
        <v>45473</v>
      </c>
      <c r="CJ110" t="s">
        <v>411</v>
      </c>
      <c r="CK110" t="s">
        <v>884</v>
      </c>
      <c r="CL110" s="5">
        <v>715991.25000000012</v>
      </c>
      <c r="CM110" s="730">
        <v>16</v>
      </c>
      <c r="CN110" s="5"/>
    </row>
    <row r="111" spans="65:92" x14ac:dyDescent="0.25">
      <c r="BM111" s="5"/>
      <c r="BQ111" s="216"/>
      <c r="BV111" s="5"/>
      <c r="BW111" s="5"/>
      <c r="BX111" s="5"/>
      <c r="BY111" s="5"/>
      <c r="BZ111" s="5"/>
      <c r="CA111" s="5"/>
      <c r="CI111" s="726">
        <v>45473</v>
      </c>
      <c r="CJ111" t="s">
        <v>412</v>
      </c>
      <c r="CK111" t="s">
        <v>375</v>
      </c>
      <c r="CL111" s="5">
        <v>8582898.5199999996</v>
      </c>
      <c r="CM111" s="730">
        <v>74</v>
      </c>
      <c r="CN111" s="5"/>
    </row>
    <row r="112" spans="65:92" x14ac:dyDescent="0.25">
      <c r="BM112" s="5"/>
      <c r="BQ112" s="216"/>
      <c r="BV112" s="5"/>
      <c r="BW112" s="5"/>
      <c r="BX112" s="5"/>
      <c r="BY112" s="5"/>
      <c r="BZ112" s="5"/>
      <c r="CA112" s="5"/>
      <c r="CI112" s="726">
        <v>45473</v>
      </c>
      <c r="CJ112" t="s">
        <v>413</v>
      </c>
      <c r="CK112" t="s">
        <v>377</v>
      </c>
      <c r="CL112" s="5">
        <v>18818438.439999986</v>
      </c>
      <c r="CM112" s="730">
        <v>156</v>
      </c>
      <c r="CN112" s="5"/>
    </row>
    <row r="113" spans="65:92" x14ac:dyDescent="0.25">
      <c r="BM113" s="5"/>
      <c r="BQ113" s="216"/>
      <c r="BV113" s="5"/>
      <c r="BW113" s="5"/>
      <c r="BX113" s="5"/>
      <c r="BY113" s="5"/>
      <c r="BZ113" s="5"/>
      <c r="CA113" s="5"/>
      <c r="CI113" s="726">
        <v>45473</v>
      </c>
      <c r="CJ113" t="s">
        <v>414</v>
      </c>
      <c r="CK113" t="s">
        <v>379</v>
      </c>
      <c r="CL113" s="5">
        <v>31040225.919999983</v>
      </c>
      <c r="CM113" s="730">
        <v>210</v>
      </c>
      <c r="CN113" s="5"/>
    </row>
    <row r="114" spans="65:92" x14ac:dyDescent="0.25">
      <c r="BM114" s="5"/>
      <c r="BQ114" s="216"/>
      <c r="BV114" s="5"/>
      <c r="BW114" s="5"/>
      <c r="BX114" s="5"/>
      <c r="BY114" s="5"/>
      <c r="BZ114" s="5"/>
      <c r="CA114" s="5"/>
      <c r="CI114" s="726">
        <v>45473</v>
      </c>
      <c r="CJ114" t="s">
        <v>415</v>
      </c>
      <c r="CK114" t="s">
        <v>381</v>
      </c>
      <c r="CL114" s="5">
        <v>57481815.969999999</v>
      </c>
      <c r="CM114" s="730">
        <v>297</v>
      </c>
      <c r="CN114" s="5"/>
    </row>
    <row r="115" spans="65:92" x14ac:dyDescent="0.25">
      <c r="BM115" s="5"/>
      <c r="BQ115" s="216"/>
      <c r="BV115" s="5"/>
      <c r="BW115" s="5"/>
      <c r="BX115" s="5"/>
      <c r="BY115" s="5"/>
      <c r="BZ115" s="5"/>
      <c r="CA115" s="5"/>
      <c r="CI115" s="726">
        <v>45473</v>
      </c>
      <c r="CJ115" t="s">
        <v>416</v>
      </c>
      <c r="CK115" t="s">
        <v>383</v>
      </c>
      <c r="CL115" s="5">
        <v>59610873.699999973</v>
      </c>
      <c r="CM115" s="730">
        <v>340</v>
      </c>
      <c r="CN115" s="5"/>
    </row>
    <row r="116" spans="65:92" x14ac:dyDescent="0.25">
      <c r="BM116" s="5"/>
      <c r="BQ116" s="216"/>
      <c r="BV116" s="5"/>
      <c r="BW116" s="5"/>
      <c r="BX116" s="5"/>
      <c r="BY116" s="5"/>
      <c r="BZ116" s="5"/>
      <c r="CA116" s="5"/>
      <c r="CI116" s="726">
        <v>45473</v>
      </c>
      <c r="CJ116" t="s">
        <v>417</v>
      </c>
      <c r="CK116" t="s">
        <v>385</v>
      </c>
      <c r="CL116" s="5">
        <v>76232968.370000049</v>
      </c>
      <c r="CM116" s="730">
        <v>420</v>
      </c>
      <c r="CN116" s="5"/>
    </row>
    <row r="117" spans="65:92" x14ac:dyDescent="0.25">
      <c r="BM117" s="5"/>
      <c r="BQ117" s="216"/>
      <c r="BV117" s="5"/>
      <c r="BW117" s="5"/>
      <c r="BX117" s="5"/>
      <c r="BY117" s="5"/>
      <c r="BZ117" s="5"/>
      <c r="CA117" s="5"/>
      <c r="CI117" s="726">
        <v>45473</v>
      </c>
      <c r="CJ117" t="s">
        <v>418</v>
      </c>
      <c r="CK117" t="s">
        <v>387</v>
      </c>
      <c r="CL117" s="5">
        <v>70530638.980000004</v>
      </c>
      <c r="CM117" s="730">
        <v>363</v>
      </c>
      <c r="CN117" s="5"/>
    </row>
    <row r="118" spans="65:92" x14ac:dyDescent="0.25">
      <c r="BM118" s="5"/>
      <c r="BQ118" s="216"/>
      <c r="BV118" s="5"/>
      <c r="BW118" s="5"/>
      <c r="BX118" s="5"/>
      <c r="BY118" s="5"/>
      <c r="BZ118" s="5"/>
      <c r="CA118" s="5"/>
      <c r="CI118" s="726">
        <v>45473</v>
      </c>
      <c r="CJ118" t="s">
        <v>419</v>
      </c>
      <c r="CK118" t="s">
        <v>389</v>
      </c>
      <c r="CL118" s="5">
        <v>94053894.270000011</v>
      </c>
      <c r="CM118" s="730">
        <v>434</v>
      </c>
      <c r="CN118" s="5"/>
    </row>
    <row r="119" spans="65:92" x14ac:dyDescent="0.25">
      <c r="BM119" s="5"/>
      <c r="BQ119" s="216"/>
      <c r="BV119" s="5"/>
      <c r="BW119" s="5"/>
      <c r="BX119" s="5"/>
      <c r="BY119" s="5"/>
      <c r="BZ119" s="5"/>
      <c r="CA119" s="5"/>
      <c r="CI119" s="726">
        <v>45473</v>
      </c>
      <c r="CJ119" t="s">
        <v>420</v>
      </c>
      <c r="CK119" t="s">
        <v>391</v>
      </c>
      <c r="CL119" s="5">
        <v>244354696.83999994</v>
      </c>
      <c r="CM119" s="730">
        <v>1261</v>
      </c>
      <c r="CN119" s="5"/>
    </row>
    <row r="120" spans="65:92" x14ac:dyDescent="0.25">
      <c r="BM120" s="5"/>
      <c r="BQ120" s="216"/>
      <c r="BV120" s="5"/>
      <c r="BW120" s="5"/>
      <c r="BX120" s="5"/>
      <c r="BY120" s="5"/>
      <c r="BZ120" s="5"/>
      <c r="CA120" s="5"/>
      <c r="CI120" s="726">
        <v>45473</v>
      </c>
      <c r="CJ120" t="s">
        <v>421</v>
      </c>
      <c r="CK120" t="s">
        <v>940</v>
      </c>
      <c r="CL120" s="5">
        <v>39864820.609999999</v>
      </c>
      <c r="CM120" s="730">
        <v>117</v>
      </c>
      <c r="CN120" s="5"/>
    </row>
    <row r="121" spans="65:92" x14ac:dyDescent="0.25">
      <c r="BM121" s="5"/>
      <c r="BQ121" s="216"/>
      <c r="BV121" s="5"/>
      <c r="BW121" s="5"/>
      <c r="BX121" s="5"/>
      <c r="BY121" s="5"/>
      <c r="BZ121" s="5"/>
      <c r="CA121" s="5"/>
      <c r="CI121" s="726">
        <v>45473</v>
      </c>
      <c r="CJ121" t="s">
        <v>422</v>
      </c>
      <c r="CK121" t="s">
        <v>884</v>
      </c>
      <c r="CL121" s="5">
        <v>6238242.3000000035</v>
      </c>
      <c r="CM121" s="730">
        <v>381</v>
      </c>
      <c r="CN121" s="5"/>
    </row>
    <row r="122" spans="65:92" x14ac:dyDescent="0.25">
      <c r="BM122" s="5"/>
      <c r="BQ122" s="216"/>
      <c r="BV122" s="5"/>
      <c r="BW122" s="5"/>
      <c r="BX122" s="5"/>
      <c r="BY122" s="5"/>
      <c r="BZ122" s="5"/>
      <c r="CA122" s="5"/>
      <c r="CI122" s="726">
        <v>45473</v>
      </c>
      <c r="CJ122" t="s">
        <v>423</v>
      </c>
      <c r="CK122" t="s">
        <v>375</v>
      </c>
      <c r="CL122" s="5">
        <v>10658514.580000002</v>
      </c>
      <c r="CM122" s="730">
        <v>156</v>
      </c>
      <c r="CN122" s="5"/>
    </row>
    <row r="123" spans="65:92" x14ac:dyDescent="0.25">
      <c r="BM123" s="5"/>
      <c r="BQ123" s="216"/>
      <c r="BV123" s="5"/>
      <c r="BW123" s="5"/>
      <c r="BX123" s="5"/>
      <c r="BY123" s="5"/>
      <c r="BZ123" s="5"/>
      <c r="CA123" s="5"/>
      <c r="CI123" s="726">
        <v>45473</v>
      </c>
      <c r="CJ123" t="s">
        <v>424</v>
      </c>
      <c r="CK123" t="s">
        <v>377</v>
      </c>
      <c r="CL123" s="5">
        <v>11407674.399999997</v>
      </c>
      <c r="CM123" s="730">
        <v>112</v>
      </c>
      <c r="CN123" s="5"/>
    </row>
    <row r="124" spans="65:92" x14ac:dyDescent="0.25">
      <c r="BM124" s="5"/>
      <c r="BQ124" s="216"/>
      <c r="BV124" s="5"/>
      <c r="BW124" s="5"/>
      <c r="BX124" s="5"/>
      <c r="BY124" s="5"/>
      <c r="BZ124" s="5"/>
      <c r="CA124" s="5"/>
      <c r="CI124" s="726">
        <v>45473</v>
      </c>
      <c r="CJ124" t="s">
        <v>425</v>
      </c>
      <c r="CK124" t="s">
        <v>379</v>
      </c>
      <c r="CL124" s="5">
        <v>17591985.630000003</v>
      </c>
      <c r="CM124" s="730">
        <v>101</v>
      </c>
      <c r="CN124" s="5"/>
    </row>
    <row r="125" spans="65:92" x14ac:dyDescent="0.25">
      <c r="BM125" s="5"/>
      <c r="BQ125" s="216"/>
      <c r="BV125" s="5"/>
      <c r="BW125" s="5"/>
      <c r="BX125" s="5"/>
      <c r="BY125" s="5"/>
      <c r="BZ125" s="5"/>
      <c r="CA125" s="5"/>
      <c r="CI125" s="726">
        <v>45473</v>
      </c>
      <c r="CJ125" t="s">
        <v>426</v>
      </c>
      <c r="CK125" t="s">
        <v>381</v>
      </c>
      <c r="CL125" s="5">
        <v>15166407.469999997</v>
      </c>
      <c r="CM125" s="730">
        <v>62</v>
      </c>
      <c r="CN125" s="5"/>
    </row>
    <row r="126" spans="65:92" x14ac:dyDescent="0.25">
      <c r="BM126" s="5"/>
      <c r="BQ126" s="216"/>
      <c r="BV126" s="5"/>
      <c r="BW126" s="5"/>
      <c r="BX126" s="5"/>
      <c r="BY126" s="5"/>
      <c r="BZ126" s="5"/>
      <c r="CA126" s="5"/>
      <c r="CI126" s="726">
        <v>45473</v>
      </c>
      <c r="CJ126" t="s">
        <v>427</v>
      </c>
      <c r="CK126" t="s">
        <v>383</v>
      </c>
      <c r="CL126" s="5">
        <v>10612374.32</v>
      </c>
      <c r="CM126" s="730">
        <v>39</v>
      </c>
      <c r="CN126" s="5"/>
    </row>
    <row r="127" spans="65:92" x14ac:dyDescent="0.25">
      <c r="BM127" s="5"/>
      <c r="BQ127" s="216"/>
      <c r="BV127" s="5"/>
      <c r="BW127" s="5"/>
      <c r="BX127" s="5"/>
      <c r="BY127" s="5"/>
      <c r="BZ127" s="5"/>
      <c r="CA127" s="5"/>
      <c r="CI127" s="726">
        <v>45473</v>
      </c>
      <c r="CJ127" t="s">
        <v>428</v>
      </c>
      <c r="CK127" t="s">
        <v>385</v>
      </c>
      <c r="CL127" s="5">
        <v>10351063.540000003</v>
      </c>
      <c r="CM127" s="730">
        <v>31</v>
      </c>
      <c r="CN127" s="5"/>
    </row>
    <row r="128" spans="65:92" x14ac:dyDescent="0.25">
      <c r="BM128" s="5"/>
      <c r="BQ128" s="216"/>
      <c r="BV128" s="5"/>
      <c r="BW128" s="5"/>
      <c r="BX128" s="5"/>
      <c r="BY128" s="5"/>
      <c r="BZ128" s="5"/>
      <c r="CA128" s="5"/>
      <c r="CI128" s="726">
        <v>45473</v>
      </c>
      <c r="CJ128" t="s">
        <v>429</v>
      </c>
      <c r="CK128" t="s">
        <v>387</v>
      </c>
      <c r="CL128" s="5">
        <v>10656970.100000001</v>
      </c>
      <c r="CM128" s="730">
        <v>23</v>
      </c>
      <c r="CN128" s="5"/>
    </row>
    <row r="129" spans="65:92" x14ac:dyDescent="0.25">
      <c r="BM129" s="5"/>
      <c r="BQ129" s="216"/>
      <c r="BV129" s="5"/>
      <c r="BW129" s="5"/>
      <c r="BX129" s="5"/>
      <c r="BY129" s="5"/>
      <c r="BZ129" s="5"/>
      <c r="CA129" s="5"/>
      <c r="CI129" s="726">
        <v>45473</v>
      </c>
      <c r="CJ129" t="s">
        <v>430</v>
      </c>
      <c r="CK129" t="s">
        <v>389</v>
      </c>
      <c r="CL129" s="5">
        <v>4895967.34</v>
      </c>
      <c r="CM129" s="730">
        <v>10</v>
      </c>
      <c r="CN129" s="5"/>
    </row>
    <row r="130" spans="65:92" x14ac:dyDescent="0.25">
      <c r="BM130" s="5"/>
      <c r="BQ130" s="216"/>
      <c r="BV130" s="5"/>
      <c r="BW130" s="5"/>
      <c r="BX130" s="5"/>
      <c r="BY130" s="5"/>
      <c r="BZ130" s="5"/>
      <c r="CA130" s="5"/>
      <c r="CI130" s="726">
        <v>45473</v>
      </c>
      <c r="CJ130" t="s">
        <v>431</v>
      </c>
      <c r="CK130" t="s">
        <v>391</v>
      </c>
      <c r="CL130" s="5">
        <v>5428963.5300000003</v>
      </c>
      <c r="CM130" s="730">
        <v>10</v>
      </c>
      <c r="CN130" s="5"/>
    </row>
    <row r="131" spans="65:92" x14ac:dyDescent="0.25">
      <c r="BM131" s="5"/>
      <c r="BQ131" s="216"/>
      <c r="BV131" s="5"/>
      <c r="BW131" s="5"/>
      <c r="BX131" s="5"/>
      <c r="BY131" s="5"/>
      <c r="BZ131" s="5"/>
      <c r="CA131" s="5"/>
      <c r="CI131" s="726">
        <v>45473</v>
      </c>
      <c r="CJ131" t="s">
        <v>432</v>
      </c>
      <c r="CK131" t="s">
        <v>940</v>
      </c>
      <c r="CL131" s="5">
        <v>0</v>
      </c>
      <c r="CM131" s="730">
        <v>0</v>
      </c>
      <c r="CN131" s="5"/>
    </row>
    <row r="132" spans="65:92" x14ac:dyDescent="0.25">
      <c r="BM132" s="5"/>
      <c r="BQ132" s="216"/>
      <c r="BV132" s="5"/>
      <c r="BW132" s="5"/>
      <c r="BX132" s="5"/>
      <c r="BY132" s="5"/>
      <c r="BZ132" s="5"/>
      <c r="CA132" s="5"/>
      <c r="CI132" s="726">
        <v>45473</v>
      </c>
      <c r="CJ132" t="s">
        <v>433</v>
      </c>
      <c r="CK132" t="s">
        <v>884</v>
      </c>
      <c r="CL132" s="5">
        <v>164657.46999999997</v>
      </c>
      <c r="CM132" s="730">
        <v>4</v>
      </c>
      <c r="CN132" s="5"/>
    </row>
    <row r="133" spans="65:92" x14ac:dyDescent="0.25">
      <c r="BM133" s="5"/>
      <c r="BQ133" s="216"/>
      <c r="BV133" s="5"/>
      <c r="BW133" s="5"/>
      <c r="BX133" s="5"/>
      <c r="BY133" s="5"/>
      <c r="BZ133" s="5"/>
      <c r="CA133" s="5"/>
      <c r="CI133" s="726">
        <v>45473</v>
      </c>
      <c r="CJ133" t="s">
        <v>434</v>
      </c>
      <c r="CK133" t="s">
        <v>375</v>
      </c>
      <c r="CL133" s="5">
        <v>2528643.4400000004</v>
      </c>
      <c r="CM133" s="730">
        <v>19</v>
      </c>
      <c r="CN133" s="5"/>
    </row>
    <row r="134" spans="65:92" x14ac:dyDescent="0.25">
      <c r="BM134" s="5"/>
      <c r="BQ134" s="216"/>
      <c r="BV134" s="5"/>
      <c r="BW134" s="5"/>
      <c r="BX134" s="5"/>
      <c r="BY134" s="5"/>
      <c r="BZ134" s="5"/>
      <c r="CA134" s="5"/>
      <c r="CI134" s="726">
        <v>45473</v>
      </c>
      <c r="CJ134" t="s">
        <v>435</v>
      </c>
      <c r="CK134" t="s">
        <v>377</v>
      </c>
      <c r="CL134" s="5">
        <v>2239294.64</v>
      </c>
      <c r="CM134" s="730">
        <v>34</v>
      </c>
      <c r="CN134" s="5"/>
    </row>
    <row r="135" spans="65:92" x14ac:dyDescent="0.25">
      <c r="BM135" s="5"/>
      <c r="BQ135" s="216"/>
      <c r="BV135" s="5"/>
      <c r="BW135" s="5"/>
      <c r="BX135" s="5"/>
      <c r="BY135" s="5"/>
      <c r="BZ135" s="5"/>
      <c r="CA135" s="5"/>
      <c r="CI135" s="726">
        <v>45473</v>
      </c>
      <c r="CJ135" t="s">
        <v>436</v>
      </c>
      <c r="CK135" t="s">
        <v>379</v>
      </c>
      <c r="CL135" s="5">
        <v>3064503.0700000003</v>
      </c>
      <c r="CM135" s="730">
        <v>38</v>
      </c>
      <c r="CN135" s="5"/>
    </row>
    <row r="136" spans="65:92" x14ac:dyDescent="0.25">
      <c r="BM136" s="5"/>
      <c r="BQ136" s="216"/>
      <c r="BV136" s="5"/>
      <c r="BW136" s="5"/>
      <c r="BX136" s="5"/>
      <c r="BY136" s="5"/>
      <c r="BZ136" s="5"/>
      <c r="CA136" s="5"/>
      <c r="CI136" s="726">
        <v>45473</v>
      </c>
      <c r="CJ136" t="s">
        <v>437</v>
      </c>
      <c r="CK136" t="s">
        <v>381</v>
      </c>
      <c r="CL136" s="5">
        <v>9785544.8800000027</v>
      </c>
      <c r="CM136" s="730">
        <v>70</v>
      </c>
      <c r="CN136" s="5"/>
    </row>
    <row r="137" spans="65:92" x14ac:dyDescent="0.25">
      <c r="BM137" s="5"/>
      <c r="BQ137" s="216"/>
      <c r="BV137" s="5"/>
      <c r="BW137" s="5"/>
      <c r="BX137" s="5"/>
      <c r="BY137" s="5"/>
      <c r="BZ137" s="5"/>
      <c r="CA137" s="5"/>
      <c r="CI137" s="726">
        <v>45473</v>
      </c>
      <c r="CJ137" t="s">
        <v>438</v>
      </c>
      <c r="CK137" t="s">
        <v>383</v>
      </c>
      <c r="CL137" s="5">
        <v>6877977.2800000003</v>
      </c>
      <c r="CM137" s="730">
        <v>82</v>
      </c>
      <c r="CN137" s="5"/>
    </row>
    <row r="138" spans="65:92" x14ac:dyDescent="0.25">
      <c r="BM138" s="5"/>
      <c r="BQ138" s="216"/>
      <c r="BV138" s="5"/>
      <c r="BW138" s="5"/>
      <c r="BX138" s="5"/>
      <c r="BY138" s="5"/>
      <c r="BZ138" s="5"/>
      <c r="CA138" s="5"/>
      <c r="CI138" s="726">
        <v>45473</v>
      </c>
      <c r="CJ138" t="s">
        <v>439</v>
      </c>
      <c r="CK138" t="s">
        <v>385</v>
      </c>
      <c r="CL138" s="5">
        <v>9874445.4600000028</v>
      </c>
      <c r="CM138" s="730">
        <v>133</v>
      </c>
      <c r="CN138" s="5"/>
    </row>
    <row r="139" spans="65:92" x14ac:dyDescent="0.25">
      <c r="BM139" s="5"/>
      <c r="BQ139" s="216"/>
      <c r="BV139" s="5"/>
      <c r="BW139" s="5"/>
      <c r="BX139" s="5"/>
      <c r="BY139" s="5"/>
      <c r="BZ139" s="5"/>
      <c r="CA139" s="5"/>
      <c r="CI139" s="726">
        <v>45473</v>
      </c>
      <c r="CJ139" t="s">
        <v>440</v>
      </c>
      <c r="CK139" t="s">
        <v>387</v>
      </c>
      <c r="CL139" s="5">
        <v>18599680.649999984</v>
      </c>
      <c r="CM139" s="730">
        <v>151</v>
      </c>
      <c r="CN139" s="5"/>
    </row>
    <row r="140" spans="65:92" x14ac:dyDescent="0.25">
      <c r="BM140" s="5"/>
      <c r="BQ140" s="216"/>
      <c r="BV140" s="5"/>
      <c r="BW140" s="5"/>
      <c r="BX140" s="5"/>
      <c r="BY140" s="5"/>
      <c r="BZ140" s="5"/>
      <c r="CA140" s="5"/>
      <c r="CI140" s="726">
        <v>45473</v>
      </c>
      <c r="CJ140" t="s">
        <v>441</v>
      </c>
      <c r="CK140" t="s">
        <v>389</v>
      </c>
      <c r="CL140" s="5">
        <v>18155411.770000007</v>
      </c>
      <c r="CM140" s="730">
        <v>137</v>
      </c>
      <c r="CN140" s="5"/>
    </row>
    <row r="141" spans="65:92" x14ac:dyDescent="0.25">
      <c r="BM141" s="5"/>
      <c r="BQ141" s="216"/>
      <c r="BV141" s="5"/>
      <c r="BW141" s="5"/>
      <c r="BX141" s="5"/>
      <c r="BY141" s="5"/>
      <c r="BZ141" s="5"/>
      <c r="CA141" s="5"/>
      <c r="CI141" s="726">
        <v>45473</v>
      </c>
      <c r="CJ141" t="s">
        <v>442</v>
      </c>
      <c r="CK141" t="s">
        <v>391</v>
      </c>
      <c r="CL141" s="5">
        <v>31718004.550000012</v>
      </c>
      <c r="CM141" s="730">
        <v>257</v>
      </c>
      <c r="CN141" s="5"/>
    </row>
    <row r="142" spans="65:92" x14ac:dyDescent="0.25">
      <c r="BM142" s="5"/>
      <c r="BQ142" s="216"/>
      <c r="BV142" s="5"/>
      <c r="BW142" s="5"/>
      <c r="BX142" s="5"/>
      <c r="BY142" s="5"/>
      <c r="BZ142" s="5"/>
      <c r="CA142" s="5"/>
      <c r="CI142" s="726">
        <v>45473</v>
      </c>
      <c r="CJ142" t="s">
        <v>443</v>
      </c>
      <c r="CK142" t="s">
        <v>940</v>
      </c>
      <c r="CL142" s="5">
        <v>0</v>
      </c>
      <c r="CM142" s="730">
        <v>0</v>
      </c>
      <c r="CN142" s="5"/>
    </row>
    <row r="143" spans="65:92" x14ac:dyDescent="0.25">
      <c r="BM143" s="5"/>
      <c r="BQ143" s="216"/>
      <c r="BV143" s="5"/>
      <c r="BW143" s="5"/>
      <c r="BX143" s="5"/>
      <c r="BY143" s="5"/>
      <c r="BZ143" s="5"/>
      <c r="CA143" s="5"/>
      <c r="CI143" s="726">
        <v>45473</v>
      </c>
      <c r="CJ143" t="s">
        <v>444</v>
      </c>
      <c r="CK143" t="s">
        <v>941</v>
      </c>
      <c r="CL143" s="5">
        <v>371763921.72000021</v>
      </c>
      <c r="CM143" s="730">
        <v>1778</v>
      </c>
      <c r="CN143" s="5"/>
    </row>
    <row r="144" spans="65:92" x14ac:dyDescent="0.25">
      <c r="BM144" s="5"/>
      <c r="BQ144" s="216"/>
      <c r="BV144" s="5"/>
      <c r="BW144" s="5"/>
      <c r="BX144" s="5"/>
      <c r="BY144" s="5"/>
      <c r="BZ144" s="5"/>
      <c r="CA144" s="5"/>
      <c r="CI144" s="726">
        <v>45473</v>
      </c>
      <c r="CJ144" t="s">
        <v>445</v>
      </c>
      <c r="CK144" t="s">
        <v>942</v>
      </c>
      <c r="CL144" s="5">
        <v>112327835.84000015</v>
      </c>
      <c r="CM144" s="730">
        <v>707</v>
      </c>
      <c r="CN144" s="5"/>
    </row>
    <row r="145" spans="65:92" x14ac:dyDescent="0.25">
      <c r="BM145" s="5"/>
      <c r="BQ145" s="216"/>
      <c r="BV145" s="5"/>
      <c r="BW145" s="5"/>
      <c r="BX145" s="5"/>
      <c r="BY145" s="5"/>
      <c r="BZ145" s="5"/>
      <c r="CA145" s="5"/>
      <c r="CI145" s="726">
        <v>45473</v>
      </c>
      <c r="CJ145" t="s">
        <v>446</v>
      </c>
      <c r="CK145" t="s">
        <v>943</v>
      </c>
      <c r="CL145" s="5">
        <v>63880727.410000011</v>
      </c>
      <c r="CM145" s="730">
        <v>257</v>
      </c>
      <c r="CN145" s="5"/>
    </row>
    <row r="146" spans="65:92" x14ac:dyDescent="0.25">
      <c r="BM146" s="5"/>
      <c r="BQ146" s="216"/>
      <c r="BV146" s="5"/>
      <c r="BW146" s="5"/>
      <c r="BX146" s="5"/>
      <c r="BY146" s="5"/>
      <c r="BZ146" s="5"/>
      <c r="CA146" s="5"/>
      <c r="CI146" s="726">
        <v>45473</v>
      </c>
      <c r="CJ146" t="s">
        <v>447</v>
      </c>
      <c r="CK146" t="s">
        <v>944</v>
      </c>
      <c r="CL146" s="5">
        <v>58962679.430000059</v>
      </c>
      <c r="CM146" s="730">
        <v>471</v>
      </c>
      <c r="CN146" s="5"/>
    </row>
    <row r="147" spans="65:92" x14ac:dyDescent="0.25">
      <c r="BM147" s="5"/>
      <c r="BQ147" s="216"/>
      <c r="BV147" s="5"/>
      <c r="BW147" s="5"/>
      <c r="BX147" s="5"/>
      <c r="BY147" s="5"/>
      <c r="BZ147" s="5"/>
      <c r="CA147" s="5"/>
      <c r="CI147" s="726">
        <v>45473</v>
      </c>
      <c r="CJ147" t="s">
        <v>448</v>
      </c>
      <c r="CK147" t="s">
        <v>945</v>
      </c>
      <c r="CL147" s="5">
        <v>41662828.17999997</v>
      </c>
      <c r="CM147" s="730">
        <v>158</v>
      </c>
      <c r="CN147" s="5"/>
    </row>
    <row r="148" spans="65:92" x14ac:dyDescent="0.25">
      <c r="BM148" s="5"/>
      <c r="BQ148" s="216"/>
      <c r="BV148" s="5"/>
      <c r="BW148" s="5"/>
      <c r="BX148" s="5"/>
      <c r="BY148" s="5"/>
      <c r="BZ148" s="5"/>
      <c r="CA148" s="5"/>
      <c r="CI148" s="726">
        <v>45473</v>
      </c>
      <c r="CJ148" t="s">
        <v>449</v>
      </c>
      <c r="CK148" t="s">
        <v>946</v>
      </c>
      <c r="CL148" s="5">
        <v>25601020.899999991</v>
      </c>
      <c r="CM148" s="730">
        <v>120</v>
      </c>
      <c r="CN148" s="5"/>
    </row>
    <row r="149" spans="65:92" x14ac:dyDescent="0.25">
      <c r="BM149" s="5"/>
      <c r="BQ149" s="216"/>
      <c r="BV149" s="5"/>
      <c r="BW149" s="5"/>
      <c r="BX149" s="5"/>
      <c r="BY149" s="5"/>
      <c r="BZ149" s="5"/>
      <c r="CA149" s="5"/>
      <c r="CI149" s="726">
        <v>45473</v>
      </c>
      <c r="CJ149" t="s">
        <v>450</v>
      </c>
      <c r="CK149" t="s">
        <v>947</v>
      </c>
      <c r="CL149" s="5">
        <v>21657960.080000002</v>
      </c>
      <c r="CM149" s="730">
        <v>146</v>
      </c>
      <c r="CN149" s="5"/>
    </row>
    <row r="150" spans="65:92" x14ac:dyDescent="0.25">
      <c r="BM150" s="5"/>
      <c r="BQ150" s="216"/>
      <c r="BV150" s="5"/>
      <c r="BW150" s="5"/>
      <c r="BX150" s="5"/>
      <c r="BY150" s="5"/>
      <c r="BZ150" s="5"/>
      <c r="CA150" s="5"/>
      <c r="CI150" s="726">
        <v>45473</v>
      </c>
      <c r="CJ150" t="s">
        <v>451</v>
      </c>
      <c r="CK150" t="s">
        <v>948</v>
      </c>
      <c r="CL150" s="5">
        <v>3995757.6600000006</v>
      </c>
      <c r="CM150" s="730">
        <v>30</v>
      </c>
      <c r="CN150" s="5"/>
    </row>
    <row r="151" spans="65:92" x14ac:dyDescent="0.25">
      <c r="BM151" s="5"/>
      <c r="BQ151" s="216"/>
      <c r="BV151" s="5"/>
      <c r="BW151" s="5"/>
      <c r="BX151" s="5"/>
      <c r="BY151" s="5"/>
      <c r="BZ151" s="5"/>
      <c r="CA151" s="5"/>
      <c r="CI151" s="726">
        <v>45473</v>
      </c>
      <c r="CJ151" t="s">
        <v>452</v>
      </c>
      <c r="CK151" t="s">
        <v>949</v>
      </c>
      <c r="CL151" s="5">
        <v>1036116.5099999998</v>
      </c>
      <c r="CM151" s="730">
        <v>19</v>
      </c>
      <c r="CN151" s="5"/>
    </row>
    <row r="152" spans="65:92" x14ac:dyDescent="0.25">
      <c r="BM152" s="5"/>
      <c r="BQ152" s="216"/>
      <c r="BV152" s="5"/>
      <c r="BW152" s="5"/>
      <c r="BX152" s="5"/>
      <c r="BY152" s="5"/>
      <c r="BZ152" s="5"/>
      <c r="CA152" s="5"/>
      <c r="CI152" s="726">
        <v>45473</v>
      </c>
      <c r="CJ152" t="s">
        <v>453</v>
      </c>
      <c r="CK152" t="s">
        <v>370</v>
      </c>
      <c r="CL152" s="5">
        <v>382831.04</v>
      </c>
      <c r="CM152" s="730">
        <v>1</v>
      </c>
      <c r="CN152" s="5"/>
    </row>
    <row r="153" spans="65:92" x14ac:dyDescent="0.25">
      <c r="BM153" s="5"/>
      <c r="BQ153" s="216"/>
      <c r="BV153" s="5"/>
      <c r="BW153" s="5"/>
      <c r="BX153" s="5"/>
      <c r="BY153" s="5"/>
      <c r="BZ153" s="5"/>
      <c r="CA153" s="5"/>
      <c r="CI153" s="726">
        <v>45473</v>
      </c>
      <c r="CJ153" t="s">
        <v>454</v>
      </c>
      <c r="CK153" t="s">
        <v>950</v>
      </c>
      <c r="CL153" s="5">
        <v>15584.1</v>
      </c>
      <c r="CM153" s="730">
        <v>1</v>
      </c>
      <c r="CN153" s="5"/>
    </row>
    <row r="154" spans="65:92" x14ac:dyDescent="0.25">
      <c r="BM154" s="5"/>
      <c r="BQ154" s="216"/>
      <c r="BV154" s="5"/>
      <c r="BW154" s="5"/>
      <c r="BX154" s="5"/>
      <c r="BY154" s="5"/>
      <c r="BZ154" s="5"/>
      <c r="CA154" s="5"/>
      <c r="CI154" s="726">
        <v>45473</v>
      </c>
      <c r="CJ154" t="s">
        <v>455</v>
      </c>
      <c r="CK154" t="s">
        <v>951</v>
      </c>
      <c r="CL154" s="5">
        <v>671907916.06999958</v>
      </c>
      <c r="CM154" s="730">
        <v>3621</v>
      </c>
      <c r="CN154" s="5"/>
    </row>
    <row r="155" spans="65:92" x14ac:dyDescent="0.25">
      <c r="BM155" s="5"/>
      <c r="BQ155" s="216"/>
      <c r="BV155" s="5"/>
      <c r="BW155" s="5"/>
      <c r="BX155" s="5"/>
      <c r="BY155" s="5"/>
      <c r="BZ155" s="5"/>
      <c r="CA155" s="5"/>
      <c r="CI155" s="726">
        <v>45473</v>
      </c>
      <c r="CJ155" t="s">
        <v>456</v>
      </c>
      <c r="CK155" t="s">
        <v>952</v>
      </c>
      <c r="CL155" s="5">
        <v>0</v>
      </c>
      <c r="CM155" s="730">
        <v>0</v>
      </c>
      <c r="CN155" s="5"/>
    </row>
    <row r="156" spans="65:92" x14ac:dyDescent="0.25">
      <c r="BM156" s="5"/>
      <c r="BQ156" s="216"/>
      <c r="BV156" s="5"/>
      <c r="BW156" s="5"/>
      <c r="BX156" s="5"/>
      <c r="BY156" s="5"/>
      <c r="BZ156" s="5"/>
      <c r="CA156" s="5"/>
      <c r="CI156" s="726">
        <v>45473</v>
      </c>
      <c r="CJ156" t="s">
        <v>457</v>
      </c>
      <c r="CK156" t="s">
        <v>953</v>
      </c>
      <c r="CL156" s="5">
        <v>0</v>
      </c>
      <c r="CM156" s="730">
        <v>0</v>
      </c>
      <c r="CN156" s="5"/>
    </row>
    <row r="157" spans="65:92" x14ac:dyDescent="0.25">
      <c r="BM157" s="5"/>
      <c r="BQ157" s="216"/>
      <c r="BV157" s="5"/>
      <c r="BW157" s="5"/>
      <c r="BX157" s="5"/>
      <c r="BY157" s="5"/>
      <c r="BZ157" s="5"/>
      <c r="CA157" s="5"/>
      <c r="CI157" s="726">
        <v>45473</v>
      </c>
      <c r="CJ157" t="s">
        <v>458</v>
      </c>
      <c r="CK157" t="s">
        <v>954</v>
      </c>
      <c r="CL157" s="5">
        <v>29379346.800000001</v>
      </c>
      <c r="CM157" s="730">
        <v>67</v>
      </c>
      <c r="CN157" s="5"/>
    </row>
    <row r="158" spans="65:92" x14ac:dyDescent="0.25">
      <c r="BM158" s="5"/>
      <c r="BQ158" s="216"/>
      <c r="BV158" s="5"/>
      <c r="BW158" s="5"/>
      <c r="BX158" s="5"/>
      <c r="BY158" s="5"/>
      <c r="BZ158" s="5"/>
      <c r="CA158" s="5"/>
      <c r="CI158" s="726">
        <v>45473</v>
      </c>
      <c r="CJ158" t="s">
        <v>459</v>
      </c>
      <c r="CK158" t="s">
        <v>883</v>
      </c>
      <c r="CL158" s="5">
        <v>0</v>
      </c>
      <c r="CM158" s="730">
        <v>0</v>
      </c>
      <c r="CN158" s="5"/>
    </row>
    <row r="159" spans="65:92" x14ac:dyDescent="0.25">
      <c r="BM159" s="5"/>
      <c r="BQ159" s="216"/>
      <c r="BV159" s="5"/>
      <c r="BW159" s="5"/>
      <c r="BX159" s="5"/>
      <c r="BY159" s="5"/>
      <c r="BZ159" s="5"/>
      <c r="CA159" s="5"/>
      <c r="CI159" s="726">
        <v>45473</v>
      </c>
      <c r="CJ159" t="s">
        <v>460</v>
      </c>
      <c r="CK159" t="s">
        <v>885</v>
      </c>
      <c r="CL159" s="5">
        <v>697448936.85999978</v>
      </c>
      <c r="CM159" s="730">
        <v>3685</v>
      </c>
      <c r="CN159" s="5">
        <v>1111442564.28</v>
      </c>
    </row>
    <row r="160" spans="65:92" x14ac:dyDescent="0.25">
      <c r="BM160" s="5"/>
      <c r="BQ160" s="216"/>
      <c r="BV160" s="5"/>
      <c r="BW160" s="5"/>
      <c r="BX160" s="5"/>
      <c r="BY160" s="5"/>
      <c r="BZ160" s="5"/>
      <c r="CA160" s="5"/>
      <c r="CI160" s="726">
        <v>45473</v>
      </c>
      <c r="CJ160" t="s">
        <v>461</v>
      </c>
      <c r="CK160" t="s">
        <v>886</v>
      </c>
      <c r="CL160" s="5">
        <v>3768795.38</v>
      </c>
      <c r="CM160" s="730">
        <v>2</v>
      </c>
      <c r="CN160" s="5">
        <v>4174882.89</v>
      </c>
    </row>
    <row r="161" spans="65:92" x14ac:dyDescent="0.25">
      <c r="BM161" s="5"/>
      <c r="BQ161" s="216"/>
      <c r="BV161" s="5"/>
      <c r="BW161" s="5"/>
      <c r="BX161" s="5"/>
      <c r="BY161" s="5"/>
      <c r="BZ161" s="5"/>
      <c r="CA161" s="5"/>
      <c r="CI161" s="726">
        <v>45473</v>
      </c>
      <c r="CJ161" t="s">
        <v>462</v>
      </c>
      <c r="CK161" t="s">
        <v>887</v>
      </c>
      <c r="CL161" s="5">
        <v>0</v>
      </c>
      <c r="CM161" s="730">
        <v>0</v>
      </c>
      <c r="CN161" s="5">
        <v>0</v>
      </c>
    </row>
    <row r="162" spans="65:92" x14ac:dyDescent="0.25">
      <c r="BM162" s="5"/>
      <c r="BQ162" s="216"/>
      <c r="BV162" s="5"/>
      <c r="BW162" s="5"/>
      <c r="BX162" s="5"/>
      <c r="BY162" s="5"/>
      <c r="BZ162" s="5"/>
      <c r="CA162" s="5"/>
      <c r="CI162" s="726">
        <v>45473</v>
      </c>
      <c r="CJ162" t="s">
        <v>463</v>
      </c>
      <c r="CK162" t="s">
        <v>888</v>
      </c>
      <c r="CL162" s="5">
        <v>69530.63</v>
      </c>
      <c r="CM162" s="730">
        <v>1</v>
      </c>
      <c r="CN162" s="5">
        <v>450000</v>
      </c>
    </row>
    <row r="163" spans="65:92" x14ac:dyDescent="0.25">
      <c r="BM163" s="5"/>
      <c r="BQ163" s="216"/>
      <c r="BV163" s="5"/>
      <c r="BW163" s="5"/>
      <c r="BX163" s="5"/>
      <c r="BY163" s="5"/>
      <c r="BZ163" s="5"/>
      <c r="CA163" s="5"/>
      <c r="CI163" s="726">
        <v>45473</v>
      </c>
      <c r="CJ163" t="s">
        <v>464</v>
      </c>
      <c r="CK163" t="s">
        <v>883</v>
      </c>
      <c r="CL163" s="5">
        <v>0</v>
      </c>
      <c r="CM163" s="730">
        <v>0</v>
      </c>
      <c r="CN163" s="5">
        <v>0</v>
      </c>
    </row>
    <row r="164" spans="65:92" x14ac:dyDescent="0.25">
      <c r="BM164" s="5"/>
      <c r="BQ164" s="216"/>
      <c r="BV164" s="5"/>
      <c r="BW164" s="5"/>
      <c r="BX164" s="5"/>
      <c r="BY164" s="5"/>
      <c r="BZ164" s="5"/>
      <c r="CA164" s="5"/>
      <c r="CI164" s="726">
        <v>45473</v>
      </c>
      <c r="CJ164" t="s">
        <v>466</v>
      </c>
      <c r="CK164" t="s">
        <v>889</v>
      </c>
      <c r="CL164" s="5">
        <v>412337657.18000042</v>
      </c>
      <c r="CM164" s="730">
        <v>1850</v>
      </c>
      <c r="CN164" s="5">
        <v>630788817.36000001</v>
      </c>
    </row>
    <row r="165" spans="65:92" x14ac:dyDescent="0.25">
      <c r="BM165" s="5"/>
      <c r="BQ165" s="216"/>
      <c r="BV165" s="5"/>
      <c r="BW165" s="5"/>
      <c r="BX165" s="5"/>
      <c r="BY165" s="5"/>
      <c r="BZ165" s="5"/>
      <c r="CA165" s="5"/>
      <c r="CI165" s="726">
        <v>45473</v>
      </c>
      <c r="CJ165" t="s">
        <v>467</v>
      </c>
      <c r="CK165" t="s">
        <v>890</v>
      </c>
      <c r="CL165" s="5">
        <v>32774953.340000007</v>
      </c>
      <c r="CM165" s="730">
        <v>167</v>
      </c>
      <c r="CN165" s="5">
        <v>49232437.660000011</v>
      </c>
    </row>
    <row r="166" spans="65:92" x14ac:dyDescent="0.25">
      <c r="BM166" s="5"/>
      <c r="BQ166" s="216"/>
      <c r="BV166" s="5"/>
      <c r="BW166" s="5"/>
      <c r="BX166" s="5"/>
      <c r="BY166" s="5"/>
      <c r="BZ166" s="5"/>
      <c r="CA166" s="5"/>
      <c r="CI166" s="726">
        <v>45473</v>
      </c>
      <c r="CJ166" t="s">
        <v>468</v>
      </c>
      <c r="CK166" t="s">
        <v>891</v>
      </c>
      <c r="CL166" s="5">
        <v>28751295.749999993</v>
      </c>
      <c r="CM166" s="730">
        <v>95</v>
      </c>
      <c r="CN166" s="5">
        <v>46934358.619999997</v>
      </c>
    </row>
    <row r="167" spans="65:92" x14ac:dyDescent="0.25">
      <c r="BM167" s="5"/>
      <c r="BQ167" s="216"/>
      <c r="BV167" s="5"/>
      <c r="BW167" s="5"/>
      <c r="BX167" s="5"/>
      <c r="BY167" s="5"/>
      <c r="BZ167" s="5"/>
      <c r="CA167" s="5"/>
      <c r="CI167" s="726">
        <v>45473</v>
      </c>
      <c r="CJ167" t="s">
        <v>469</v>
      </c>
      <c r="CK167" t="s">
        <v>892</v>
      </c>
      <c r="CL167" s="5">
        <v>30293024.059999995</v>
      </c>
      <c r="CM167" s="730">
        <v>120</v>
      </c>
      <c r="CN167" s="5">
        <v>46262297.359999999</v>
      </c>
    </row>
    <row r="168" spans="65:92" x14ac:dyDescent="0.25">
      <c r="BM168" s="5"/>
      <c r="BQ168" s="216"/>
      <c r="BV168" s="5"/>
      <c r="BW168" s="5"/>
      <c r="BX168" s="5"/>
      <c r="BY168" s="5"/>
      <c r="BZ168" s="5"/>
      <c r="CA168" s="5"/>
      <c r="CI168" s="726">
        <v>45473</v>
      </c>
      <c r="CJ168" t="s">
        <v>470</v>
      </c>
      <c r="CK168" t="s">
        <v>893</v>
      </c>
      <c r="CL168" s="5">
        <v>58480450.199999966</v>
      </c>
      <c r="CM168" s="730">
        <v>282</v>
      </c>
      <c r="CN168" s="5">
        <v>97131042.619999975</v>
      </c>
    </row>
    <row r="169" spans="65:92" x14ac:dyDescent="0.25">
      <c r="BM169" s="5"/>
      <c r="BQ169" s="216"/>
      <c r="BV169" s="5"/>
      <c r="BW169" s="5"/>
      <c r="BX169" s="5"/>
      <c r="BY169" s="5"/>
      <c r="BZ169" s="5"/>
      <c r="CA169" s="5"/>
      <c r="CI169" s="726">
        <v>45473</v>
      </c>
      <c r="CJ169" t="s">
        <v>471</v>
      </c>
      <c r="CK169" t="s">
        <v>894</v>
      </c>
      <c r="CL169" s="5">
        <v>0</v>
      </c>
      <c r="CM169" s="730">
        <v>0</v>
      </c>
      <c r="CN169" s="5">
        <v>0</v>
      </c>
    </row>
    <row r="170" spans="65:92" x14ac:dyDescent="0.25">
      <c r="BM170" s="5"/>
      <c r="BQ170" s="216"/>
      <c r="BV170" s="5"/>
      <c r="BW170" s="5"/>
      <c r="BX170" s="5"/>
      <c r="BY170" s="5"/>
      <c r="BZ170" s="5"/>
      <c r="CA170" s="5"/>
      <c r="CI170" s="726">
        <v>45473</v>
      </c>
      <c r="CJ170" t="s">
        <v>472</v>
      </c>
      <c r="CK170" t="s">
        <v>895</v>
      </c>
      <c r="CL170" s="5">
        <v>2676321.71</v>
      </c>
      <c r="CM170" s="730">
        <v>13</v>
      </c>
      <c r="CN170" s="5">
        <v>3312929</v>
      </c>
    </row>
    <row r="171" spans="65:92" x14ac:dyDescent="0.25">
      <c r="BM171" s="5"/>
      <c r="BQ171" s="216"/>
      <c r="BV171" s="5"/>
      <c r="BW171" s="5"/>
      <c r="BX171" s="5"/>
      <c r="BY171" s="5"/>
      <c r="BZ171" s="5"/>
      <c r="CA171" s="5"/>
      <c r="CI171" s="726">
        <v>45473</v>
      </c>
      <c r="CJ171" t="s">
        <v>473</v>
      </c>
      <c r="CK171" t="s">
        <v>896</v>
      </c>
      <c r="CL171" s="5">
        <v>14820671.709999992</v>
      </c>
      <c r="CM171" s="730">
        <v>120</v>
      </c>
      <c r="CN171" s="5">
        <v>33039413.849999998</v>
      </c>
    </row>
    <row r="172" spans="65:92" x14ac:dyDescent="0.25">
      <c r="BM172" s="5"/>
      <c r="BQ172" s="216"/>
      <c r="BV172" s="5"/>
      <c r="BW172" s="5"/>
      <c r="BX172" s="5"/>
      <c r="BY172" s="5"/>
      <c r="BZ172" s="5"/>
      <c r="CA172" s="5"/>
      <c r="CI172" s="726">
        <v>45473</v>
      </c>
      <c r="CJ172" t="s">
        <v>474</v>
      </c>
      <c r="CK172" t="s">
        <v>883</v>
      </c>
      <c r="CL172" s="5">
        <v>4333882.1499999994</v>
      </c>
      <c r="CM172" s="730">
        <v>9</v>
      </c>
      <c r="CN172" s="5">
        <v>7213366.9800000004</v>
      </c>
    </row>
    <row r="173" spans="65:92" x14ac:dyDescent="0.25">
      <c r="BM173" s="5"/>
      <c r="BQ173" s="216"/>
      <c r="BV173" s="5"/>
      <c r="BW173" s="5"/>
      <c r="BX173" s="5"/>
      <c r="BY173" s="5"/>
      <c r="BZ173" s="5"/>
      <c r="CA173" s="5"/>
      <c r="CI173" s="726">
        <v>45473</v>
      </c>
      <c r="CJ173" t="s">
        <v>955</v>
      </c>
      <c r="CK173" t="s">
        <v>956</v>
      </c>
      <c r="CL173" s="5">
        <v>116819006.77000006</v>
      </c>
      <c r="CM173" s="730">
        <v>639</v>
      </c>
      <c r="CN173" s="5">
        <v>202152783.72</v>
      </c>
    </row>
    <row r="174" spans="65:92" x14ac:dyDescent="0.25">
      <c r="BM174" s="5"/>
      <c r="BQ174" s="216"/>
      <c r="BV174" s="5"/>
      <c r="BW174" s="5"/>
      <c r="BX174" s="5"/>
      <c r="BY174" s="5"/>
      <c r="BZ174" s="5"/>
      <c r="CA174" s="5"/>
      <c r="CI174" s="726">
        <v>45473</v>
      </c>
      <c r="CJ174" t="s">
        <v>475</v>
      </c>
      <c r="CK174">
        <v>1</v>
      </c>
      <c r="CL174" s="5">
        <v>3864113.68</v>
      </c>
      <c r="CM174" s="730">
        <v>1</v>
      </c>
      <c r="CN174" s="5"/>
    </row>
    <row r="175" spans="65:92" x14ac:dyDescent="0.25">
      <c r="BM175" s="5"/>
      <c r="BQ175" s="216"/>
      <c r="BV175" s="5"/>
      <c r="BW175" s="5"/>
      <c r="BX175" s="5"/>
      <c r="BY175" s="5"/>
      <c r="BZ175" s="5"/>
      <c r="CA175" s="5"/>
      <c r="CI175" s="726">
        <v>45473</v>
      </c>
      <c r="CJ175" t="s">
        <v>476</v>
      </c>
      <c r="CK175">
        <v>2</v>
      </c>
      <c r="CL175" s="5">
        <v>3623059.44</v>
      </c>
      <c r="CM175" s="730">
        <v>2</v>
      </c>
      <c r="CN175" s="5"/>
    </row>
    <row r="176" spans="65:92" x14ac:dyDescent="0.25">
      <c r="BM176" s="5"/>
      <c r="BQ176" s="216"/>
      <c r="BV176" s="5"/>
      <c r="BW176" s="5"/>
      <c r="BX176" s="5"/>
      <c r="BY176" s="5"/>
      <c r="BZ176" s="5"/>
      <c r="CA176" s="5"/>
      <c r="CI176" s="726">
        <v>45473</v>
      </c>
      <c r="CJ176" t="s">
        <v>477</v>
      </c>
      <c r="CK176">
        <v>3</v>
      </c>
      <c r="CL176" s="5">
        <v>3608148.53</v>
      </c>
      <c r="CM176" s="730">
        <v>1</v>
      </c>
      <c r="CN176" s="5"/>
    </row>
    <row r="177" spans="65:92" x14ac:dyDescent="0.25">
      <c r="BM177" s="5"/>
      <c r="BQ177" s="216"/>
      <c r="BV177" s="5"/>
      <c r="BW177" s="5"/>
      <c r="BX177" s="5"/>
      <c r="BY177" s="5"/>
      <c r="BZ177" s="5"/>
      <c r="CA177" s="5"/>
      <c r="CI177" s="726">
        <v>45473</v>
      </c>
      <c r="CJ177" t="s">
        <v>478</v>
      </c>
      <c r="CK177">
        <v>4</v>
      </c>
      <c r="CL177" s="5">
        <v>3513478.52</v>
      </c>
      <c r="CM177" s="730">
        <v>2</v>
      </c>
      <c r="CN177" s="5"/>
    </row>
    <row r="178" spans="65:92" x14ac:dyDescent="0.25">
      <c r="BM178" s="5"/>
      <c r="BQ178" s="216"/>
      <c r="BV178" s="5"/>
      <c r="BW178" s="5"/>
      <c r="BX178" s="5"/>
      <c r="BY178" s="5"/>
      <c r="BZ178" s="5"/>
      <c r="CA178" s="5"/>
      <c r="CI178" s="726">
        <v>45473</v>
      </c>
      <c r="CJ178" t="s">
        <v>479</v>
      </c>
      <c r="CK178">
        <v>5</v>
      </c>
      <c r="CL178" s="5">
        <v>3414613.44</v>
      </c>
      <c r="CM178" s="730">
        <v>1</v>
      </c>
      <c r="CN178" s="5"/>
    </row>
    <row r="179" spans="65:92" x14ac:dyDescent="0.25">
      <c r="BM179" s="5"/>
      <c r="BQ179" s="216"/>
      <c r="BV179" s="5"/>
      <c r="BW179" s="5"/>
      <c r="BX179" s="5"/>
      <c r="BY179" s="5"/>
      <c r="BZ179" s="5"/>
      <c r="CA179" s="5"/>
      <c r="CI179" s="726">
        <v>45473</v>
      </c>
      <c r="CJ179" t="s">
        <v>480</v>
      </c>
      <c r="CK179">
        <v>6</v>
      </c>
      <c r="CL179" s="5">
        <v>3369319.82</v>
      </c>
      <c r="CM179" s="730">
        <v>1</v>
      </c>
      <c r="CN179" s="5"/>
    </row>
    <row r="180" spans="65:92" x14ac:dyDescent="0.25">
      <c r="BM180" s="5"/>
      <c r="BQ180" s="216"/>
      <c r="BV180" s="5"/>
      <c r="BW180" s="5"/>
      <c r="BX180" s="5"/>
      <c r="BY180" s="5"/>
      <c r="BZ180" s="5"/>
      <c r="CA180" s="5"/>
      <c r="CI180" s="726">
        <v>45473</v>
      </c>
      <c r="CJ180" t="s">
        <v>481</v>
      </c>
      <c r="CK180">
        <v>7</v>
      </c>
      <c r="CL180" s="5">
        <v>2942353.23</v>
      </c>
      <c r="CM180" s="730">
        <v>1</v>
      </c>
      <c r="CN180" s="5"/>
    </row>
    <row r="181" spans="65:92" x14ac:dyDescent="0.25">
      <c r="BM181" s="5"/>
      <c r="BQ181" s="216"/>
      <c r="BV181" s="5"/>
      <c r="BW181" s="5"/>
      <c r="BX181" s="5"/>
      <c r="BY181" s="5"/>
      <c r="BZ181" s="5"/>
      <c r="CA181" s="5"/>
      <c r="CI181" s="726">
        <v>45473</v>
      </c>
      <c r="CJ181" t="s">
        <v>482</v>
      </c>
      <c r="CK181">
        <v>8</v>
      </c>
      <c r="CL181" s="5">
        <v>2709378.37</v>
      </c>
      <c r="CM181" s="730">
        <v>2</v>
      </c>
      <c r="CN181" s="5"/>
    </row>
    <row r="182" spans="65:92" x14ac:dyDescent="0.25">
      <c r="BM182" s="5"/>
      <c r="BQ182" s="216"/>
      <c r="BV182" s="5"/>
      <c r="BW182" s="5"/>
      <c r="BX182" s="5"/>
      <c r="BY182" s="5"/>
      <c r="BZ182" s="5"/>
      <c r="CA182" s="5"/>
      <c r="CI182" s="726">
        <v>45473</v>
      </c>
      <c r="CJ182" t="s">
        <v>483</v>
      </c>
      <c r="CK182">
        <v>9</v>
      </c>
      <c r="CL182" s="5">
        <v>2623453.44</v>
      </c>
      <c r="CM182" s="730">
        <v>2</v>
      </c>
      <c r="CN182" s="5"/>
    </row>
    <row r="183" spans="65:92" x14ac:dyDescent="0.25">
      <c r="BM183" s="5"/>
      <c r="BQ183" s="216"/>
      <c r="BV183" s="5"/>
      <c r="BW183" s="5"/>
      <c r="BX183" s="5"/>
      <c r="BY183" s="5"/>
      <c r="BZ183" s="5"/>
      <c r="CA183" s="5"/>
      <c r="CI183" s="726">
        <v>45473</v>
      </c>
      <c r="CJ183" t="s">
        <v>484</v>
      </c>
      <c r="CK183">
        <v>10</v>
      </c>
      <c r="CL183" s="5">
        <v>2474455.89</v>
      </c>
      <c r="CM183" s="730">
        <v>1</v>
      </c>
      <c r="CN183" s="5"/>
    </row>
    <row r="184" spans="65:92" x14ac:dyDescent="0.25">
      <c r="BM184" s="5"/>
      <c r="BQ184" s="216"/>
      <c r="BV184" s="5"/>
      <c r="BW184" s="5"/>
      <c r="BX184" s="5"/>
      <c r="BY184" s="5"/>
      <c r="BZ184" s="5"/>
      <c r="CA184" s="5"/>
      <c r="CI184" s="726">
        <v>45473</v>
      </c>
      <c r="CJ184" t="s">
        <v>485</v>
      </c>
      <c r="CK184">
        <v>11</v>
      </c>
      <c r="CL184" s="5">
        <v>2426099.9400000004</v>
      </c>
      <c r="CM184" s="730">
        <v>2</v>
      </c>
      <c r="CN184" s="5"/>
    </row>
    <row r="185" spans="65:92" x14ac:dyDescent="0.25">
      <c r="BM185" s="5"/>
      <c r="BQ185" s="216"/>
      <c r="BV185" s="5"/>
      <c r="BW185" s="5"/>
      <c r="BX185" s="5"/>
      <c r="BY185" s="5"/>
      <c r="BZ185" s="5"/>
      <c r="CA185" s="5"/>
      <c r="CI185" s="726">
        <v>45473</v>
      </c>
      <c r="CJ185" t="s">
        <v>486</v>
      </c>
      <c r="CK185">
        <v>12</v>
      </c>
      <c r="CL185" s="5">
        <v>2370605.9</v>
      </c>
      <c r="CM185" s="730">
        <v>1</v>
      </c>
      <c r="CN185" s="5"/>
    </row>
    <row r="186" spans="65:92" x14ac:dyDescent="0.25">
      <c r="BM186" s="5"/>
      <c r="BQ186" s="216"/>
      <c r="BV186" s="5"/>
      <c r="BW186" s="5"/>
      <c r="BX186" s="5"/>
      <c r="BY186" s="5"/>
      <c r="BZ186" s="5"/>
      <c r="CA186" s="5"/>
      <c r="CI186" s="726">
        <v>45473</v>
      </c>
      <c r="CJ186" t="s">
        <v>487</v>
      </c>
      <c r="CK186">
        <v>13</v>
      </c>
      <c r="CL186" s="5">
        <v>2342941.75</v>
      </c>
      <c r="CM186" s="730">
        <v>2</v>
      </c>
      <c r="CN186" s="5"/>
    </row>
    <row r="187" spans="65:92" x14ac:dyDescent="0.25">
      <c r="BM187" s="5"/>
      <c r="BQ187" s="216"/>
      <c r="BV187" s="5"/>
      <c r="BW187" s="5"/>
      <c r="BX187" s="5"/>
      <c r="BY187" s="5"/>
      <c r="BZ187" s="5"/>
      <c r="CA187" s="5"/>
      <c r="CI187" s="726">
        <v>45473</v>
      </c>
      <c r="CJ187" t="s">
        <v>488</v>
      </c>
      <c r="CK187">
        <v>14</v>
      </c>
      <c r="CL187" s="5">
        <v>2186947.91</v>
      </c>
      <c r="CM187" s="730">
        <v>2</v>
      </c>
      <c r="CN187" s="5"/>
    </row>
    <row r="188" spans="65:92" x14ac:dyDescent="0.25">
      <c r="BM188" s="5"/>
      <c r="BQ188" s="216"/>
      <c r="BV188" s="5"/>
      <c r="BW188" s="5"/>
      <c r="BX188" s="5"/>
      <c r="BY188" s="5"/>
      <c r="BZ188" s="5"/>
      <c r="CA188" s="5"/>
      <c r="CI188" s="726">
        <v>45473</v>
      </c>
      <c r="CJ188" t="s">
        <v>489</v>
      </c>
      <c r="CK188">
        <v>15</v>
      </c>
      <c r="CL188" s="5">
        <v>2051037.75</v>
      </c>
      <c r="CM188" s="730">
        <v>2</v>
      </c>
      <c r="CN188" s="5"/>
    </row>
    <row r="189" spans="65:92" x14ac:dyDescent="0.25">
      <c r="BM189" s="5"/>
      <c r="BQ189" s="216"/>
      <c r="BV189" s="5"/>
      <c r="BW189" s="5"/>
      <c r="BX189" s="5"/>
      <c r="BY189" s="5"/>
      <c r="BZ189" s="5"/>
      <c r="CA189" s="5"/>
      <c r="CI189" s="726">
        <v>45473</v>
      </c>
      <c r="CJ189" t="s">
        <v>957</v>
      </c>
      <c r="CK189">
        <v>16</v>
      </c>
      <c r="CL189" s="5">
        <v>2000000</v>
      </c>
      <c r="CM189" s="730">
        <v>1</v>
      </c>
      <c r="CN189" s="5"/>
    </row>
    <row r="190" spans="65:92" x14ac:dyDescent="0.25">
      <c r="BM190" s="5"/>
      <c r="BQ190" s="216"/>
      <c r="BV190" s="5"/>
      <c r="BW190" s="5"/>
      <c r="BX190" s="5"/>
      <c r="BY190" s="5"/>
      <c r="BZ190" s="5"/>
      <c r="CA190" s="5"/>
      <c r="CI190" s="726">
        <v>45473</v>
      </c>
      <c r="CJ190" t="s">
        <v>958</v>
      </c>
      <c r="CK190">
        <v>17</v>
      </c>
      <c r="CL190" s="5">
        <v>1931666.13</v>
      </c>
      <c r="CM190" s="730">
        <v>1</v>
      </c>
      <c r="CN190" s="5"/>
    </row>
    <row r="191" spans="65:92" x14ac:dyDescent="0.25">
      <c r="BM191" s="5"/>
      <c r="BQ191" s="216"/>
      <c r="BV191" s="5"/>
      <c r="BW191" s="5"/>
      <c r="BX191" s="5"/>
      <c r="BY191" s="5"/>
      <c r="BZ191" s="5"/>
      <c r="CA191" s="5"/>
      <c r="CI191" s="726">
        <v>45473</v>
      </c>
      <c r="CJ191" t="s">
        <v>959</v>
      </c>
      <c r="CK191">
        <v>18</v>
      </c>
      <c r="CL191" s="5">
        <v>1898952.08</v>
      </c>
      <c r="CM191" s="730">
        <v>2</v>
      </c>
      <c r="CN191" s="5"/>
    </row>
    <row r="192" spans="65:92" x14ac:dyDescent="0.25">
      <c r="BM192" s="5"/>
      <c r="BQ192" s="216"/>
      <c r="BV192" s="5"/>
      <c r="BW192" s="5"/>
      <c r="BX192" s="5"/>
      <c r="BY192" s="5"/>
      <c r="BZ192" s="5"/>
      <c r="CA192" s="5"/>
      <c r="CI192" s="726">
        <v>45473</v>
      </c>
      <c r="CJ192" t="s">
        <v>960</v>
      </c>
      <c r="CK192">
        <v>19</v>
      </c>
      <c r="CL192" s="5">
        <v>1878252.36</v>
      </c>
      <c r="CM192" s="730">
        <v>2</v>
      </c>
      <c r="CN192" s="5"/>
    </row>
    <row r="193" spans="65:92" x14ac:dyDescent="0.25">
      <c r="BM193" s="5"/>
      <c r="BQ193" s="216"/>
      <c r="BV193" s="5"/>
      <c r="BW193" s="5"/>
      <c r="BX193" s="5"/>
      <c r="BY193" s="5"/>
      <c r="BZ193" s="5"/>
      <c r="CA193" s="5"/>
      <c r="CI193" s="726">
        <v>45473</v>
      </c>
      <c r="CJ193" t="s">
        <v>961</v>
      </c>
      <c r="CK193">
        <v>20</v>
      </c>
      <c r="CL193" s="5">
        <v>1850999.19</v>
      </c>
      <c r="CM193" s="730">
        <v>2</v>
      </c>
      <c r="CN193" s="5"/>
    </row>
    <row r="194" spans="65:92" x14ac:dyDescent="0.25">
      <c r="BM194" s="5"/>
      <c r="BQ194" s="216"/>
      <c r="BV194" s="5"/>
      <c r="BW194" s="5"/>
      <c r="BX194" s="5"/>
      <c r="BY194" s="5"/>
      <c r="BZ194" s="5"/>
      <c r="CA194" s="5"/>
      <c r="CI194" s="726">
        <v>45473</v>
      </c>
      <c r="CJ194" t="s">
        <v>491</v>
      </c>
      <c r="CK194" t="s">
        <v>962</v>
      </c>
      <c r="CL194" s="5">
        <v>472480712.76999998</v>
      </c>
      <c r="CM194" s="730">
        <v>610</v>
      </c>
      <c r="CN194" s="5">
        <v>472480712.76999998</v>
      </c>
    </row>
    <row r="195" spans="65:92" x14ac:dyDescent="0.25">
      <c r="BM195" s="5"/>
      <c r="BQ195" s="216"/>
      <c r="BV195" s="5"/>
      <c r="BW195" s="5"/>
      <c r="BX195" s="5"/>
      <c r="BY195" s="5"/>
      <c r="BZ195" s="5"/>
      <c r="CA195" s="5"/>
      <c r="CI195" s="726">
        <v>45473</v>
      </c>
      <c r="CJ195" t="s">
        <v>493</v>
      </c>
      <c r="CK195" t="s">
        <v>963</v>
      </c>
      <c r="CL195" s="5">
        <v>21543520.059999999</v>
      </c>
      <c r="CM195" s="730">
        <v>65</v>
      </c>
      <c r="CN195" s="5">
        <v>21543520.059999999</v>
      </c>
    </row>
    <row r="196" spans="65:92" x14ac:dyDescent="0.25">
      <c r="BM196" s="5"/>
      <c r="BQ196" s="216"/>
      <c r="BV196" s="5"/>
      <c r="BW196" s="5"/>
      <c r="BX196" s="5"/>
      <c r="BY196" s="5"/>
      <c r="BZ196" s="5"/>
      <c r="CA196" s="5"/>
      <c r="CI196" s="726">
        <v>45473</v>
      </c>
      <c r="CJ196" t="s">
        <v>495</v>
      </c>
      <c r="CK196" t="s">
        <v>964</v>
      </c>
      <c r="CL196" s="5">
        <v>96473518.25999999</v>
      </c>
      <c r="CM196" s="730">
        <v>156</v>
      </c>
      <c r="CN196" s="5">
        <v>96473518.25999999</v>
      </c>
    </row>
    <row r="197" spans="65:92" x14ac:dyDescent="0.25">
      <c r="BM197" s="5"/>
      <c r="BQ197" s="216"/>
      <c r="BV197" s="5"/>
      <c r="BW197" s="5"/>
      <c r="BX197" s="5"/>
      <c r="BY197" s="5"/>
      <c r="BZ197" s="5"/>
      <c r="CA197" s="5"/>
      <c r="CI197" s="726">
        <v>45473</v>
      </c>
      <c r="CJ197" t="s">
        <v>497</v>
      </c>
      <c r="CK197" t="s">
        <v>965</v>
      </c>
      <c r="CL197" s="5">
        <v>24567495</v>
      </c>
      <c r="CM197" s="730">
        <v>68</v>
      </c>
      <c r="CN197" s="5">
        <v>24567495</v>
      </c>
    </row>
    <row r="198" spans="65:92" x14ac:dyDescent="0.25">
      <c r="BM198" s="5"/>
      <c r="BQ198" s="216"/>
      <c r="BV198" s="5"/>
      <c r="BW198" s="5"/>
      <c r="BX198" s="5"/>
      <c r="BY198" s="5"/>
      <c r="BZ198" s="5"/>
      <c r="CA198" s="5"/>
      <c r="CI198" s="726">
        <v>45473</v>
      </c>
      <c r="CJ198" t="s">
        <v>499</v>
      </c>
      <c r="CK198" t="s">
        <v>966</v>
      </c>
      <c r="CL198" s="5">
        <v>202152641.78999999</v>
      </c>
      <c r="CM198" s="730">
        <v>333</v>
      </c>
      <c r="CN198" s="5">
        <v>202152641.78999999</v>
      </c>
    </row>
    <row r="199" spans="65:92" x14ac:dyDescent="0.25">
      <c r="BM199" s="5"/>
      <c r="BQ199" s="216"/>
      <c r="BV199" s="5"/>
      <c r="BW199" s="5"/>
      <c r="BX199" s="5"/>
      <c r="BY199" s="5"/>
      <c r="BZ199" s="5"/>
      <c r="CA199" s="5"/>
      <c r="CI199" s="726">
        <v>45473</v>
      </c>
      <c r="CJ199" t="s">
        <v>967</v>
      </c>
      <c r="CK199" t="s">
        <v>968</v>
      </c>
      <c r="CL199" s="5">
        <v>41722887.859999999</v>
      </c>
      <c r="CM199" s="730">
        <v>136</v>
      </c>
      <c r="CN199" s="5">
        <v>41722887.859999999</v>
      </c>
    </row>
    <row r="200" spans="65:92" x14ac:dyDescent="0.25">
      <c r="BM200" s="5"/>
      <c r="BQ200" s="216"/>
      <c r="BV200" s="5"/>
      <c r="BW200" s="5"/>
      <c r="BX200" s="5"/>
      <c r="BY200" s="5"/>
      <c r="BZ200" s="5"/>
      <c r="CA200" s="5"/>
      <c r="CI200" s="726">
        <v>45473</v>
      </c>
      <c r="CJ200" t="s">
        <v>969</v>
      </c>
      <c r="CK200" t="s">
        <v>970</v>
      </c>
      <c r="CL200" s="5">
        <v>68287567</v>
      </c>
      <c r="CM200" s="730">
        <v>147</v>
      </c>
      <c r="CN200" s="5">
        <v>68287567</v>
      </c>
    </row>
    <row r="201" spans="65:92" x14ac:dyDescent="0.25">
      <c r="BM201" s="5"/>
      <c r="BQ201" s="216"/>
      <c r="BV201" s="5"/>
      <c r="BW201" s="5"/>
      <c r="BX201" s="5"/>
      <c r="BY201" s="5"/>
      <c r="BZ201" s="5"/>
      <c r="CA201" s="5"/>
      <c r="CI201" s="726">
        <v>45473</v>
      </c>
      <c r="CJ201" t="s">
        <v>971</v>
      </c>
      <c r="CK201" t="s">
        <v>972</v>
      </c>
      <c r="CL201" s="5">
        <v>26071145.109999999</v>
      </c>
      <c r="CM201" s="730">
        <v>94</v>
      </c>
      <c r="CN201" s="5">
        <v>26071145.109999999</v>
      </c>
    </row>
    <row r="202" spans="65:92" x14ac:dyDescent="0.25">
      <c r="BM202" s="5"/>
      <c r="BQ202" s="216"/>
      <c r="BV202" s="5"/>
      <c r="BW202" s="5"/>
      <c r="BX202" s="5"/>
      <c r="BY202" s="5"/>
      <c r="BZ202" s="5"/>
      <c r="CA202" s="5"/>
      <c r="CI202" s="726">
        <v>45473</v>
      </c>
      <c r="CJ202" t="s">
        <v>973</v>
      </c>
      <c r="CK202" t="s">
        <v>974</v>
      </c>
      <c r="CL202" s="5">
        <v>225233</v>
      </c>
      <c r="CM202" s="730">
        <v>1</v>
      </c>
      <c r="CN202" s="5">
        <v>225233</v>
      </c>
    </row>
    <row r="203" spans="65:92" x14ac:dyDescent="0.25">
      <c r="BM203" s="5"/>
      <c r="BQ203" s="216"/>
      <c r="BV203" s="5"/>
      <c r="BW203" s="5"/>
      <c r="BX203" s="5"/>
      <c r="BY203" s="5"/>
      <c r="BZ203" s="5"/>
      <c r="CA203" s="5"/>
      <c r="CI203" s="726">
        <v>45473</v>
      </c>
      <c r="CJ203" t="s">
        <v>975</v>
      </c>
      <c r="CK203" t="s">
        <v>976</v>
      </c>
      <c r="CL203" s="5">
        <v>3933463</v>
      </c>
      <c r="CM203" s="730">
        <v>17</v>
      </c>
      <c r="CN203" s="5">
        <v>3933463</v>
      </c>
    </row>
    <row r="204" spans="65:92" x14ac:dyDescent="0.25">
      <c r="BM204" s="5"/>
      <c r="BQ204" s="216"/>
      <c r="BV204" s="5"/>
      <c r="BW204" s="5"/>
      <c r="BX204" s="5"/>
      <c r="BY204" s="5"/>
      <c r="BZ204" s="5"/>
      <c r="CA204" s="5"/>
      <c r="CI204" s="726">
        <v>45473</v>
      </c>
      <c r="CJ204" t="s">
        <v>977</v>
      </c>
      <c r="CK204" t="s">
        <v>978</v>
      </c>
      <c r="CL204" s="5">
        <v>0</v>
      </c>
      <c r="CM204" s="730">
        <v>0</v>
      </c>
      <c r="CN204" s="5">
        <v>0</v>
      </c>
    </row>
    <row r="205" spans="65:92" x14ac:dyDescent="0.25">
      <c r="BM205" s="5"/>
      <c r="BQ205" s="216"/>
      <c r="BV205" s="5"/>
      <c r="BW205" s="5"/>
      <c r="BX205" s="5"/>
      <c r="BY205" s="5"/>
      <c r="BZ205" s="5"/>
      <c r="CA205" s="5"/>
      <c r="CI205" s="726">
        <v>45473</v>
      </c>
      <c r="CJ205" t="s">
        <v>979</v>
      </c>
      <c r="CK205" t="s">
        <v>980</v>
      </c>
      <c r="CL205" s="5">
        <v>5318037</v>
      </c>
      <c r="CM205" s="730">
        <v>22</v>
      </c>
      <c r="CN205" s="5">
        <v>5318037</v>
      </c>
    </row>
    <row r="206" spans="65:92" x14ac:dyDescent="0.25">
      <c r="BM206" s="5"/>
      <c r="BQ206" s="216"/>
      <c r="BV206" s="5"/>
      <c r="BW206" s="5"/>
      <c r="BX206" s="5"/>
      <c r="BY206" s="5"/>
      <c r="BZ206" s="5"/>
      <c r="CA206" s="5"/>
      <c r="CI206" s="726">
        <v>45473</v>
      </c>
      <c r="CJ206" t="s">
        <v>981</v>
      </c>
      <c r="CK206" t="s">
        <v>982</v>
      </c>
      <c r="CL206" s="5">
        <v>411000</v>
      </c>
      <c r="CM206" s="730">
        <v>2</v>
      </c>
      <c r="CN206" s="5">
        <v>411000</v>
      </c>
    </row>
    <row r="207" spans="65:92" x14ac:dyDescent="0.25">
      <c r="BM207" s="5"/>
      <c r="BQ207" s="216"/>
      <c r="BV207" s="5"/>
      <c r="BW207" s="5"/>
      <c r="BX207" s="5"/>
      <c r="BY207" s="5"/>
      <c r="BZ207" s="5"/>
      <c r="CA207" s="5"/>
      <c r="CI207" s="726">
        <v>45473</v>
      </c>
      <c r="CJ207" t="s">
        <v>983</v>
      </c>
      <c r="CK207" t="s">
        <v>984</v>
      </c>
      <c r="CL207" s="5">
        <v>2012812</v>
      </c>
      <c r="CM207" s="730">
        <v>9</v>
      </c>
      <c r="CN207" s="5">
        <v>2012812</v>
      </c>
    </row>
    <row r="208" spans="65:92" x14ac:dyDescent="0.25">
      <c r="BM208" s="5"/>
      <c r="BQ208" s="216"/>
      <c r="BV208" s="5"/>
      <c r="BW208" s="5"/>
      <c r="BX208" s="5"/>
      <c r="BY208" s="5"/>
      <c r="BZ208" s="5"/>
      <c r="CA208" s="5"/>
      <c r="CI208" s="726">
        <v>45473</v>
      </c>
      <c r="CJ208" t="s">
        <v>985</v>
      </c>
      <c r="CK208" t="s">
        <v>986</v>
      </c>
      <c r="CL208" s="5">
        <v>3214358</v>
      </c>
      <c r="CM208" s="730">
        <v>14</v>
      </c>
      <c r="CN208" s="5">
        <v>3214358</v>
      </c>
    </row>
    <row r="209" spans="65:92" x14ac:dyDescent="0.25">
      <c r="BM209" s="5"/>
      <c r="BQ209" s="216"/>
      <c r="BV209" s="5"/>
      <c r="BW209" s="5"/>
      <c r="BX209" s="5"/>
      <c r="BY209" s="5"/>
      <c r="BZ209" s="5"/>
      <c r="CA209" s="5"/>
      <c r="CI209" s="726">
        <v>45473</v>
      </c>
      <c r="CJ209" t="s">
        <v>987</v>
      </c>
      <c r="CK209" t="s">
        <v>988</v>
      </c>
      <c r="CL209" s="5">
        <v>223900</v>
      </c>
      <c r="CM209" s="730">
        <v>2</v>
      </c>
      <c r="CN209" s="5">
        <v>223900</v>
      </c>
    </row>
    <row r="210" spans="65:92" x14ac:dyDescent="0.25">
      <c r="BM210" s="5"/>
      <c r="BQ210" s="216"/>
      <c r="BV210" s="5"/>
      <c r="BW210" s="5"/>
      <c r="BX210" s="5"/>
      <c r="BY210" s="5"/>
      <c r="BZ210" s="5"/>
      <c r="CA210" s="5"/>
      <c r="CI210" s="726">
        <v>45473</v>
      </c>
      <c r="CJ210" t="s">
        <v>989</v>
      </c>
      <c r="CK210" t="s">
        <v>990</v>
      </c>
      <c r="CL210" s="5">
        <v>1159500</v>
      </c>
      <c r="CM210" s="730">
        <v>3</v>
      </c>
      <c r="CN210" s="5">
        <v>1159500</v>
      </c>
    </row>
    <row r="211" spans="65:92" x14ac:dyDescent="0.25">
      <c r="BM211" s="5"/>
      <c r="BQ211" s="216"/>
      <c r="BV211" s="5"/>
      <c r="BW211" s="5"/>
      <c r="BX211" s="5"/>
      <c r="BY211" s="5"/>
      <c r="BZ211" s="5"/>
      <c r="CA211" s="5"/>
      <c r="CI211" s="726">
        <v>45473</v>
      </c>
      <c r="CJ211" t="s">
        <v>991</v>
      </c>
      <c r="CK211" t="s">
        <v>992</v>
      </c>
      <c r="CL211" s="5">
        <v>421527</v>
      </c>
      <c r="CM211" s="730">
        <v>2</v>
      </c>
      <c r="CN211" s="5">
        <v>421527</v>
      </c>
    </row>
    <row r="212" spans="65:92" x14ac:dyDescent="0.25">
      <c r="BM212" s="5"/>
      <c r="BQ212" s="216"/>
      <c r="BV212" s="5"/>
      <c r="BW212" s="5"/>
      <c r="BX212" s="5"/>
      <c r="BY212" s="5"/>
      <c r="BZ212" s="5"/>
      <c r="CA212" s="5"/>
      <c r="CI212" s="726">
        <v>45473</v>
      </c>
      <c r="CJ212" t="s">
        <v>993</v>
      </c>
      <c r="CK212" t="s">
        <v>994</v>
      </c>
      <c r="CL212" s="5">
        <v>1009169</v>
      </c>
      <c r="CM212" s="730">
        <v>2</v>
      </c>
      <c r="CN212" s="5">
        <v>1009169</v>
      </c>
    </row>
    <row r="213" spans="65:92" x14ac:dyDescent="0.25">
      <c r="BM213" s="5"/>
      <c r="BQ213" s="216"/>
      <c r="BV213" s="5"/>
      <c r="BW213" s="5"/>
      <c r="BX213" s="5"/>
      <c r="BY213" s="5"/>
      <c r="BZ213" s="5"/>
      <c r="CA213" s="5"/>
      <c r="CI213" s="726">
        <v>45473</v>
      </c>
      <c r="CJ213" t="s">
        <v>995</v>
      </c>
      <c r="CK213" t="s">
        <v>996</v>
      </c>
      <c r="CL213" s="5">
        <v>571000</v>
      </c>
      <c r="CM213" s="730">
        <v>4</v>
      </c>
      <c r="CN213" s="5">
        <v>571000</v>
      </c>
    </row>
    <row r="214" spans="65:92" x14ac:dyDescent="0.25">
      <c r="BM214" s="5"/>
      <c r="BQ214" s="216"/>
      <c r="BV214" s="5"/>
      <c r="BW214" s="5"/>
      <c r="BX214" s="5"/>
      <c r="BY214" s="5"/>
      <c r="BZ214" s="5"/>
      <c r="CA214" s="5"/>
      <c r="CI214" s="726">
        <v>45473</v>
      </c>
      <c r="CJ214" t="s">
        <v>997</v>
      </c>
      <c r="CK214" t="s">
        <v>998</v>
      </c>
      <c r="CL214" s="5">
        <v>0</v>
      </c>
      <c r="CM214" s="730">
        <v>0</v>
      </c>
      <c r="CN214" s="5">
        <v>0</v>
      </c>
    </row>
    <row r="215" spans="65:92" x14ac:dyDescent="0.25">
      <c r="BM215" s="5"/>
      <c r="BQ215" s="216"/>
      <c r="BV215" s="5"/>
      <c r="BW215" s="5"/>
      <c r="BX215" s="5"/>
      <c r="BY215" s="5"/>
      <c r="BZ215" s="5"/>
      <c r="CA215" s="5"/>
      <c r="CI215" s="726">
        <v>45473</v>
      </c>
      <c r="CJ215" t="s">
        <v>999</v>
      </c>
      <c r="CK215" t="s">
        <v>1000</v>
      </c>
      <c r="CL215" s="5">
        <v>0</v>
      </c>
      <c r="CM215" s="730">
        <v>0</v>
      </c>
      <c r="CN215" s="5">
        <v>0</v>
      </c>
    </row>
    <row r="216" spans="65:92" x14ac:dyDescent="0.25">
      <c r="BM216" s="5"/>
      <c r="BQ216" s="216"/>
      <c r="BV216" s="5"/>
      <c r="BW216" s="5"/>
      <c r="BX216" s="5"/>
      <c r="BY216" s="5"/>
      <c r="BZ216" s="5"/>
      <c r="CA216" s="5"/>
      <c r="CI216" s="726">
        <v>45473</v>
      </c>
      <c r="CJ216" t="s">
        <v>1001</v>
      </c>
      <c r="CK216" t="s">
        <v>1002</v>
      </c>
      <c r="CL216" s="5">
        <v>17162670</v>
      </c>
      <c r="CM216" s="730">
        <v>37</v>
      </c>
      <c r="CN216" s="5">
        <v>17162670</v>
      </c>
    </row>
    <row r="217" spans="65:92" x14ac:dyDescent="0.25">
      <c r="BM217" s="5"/>
      <c r="BQ217" s="216"/>
      <c r="BV217" s="5"/>
      <c r="BW217" s="5"/>
      <c r="BX217" s="5"/>
      <c r="BY217" s="5"/>
      <c r="BZ217" s="5"/>
      <c r="CA217" s="5"/>
      <c r="CI217" s="726">
        <v>45473</v>
      </c>
      <c r="CJ217" t="s">
        <v>1003</v>
      </c>
      <c r="CK217" t="s">
        <v>1004</v>
      </c>
      <c r="CL217" s="5">
        <v>1940311</v>
      </c>
      <c r="CM217" s="730">
        <v>6</v>
      </c>
      <c r="CN217" s="5">
        <v>1940311</v>
      </c>
    </row>
    <row r="218" spans="65:92" x14ac:dyDescent="0.25">
      <c r="BM218" s="5"/>
      <c r="BQ218" s="216"/>
      <c r="BV218" s="5"/>
      <c r="BW218" s="5"/>
      <c r="BX218" s="5"/>
      <c r="BY218" s="5"/>
      <c r="BZ218" s="5"/>
      <c r="CA218" s="5"/>
      <c r="CI218" s="726">
        <v>45473</v>
      </c>
      <c r="CJ218" t="s">
        <v>1005</v>
      </c>
      <c r="CK218" t="s">
        <v>1006</v>
      </c>
      <c r="CL218" s="5">
        <v>1450854</v>
      </c>
      <c r="CM218" s="730">
        <v>4</v>
      </c>
      <c r="CN218" s="5">
        <v>1450854</v>
      </c>
    </row>
    <row r="219" spans="65:92" x14ac:dyDescent="0.25">
      <c r="BM219" s="5"/>
      <c r="BQ219" s="216"/>
      <c r="BV219" s="5"/>
      <c r="BW219" s="5"/>
      <c r="BX219" s="5"/>
      <c r="BY219" s="5"/>
      <c r="BZ219" s="5"/>
      <c r="CA219" s="5"/>
      <c r="CI219" s="726">
        <v>45473</v>
      </c>
      <c r="CJ219" t="s">
        <v>1007</v>
      </c>
      <c r="CK219" t="s">
        <v>1008</v>
      </c>
      <c r="CL219" s="5">
        <v>4801122</v>
      </c>
      <c r="CM219" s="730">
        <v>15</v>
      </c>
      <c r="CN219" s="5">
        <v>4801122</v>
      </c>
    </row>
    <row r="220" spans="65:92" x14ac:dyDescent="0.25">
      <c r="BM220" s="5"/>
      <c r="BQ220" s="216"/>
      <c r="BV220" s="5"/>
      <c r="BW220" s="5"/>
      <c r="BX220" s="5"/>
      <c r="BY220" s="5"/>
      <c r="BZ220" s="5"/>
      <c r="CA220" s="5"/>
      <c r="CI220" s="726">
        <v>45473</v>
      </c>
      <c r="CJ220" t="s">
        <v>1009</v>
      </c>
      <c r="CK220" t="s">
        <v>1010</v>
      </c>
      <c r="CL220" s="5">
        <v>11307519</v>
      </c>
      <c r="CM220" s="730">
        <v>46</v>
      </c>
      <c r="CN220" s="5">
        <v>11307519</v>
      </c>
    </row>
    <row r="221" spans="65:92" x14ac:dyDescent="0.25">
      <c r="BM221" s="5"/>
      <c r="BQ221" s="216"/>
      <c r="BV221" s="5"/>
      <c r="BW221" s="5"/>
      <c r="BX221" s="5"/>
      <c r="BY221" s="5"/>
      <c r="BZ221" s="5"/>
      <c r="CA221" s="5"/>
      <c r="CI221" s="726">
        <v>45473</v>
      </c>
      <c r="CJ221" t="s">
        <v>1011</v>
      </c>
      <c r="CK221" t="s">
        <v>1012</v>
      </c>
      <c r="CL221" s="5">
        <v>28491231</v>
      </c>
      <c r="CM221" s="730">
        <v>94</v>
      </c>
      <c r="CN221" s="5">
        <v>28491231</v>
      </c>
    </row>
    <row r="222" spans="65:92" x14ac:dyDescent="0.25">
      <c r="BM222" s="5"/>
      <c r="BQ222" s="216"/>
      <c r="BV222" s="5"/>
      <c r="BW222" s="5"/>
      <c r="BX222" s="5"/>
      <c r="BY222" s="5"/>
      <c r="BZ222" s="5"/>
      <c r="CA222" s="5"/>
      <c r="CI222" s="726">
        <v>45473</v>
      </c>
      <c r="CJ222" t="s">
        <v>1013</v>
      </c>
      <c r="CK222" t="s">
        <v>1014</v>
      </c>
      <c r="CL222" s="5">
        <v>3375048</v>
      </c>
      <c r="CM222" s="730">
        <v>14</v>
      </c>
      <c r="CN222" s="5">
        <v>3375048</v>
      </c>
    </row>
    <row r="223" spans="65:92" x14ac:dyDescent="0.25">
      <c r="BM223" s="5"/>
      <c r="BQ223" s="216"/>
      <c r="BV223" s="5"/>
      <c r="BW223" s="5"/>
      <c r="BX223" s="5"/>
      <c r="BY223" s="5"/>
      <c r="BZ223" s="5"/>
      <c r="CA223" s="5"/>
      <c r="CI223" s="726">
        <v>45473</v>
      </c>
      <c r="CJ223" t="s">
        <v>1015</v>
      </c>
      <c r="CK223" t="s">
        <v>1016</v>
      </c>
      <c r="CL223" s="5">
        <v>1507754</v>
      </c>
      <c r="CM223" s="730">
        <v>4</v>
      </c>
      <c r="CN223" s="5">
        <v>1507754</v>
      </c>
    </row>
    <row r="224" spans="65:92" x14ac:dyDescent="0.25">
      <c r="BM224" s="5"/>
      <c r="BQ224" s="216"/>
      <c r="BV224" s="5"/>
      <c r="BW224" s="5"/>
      <c r="BX224" s="5"/>
      <c r="BY224" s="5"/>
      <c r="BZ224" s="5"/>
      <c r="CA224" s="5"/>
      <c r="CI224" s="726">
        <v>45473</v>
      </c>
      <c r="CJ224" t="s">
        <v>1017</v>
      </c>
      <c r="CK224" t="s">
        <v>1018</v>
      </c>
      <c r="CL224" s="5">
        <v>8053346</v>
      </c>
      <c r="CM224" s="730">
        <v>21</v>
      </c>
      <c r="CN224" s="5">
        <v>8053346</v>
      </c>
    </row>
    <row r="225" spans="65:92" x14ac:dyDescent="0.25">
      <c r="BM225" s="5"/>
      <c r="BQ225" s="216"/>
      <c r="BV225" s="5"/>
      <c r="BW225" s="5"/>
      <c r="BX225" s="5"/>
      <c r="BY225" s="5"/>
      <c r="BZ225" s="5"/>
      <c r="CA225" s="5"/>
      <c r="CI225" s="726">
        <v>45473</v>
      </c>
      <c r="CJ225" t="s">
        <v>1019</v>
      </c>
      <c r="CK225" t="s">
        <v>1020</v>
      </c>
      <c r="CL225" s="5">
        <v>764000</v>
      </c>
      <c r="CM225" s="730">
        <v>5</v>
      </c>
      <c r="CN225" s="5">
        <v>764000</v>
      </c>
    </row>
    <row r="226" spans="65:92" x14ac:dyDescent="0.25">
      <c r="BM226" s="5"/>
      <c r="BQ226" s="216"/>
      <c r="BV226" s="5"/>
      <c r="BW226" s="5"/>
      <c r="BX226" s="5"/>
      <c r="BY226" s="5"/>
      <c r="BZ226" s="5"/>
      <c r="CA226" s="5"/>
      <c r="CI226" s="726">
        <v>45473</v>
      </c>
      <c r="CJ226" t="s">
        <v>1021</v>
      </c>
      <c r="CK226" t="s">
        <v>1022</v>
      </c>
      <c r="CL226" s="5">
        <v>10709395</v>
      </c>
      <c r="CM226" s="730">
        <v>35</v>
      </c>
      <c r="CN226" s="5">
        <v>10709395</v>
      </c>
    </row>
    <row r="227" spans="65:92" x14ac:dyDescent="0.25">
      <c r="BM227" s="5"/>
      <c r="BQ227" s="216"/>
      <c r="BV227" s="5"/>
      <c r="BW227" s="5"/>
      <c r="BX227" s="5"/>
      <c r="BY227" s="5"/>
      <c r="BZ227" s="5"/>
      <c r="CA227" s="5"/>
      <c r="CI227" s="726">
        <v>45473</v>
      </c>
      <c r="CJ227" t="s">
        <v>1023</v>
      </c>
      <c r="CK227" t="s">
        <v>1024</v>
      </c>
      <c r="CL227" s="5">
        <v>0</v>
      </c>
      <c r="CM227" s="730">
        <v>0</v>
      </c>
      <c r="CN227" s="5">
        <v>0</v>
      </c>
    </row>
    <row r="228" spans="65:92" x14ac:dyDescent="0.25">
      <c r="BM228" s="5"/>
      <c r="BQ228" s="216"/>
      <c r="BV228" s="5"/>
      <c r="BW228" s="5"/>
      <c r="BX228" s="5"/>
      <c r="BY228" s="5"/>
      <c r="BZ228" s="5"/>
      <c r="CA228" s="5"/>
      <c r="CI228" s="726">
        <v>45473</v>
      </c>
      <c r="CJ228" t="s">
        <v>1025</v>
      </c>
      <c r="CK228" t="s">
        <v>1026</v>
      </c>
      <c r="CL228" s="5">
        <v>0</v>
      </c>
      <c r="CM228" s="730">
        <v>0</v>
      </c>
      <c r="CN228" s="5">
        <v>0</v>
      </c>
    </row>
    <row r="229" spans="65:92" x14ac:dyDescent="0.25">
      <c r="BM229" s="5"/>
      <c r="BQ229" s="216"/>
      <c r="BV229" s="5"/>
      <c r="BW229" s="5"/>
      <c r="BX229" s="5"/>
      <c r="BY229" s="5"/>
      <c r="BZ229" s="5"/>
      <c r="CA229" s="5"/>
      <c r="CI229" s="726">
        <v>45473</v>
      </c>
      <c r="CJ229" t="s">
        <v>1027</v>
      </c>
      <c r="CK229" t="s">
        <v>1028</v>
      </c>
      <c r="CL229" s="5">
        <v>198240</v>
      </c>
      <c r="CM229" s="730">
        <v>2</v>
      </c>
      <c r="CN229" s="5">
        <v>198240</v>
      </c>
    </row>
    <row r="230" spans="65:92" x14ac:dyDescent="0.25">
      <c r="BM230" s="5"/>
      <c r="BQ230" s="216"/>
      <c r="BV230" s="5"/>
      <c r="BW230" s="5"/>
      <c r="BX230" s="5"/>
      <c r="BY230" s="5"/>
      <c r="BZ230" s="5"/>
      <c r="CA230" s="5"/>
      <c r="CI230" s="726">
        <v>45473</v>
      </c>
      <c r="CJ230" t="s">
        <v>1029</v>
      </c>
      <c r="CK230" t="s">
        <v>1030</v>
      </c>
      <c r="CL230" s="5">
        <v>326406</v>
      </c>
      <c r="CM230" s="730">
        <v>2</v>
      </c>
      <c r="CN230" s="5">
        <v>326406</v>
      </c>
    </row>
    <row r="231" spans="65:92" x14ac:dyDescent="0.25">
      <c r="BM231" s="5"/>
      <c r="BQ231" s="216"/>
      <c r="BV231" s="5"/>
      <c r="BW231" s="5"/>
      <c r="BX231" s="5"/>
      <c r="BY231" s="5"/>
      <c r="BZ231" s="5"/>
      <c r="CA231" s="5"/>
      <c r="CI231" s="726">
        <v>45473</v>
      </c>
      <c r="CJ231" t="s">
        <v>1031</v>
      </c>
      <c r="CK231" t="s">
        <v>1032</v>
      </c>
      <c r="CL231" s="5">
        <v>0</v>
      </c>
      <c r="CM231" s="730">
        <v>0</v>
      </c>
      <c r="CN231" s="5">
        <v>0</v>
      </c>
    </row>
    <row r="232" spans="65:92" x14ac:dyDescent="0.25">
      <c r="BM232" s="5"/>
      <c r="BQ232" s="216"/>
      <c r="BV232" s="5"/>
      <c r="BW232" s="5"/>
      <c r="BX232" s="5"/>
      <c r="BY232" s="5"/>
      <c r="BZ232" s="5"/>
      <c r="CA232" s="5"/>
      <c r="CI232" s="726">
        <v>45473</v>
      </c>
      <c r="CJ232" t="s">
        <v>1033</v>
      </c>
      <c r="CK232" t="s">
        <v>1034</v>
      </c>
      <c r="CL232" s="5">
        <v>3161933</v>
      </c>
      <c r="CM232" s="730">
        <v>12</v>
      </c>
      <c r="CN232" s="5">
        <v>3161933</v>
      </c>
    </row>
    <row r="233" spans="65:92" x14ac:dyDescent="0.25">
      <c r="BM233" s="5"/>
      <c r="BQ233" s="216"/>
      <c r="BV233" s="5"/>
      <c r="BW233" s="5"/>
      <c r="BX233" s="5"/>
      <c r="BY233" s="5"/>
      <c r="BZ233" s="5"/>
      <c r="CA233" s="5"/>
      <c r="CI233" s="726">
        <v>45473</v>
      </c>
      <c r="CJ233" t="s">
        <v>1035</v>
      </c>
      <c r="CK233" t="s">
        <v>1036</v>
      </c>
      <c r="CL233" s="5">
        <v>0</v>
      </c>
      <c r="CM233" s="730">
        <v>0</v>
      </c>
      <c r="CN233" s="5">
        <v>0</v>
      </c>
    </row>
    <row r="234" spans="65:92" x14ac:dyDescent="0.25">
      <c r="BM234" s="5"/>
      <c r="BQ234" s="216"/>
      <c r="BV234" s="5"/>
      <c r="BW234" s="5"/>
      <c r="BX234" s="5"/>
      <c r="BY234" s="5"/>
      <c r="BZ234" s="5"/>
      <c r="CA234" s="5"/>
      <c r="CI234" s="726">
        <v>45473</v>
      </c>
      <c r="CJ234" t="s">
        <v>1037</v>
      </c>
      <c r="CK234" t="s">
        <v>1038</v>
      </c>
      <c r="CL234" s="5">
        <v>4252063</v>
      </c>
      <c r="CM234" s="730">
        <v>15</v>
      </c>
      <c r="CN234" s="5">
        <v>4252063</v>
      </c>
    </row>
    <row r="235" spans="65:92" x14ac:dyDescent="0.25">
      <c r="BM235" s="5"/>
      <c r="BQ235" s="216"/>
      <c r="BV235" s="5"/>
      <c r="BW235" s="5"/>
      <c r="BX235" s="5"/>
      <c r="BY235" s="5"/>
      <c r="BZ235" s="5"/>
      <c r="CA235" s="5"/>
      <c r="CI235" s="726">
        <v>45473</v>
      </c>
      <c r="CJ235" t="s">
        <v>1039</v>
      </c>
      <c r="CK235" t="s">
        <v>1040</v>
      </c>
      <c r="CL235" s="5">
        <v>265000</v>
      </c>
      <c r="CM235" s="730">
        <v>1</v>
      </c>
      <c r="CN235" s="5">
        <v>265000</v>
      </c>
    </row>
    <row r="236" spans="65:92" x14ac:dyDescent="0.25">
      <c r="BM236" s="5"/>
      <c r="BQ236" s="216"/>
      <c r="BV236" s="5"/>
      <c r="BW236" s="5"/>
      <c r="BX236" s="5"/>
      <c r="BY236" s="5"/>
      <c r="BZ236" s="5"/>
      <c r="CA236" s="5"/>
      <c r="CI236" s="726">
        <v>45473</v>
      </c>
      <c r="CJ236" t="s">
        <v>1041</v>
      </c>
      <c r="CK236" t="s">
        <v>1042</v>
      </c>
      <c r="CL236" s="5">
        <v>19829400.140000001</v>
      </c>
      <c r="CM236" s="730">
        <v>61</v>
      </c>
      <c r="CN236" s="5">
        <v>19829400.140000001</v>
      </c>
    </row>
    <row r="237" spans="65:92" x14ac:dyDescent="0.25">
      <c r="BM237" s="5"/>
      <c r="BQ237" s="216"/>
      <c r="BV237" s="5"/>
      <c r="BW237" s="5"/>
      <c r="BX237" s="5"/>
      <c r="BY237" s="5"/>
      <c r="BZ237" s="5"/>
      <c r="CA237" s="5"/>
      <c r="CI237" s="726">
        <v>45473</v>
      </c>
      <c r="CJ237" t="s">
        <v>1043</v>
      </c>
      <c r="CK237" t="s">
        <v>1044</v>
      </c>
      <c r="CL237" s="5">
        <v>1750826</v>
      </c>
      <c r="CM237" s="730">
        <v>11</v>
      </c>
      <c r="CN237" s="5">
        <v>1750826</v>
      </c>
    </row>
    <row r="238" spans="65:92" x14ac:dyDescent="0.25">
      <c r="BM238" s="5"/>
      <c r="BQ238" s="216"/>
      <c r="BV238" s="5"/>
      <c r="BW238" s="5"/>
      <c r="BX238" s="5"/>
      <c r="BY238" s="5"/>
      <c r="BZ238" s="5"/>
      <c r="CA238" s="5"/>
      <c r="CI238" s="726">
        <v>45473</v>
      </c>
      <c r="CJ238" t="s">
        <v>1045</v>
      </c>
      <c r="CK238" t="s">
        <v>1046</v>
      </c>
      <c r="CL238" s="5">
        <v>353296</v>
      </c>
      <c r="CM238" s="730">
        <v>2</v>
      </c>
      <c r="CN238" s="5">
        <v>353296</v>
      </c>
    </row>
    <row r="239" spans="65:92" x14ac:dyDescent="0.25">
      <c r="BM239" s="5"/>
      <c r="BQ239" s="216"/>
      <c r="BV239" s="5"/>
      <c r="BW239" s="5"/>
      <c r="BX239" s="5"/>
      <c r="BY239" s="5"/>
      <c r="BZ239" s="5"/>
      <c r="CA239" s="5"/>
      <c r="CI239" s="726">
        <v>45473</v>
      </c>
      <c r="CJ239" t="s">
        <v>1047</v>
      </c>
      <c r="CK239" t="s">
        <v>1048</v>
      </c>
      <c r="CL239" s="5">
        <v>979557</v>
      </c>
      <c r="CM239" s="730">
        <v>5</v>
      </c>
      <c r="CN239" s="5">
        <v>979557</v>
      </c>
    </row>
    <row r="240" spans="65:92" x14ac:dyDescent="0.25">
      <c r="BM240" s="5"/>
      <c r="BQ240" s="216"/>
      <c r="BV240" s="5"/>
      <c r="BW240" s="5"/>
      <c r="BX240" s="5"/>
      <c r="BY240" s="5"/>
      <c r="BZ240" s="5"/>
      <c r="CA240" s="5"/>
      <c r="CI240" s="726">
        <v>45473</v>
      </c>
      <c r="CJ240" t="s">
        <v>1049</v>
      </c>
      <c r="CK240" t="s">
        <v>1050</v>
      </c>
      <c r="CL240" s="5">
        <v>5514426</v>
      </c>
      <c r="CM240" s="730">
        <v>14</v>
      </c>
      <c r="CN240" s="5">
        <v>5514426</v>
      </c>
    </row>
    <row r="241" spans="65:92" x14ac:dyDescent="0.25">
      <c r="BM241" s="5"/>
      <c r="BQ241" s="216"/>
      <c r="BV241" s="5"/>
      <c r="BW241" s="5"/>
      <c r="BX241" s="5"/>
      <c r="BY241" s="5"/>
      <c r="BZ241" s="5"/>
      <c r="CA241" s="5"/>
      <c r="CI241" s="726">
        <v>45473</v>
      </c>
      <c r="CJ241" t="s">
        <v>1051</v>
      </c>
      <c r="CK241" t="s">
        <v>1052</v>
      </c>
      <c r="CL241" s="5">
        <v>3660064</v>
      </c>
      <c r="CM241" s="730">
        <v>9</v>
      </c>
      <c r="CN241" s="5">
        <v>3660064</v>
      </c>
    </row>
    <row r="242" spans="65:92" x14ac:dyDescent="0.25">
      <c r="BM242" s="5"/>
      <c r="BQ242" s="216"/>
      <c r="BV242" s="5"/>
      <c r="BW242" s="5"/>
      <c r="BX242" s="5"/>
      <c r="BY242" s="5"/>
      <c r="BZ242" s="5"/>
      <c r="CA242" s="5"/>
      <c r="CI242" s="726">
        <v>45473</v>
      </c>
      <c r="CJ242" t="s">
        <v>1053</v>
      </c>
      <c r="CK242" t="s">
        <v>1054</v>
      </c>
      <c r="CL242" s="5">
        <v>2144239</v>
      </c>
      <c r="CM242" s="730">
        <v>9</v>
      </c>
      <c r="CN242" s="5">
        <v>2144239</v>
      </c>
    </row>
    <row r="243" spans="65:92" x14ac:dyDescent="0.25">
      <c r="BM243" s="5"/>
      <c r="BQ243" s="216"/>
      <c r="BV243" s="5"/>
      <c r="BW243" s="5"/>
      <c r="BX243" s="5"/>
      <c r="BY243" s="5"/>
      <c r="BZ243" s="5"/>
      <c r="CA243" s="5"/>
      <c r="CI243" s="726">
        <v>45473</v>
      </c>
      <c r="CJ243" t="s">
        <v>1055</v>
      </c>
      <c r="CK243" t="s">
        <v>1056</v>
      </c>
      <c r="CL243" s="5">
        <v>6753149</v>
      </c>
      <c r="CM243" s="730">
        <v>22</v>
      </c>
      <c r="CN243" s="5">
        <v>6753149</v>
      </c>
    </row>
    <row r="244" spans="65:92" x14ac:dyDescent="0.25">
      <c r="BM244" s="5"/>
      <c r="BQ244" s="216"/>
      <c r="BV244" s="5"/>
      <c r="BW244" s="5"/>
      <c r="BX244" s="5"/>
      <c r="BY244" s="5"/>
      <c r="BZ244" s="5"/>
      <c r="CA244" s="5"/>
      <c r="CI244" s="726">
        <v>45473</v>
      </c>
      <c r="CJ244" t="s">
        <v>1057</v>
      </c>
      <c r="CK244" t="s">
        <v>1058</v>
      </c>
      <c r="CL244" s="5">
        <v>12600297</v>
      </c>
      <c r="CM244" s="730">
        <v>31</v>
      </c>
      <c r="CN244" s="5">
        <v>12600297</v>
      </c>
    </row>
    <row r="245" spans="65:92" x14ac:dyDescent="0.25">
      <c r="BM245" s="5"/>
      <c r="BQ245" s="216"/>
      <c r="BV245" s="5"/>
      <c r="BW245" s="5"/>
      <c r="BX245" s="5"/>
      <c r="BY245" s="5"/>
      <c r="BZ245" s="5"/>
      <c r="CA245" s="5"/>
      <c r="CI245" s="726">
        <v>45473</v>
      </c>
      <c r="CJ245" t="s">
        <v>1059</v>
      </c>
      <c r="CK245" t="s">
        <v>1060</v>
      </c>
      <c r="CL245" s="5">
        <v>3301276.04</v>
      </c>
      <c r="CM245" s="730">
        <v>9</v>
      </c>
      <c r="CN245" s="5">
        <v>3301276.04</v>
      </c>
    </row>
    <row r="246" spans="65:92" x14ac:dyDescent="0.25">
      <c r="BM246" s="5"/>
      <c r="BQ246" s="216"/>
      <c r="BV246" s="5"/>
      <c r="BW246" s="5"/>
      <c r="BX246" s="5"/>
      <c r="BY246" s="5"/>
      <c r="BZ246" s="5"/>
      <c r="CA246" s="5"/>
      <c r="CI246" s="726">
        <v>45473</v>
      </c>
      <c r="CJ246" t="s">
        <v>1061</v>
      </c>
      <c r="CK246" t="s">
        <v>1062</v>
      </c>
      <c r="CL246" s="5">
        <v>66831127</v>
      </c>
      <c r="CM246" s="730">
        <v>175</v>
      </c>
      <c r="CN246" s="5">
        <v>66831127</v>
      </c>
    </row>
    <row r="247" spans="65:92" x14ac:dyDescent="0.25">
      <c r="BM247" s="5"/>
      <c r="BQ247" s="216"/>
      <c r="BV247" s="5"/>
      <c r="BW247" s="5"/>
      <c r="BX247" s="5"/>
      <c r="BY247" s="5"/>
      <c r="BZ247" s="5"/>
      <c r="CA247" s="5"/>
      <c r="CI247" s="726">
        <v>45473</v>
      </c>
      <c r="CJ247" t="s">
        <v>1063</v>
      </c>
      <c r="CK247" t="s">
        <v>1064</v>
      </c>
      <c r="CL247" s="5">
        <v>15244360</v>
      </c>
      <c r="CM247" s="730">
        <v>21</v>
      </c>
      <c r="CN247" s="5">
        <v>15244360</v>
      </c>
    </row>
    <row r="248" spans="65:92" x14ac:dyDescent="0.25">
      <c r="BM248" s="5"/>
      <c r="BQ248" s="216"/>
      <c r="BV248" s="5"/>
      <c r="BW248" s="5"/>
      <c r="BX248" s="5"/>
      <c r="BY248" s="5"/>
      <c r="BZ248" s="5"/>
      <c r="CA248" s="5"/>
      <c r="CI248" s="726">
        <v>45473</v>
      </c>
      <c r="CJ248" t="s">
        <v>1065</v>
      </c>
      <c r="CK248" t="s">
        <v>1066</v>
      </c>
      <c r="CL248" s="5">
        <v>526507</v>
      </c>
      <c r="CM248" s="730">
        <v>3</v>
      </c>
      <c r="CN248" s="5">
        <v>526507</v>
      </c>
    </row>
    <row r="249" spans="65:92" x14ac:dyDescent="0.25">
      <c r="BM249" s="5"/>
      <c r="BQ249" s="216"/>
      <c r="BV249" s="5"/>
      <c r="BW249" s="5"/>
      <c r="BX249" s="5"/>
      <c r="BY249" s="5"/>
      <c r="BZ249" s="5"/>
      <c r="CA249" s="5"/>
      <c r="CI249" s="726">
        <v>45473</v>
      </c>
      <c r="CJ249" t="s">
        <v>1067</v>
      </c>
      <c r="CK249" t="s">
        <v>1068</v>
      </c>
      <c r="CL249" s="5">
        <v>22378996</v>
      </c>
      <c r="CM249" s="730">
        <v>55</v>
      </c>
      <c r="CN249" s="5">
        <v>22378996</v>
      </c>
    </row>
    <row r="250" spans="65:92" x14ac:dyDescent="0.25">
      <c r="BM250" s="5"/>
      <c r="BQ250" s="216"/>
      <c r="BV250" s="5"/>
      <c r="BW250" s="5"/>
      <c r="BX250" s="5"/>
      <c r="BY250" s="5"/>
      <c r="BZ250" s="5"/>
      <c r="CA250" s="5"/>
      <c r="CI250" s="726">
        <v>45473</v>
      </c>
      <c r="CJ250" t="s">
        <v>1069</v>
      </c>
      <c r="CK250" t="s">
        <v>1070</v>
      </c>
      <c r="CL250" s="5">
        <v>0</v>
      </c>
      <c r="CM250" s="730">
        <v>0</v>
      </c>
      <c r="CN250" s="5">
        <v>0</v>
      </c>
    </row>
    <row r="251" spans="65:92" x14ac:dyDescent="0.25">
      <c r="BM251" s="5"/>
      <c r="BQ251" s="216"/>
      <c r="BV251" s="5"/>
      <c r="BW251" s="5"/>
      <c r="BX251" s="5"/>
      <c r="BY251" s="5"/>
      <c r="BZ251" s="5"/>
      <c r="CA251" s="5"/>
      <c r="CI251" s="726">
        <v>45473</v>
      </c>
      <c r="CJ251" t="s">
        <v>1071</v>
      </c>
      <c r="CK251" t="s">
        <v>1072</v>
      </c>
      <c r="CL251" s="5">
        <v>0</v>
      </c>
      <c r="CM251" s="730">
        <v>0</v>
      </c>
      <c r="CN251" s="5">
        <v>0</v>
      </c>
    </row>
    <row r="252" spans="65:92" x14ac:dyDescent="0.25">
      <c r="BM252" s="5"/>
      <c r="BQ252" s="216"/>
      <c r="BV252" s="5"/>
      <c r="BW252" s="5"/>
      <c r="BX252" s="5"/>
      <c r="BY252" s="5"/>
      <c r="BZ252" s="5"/>
      <c r="CA252" s="5"/>
      <c r="CI252" s="726">
        <v>45473</v>
      </c>
      <c r="CJ252" t="s">
        <v>1073</v>
      </c>
      <c r="CK252" t="s">
        <v>1074</v>
      </c>
      <c r="CL252" s="5">
        <v>718300</v>
      </c>
      <c r="CM252" s="730">
        <v>4</v>
      </c>
      <c r="CN252" s="5">
        <v>718300</v>
      </c>
    </row>
    <row r="253" spans="65:92" x14ac:dyDescent="0.25">
      <c r="BM253" s="5"/>
      <c r="BQ253" s="216"/>
      <c r="BV253" s="5"/>
      <c r="BW253" s="5"/>
      <c r="BX253" s="5"/>
      <c r="BY253" s="5"/>
      <c r="BZ253" s="5"/>
      <c r="CA253" s="5"/>
      <c r="CI253" s="726">
        <v>45473</v>
      </c>
      <c r="CJ253" t="s">
        <v>1075</v>
      </c>
      <c r="CK253" t="s">
        <v>1076</v>
      </c>
      <c r="CL253" s="5">
        <v>1036800</v>
      </c>
      <c r="CM253" s="730">
        <v>3</v>
      </c>
      <c r="CN253" s="5">
        <v>1036800</v>
      </c>
    </row>
    <row r="254" spans="65:92" x14ac:dyDescent="0.25">
      <c r="BM254" s="5"/>
      <c r="BQ254" s="216"/>
      <c r="BV254" s="5"/>
      <c r="BW254" s="5"/>
      <c r="BX254" s="5"/>
      <c r="BY254" s="5"/>
      <c r="BZ254" s="5"/>
      <c r="CA254" s="5"/>
      <c r="CI254" s="726">
        <v>45473</v>
      </c>
      <c r="CJ254" t="s">
        <v>1077</v>
      </c>
      <c r="CK254" t="s">
        <v>1078</v>
      </c>
      <c r="CL254" s="5">
        <v>9114419</v>
      </c>
      <c r="CM254" s="730">
        <v>30</v>
      </c>
      <c r="CN254" s="5">
        <v>9114419</v>
      </c>
    </row>
    <row r="255" spans="65:92" x14ac:dyDescent="0.25">
      <c r="BM255" s="5"/>
      <c r="BQ255" s="216"/>
      <c r="BV255" s="5"/>
      <c r="BW255" s="5"/>
      <c r="BX255" s="5"/>
      <c r="BY255" s="5"/>
      <c r="BZ255" s="5"/>
      <c r="CA255" s="5"/>
      <c r="CI255" s="726">
        <v>45473</v>
      </c>
      <c r="CJ255" t="s">
        <v>1079</v>
      </c>
      <c r="CK255" t="s">
        <v>1080</v>
      </c>
      <c r="CL255" s="5">
        <v>1451316</v>
      </c>
      <c r="CM255" s="730">
        <v>4</v>
      </c>
      <c r="CN255" s="5">
        <v>1451316</v>
      </c>
    </row>
    <row r="256" spans="65:92" x14ac:dyDescent="0.25">
      <c r="BM256" s="5"/>
      <c r="BQ256" s="216"/>
      <c r="BV256" s="5"/>
      <c r="BW256" s="5"/>
      <c r="BX256" s="5"/>
      <c r="BY256" s="5"/>
      <c r="BZ256" s="5"/>
      <c r="CA256" s="5"/>
      <c r="CI256" s="726">
        <v>45473</v>
      </c>
      <c r="CJ256" t="s">
        <v>1081</v>
      </c>
      <c r="CK256" t="s">
        <v>1082</v>
      </c>
      <c r="CL256" s="5">
        <v>1089392</v>
      </c>
      <c r="CM256" s="730">
        <v>8</v>
      </c>
      <c r="CN256" s="5">
        <v>1089392</v>
      </c>
    </row>
    <row r="257" spans="65:92" x14ac:dyDescent="0.25">
      <c r="BM257" s="5"/>
      <c r="BQ257" s="216"/>
      <c r="BV257" s="5"/>
      <c r="BW257" s="5"/>
      <c r="BX257" s="5"/>
      <c r="BY257" s="5"/>
      <c r="BZ257" s="5"/>
      <c r="CA257" s="5"/>
      <c r="CI257" s="726">
        <v>45473</v>
      </c>
      <c r="CJ257" t="s">
        <v>1083</v>
      </c>
      <c r="CK257" t="s">
        <v>1084</v>
      </c>
      <c r="CL257" s="5">
        <v>1020000</v>
      </c>
      <c r="CM257" s="730">
        <v>4</v>
      </c>
      <c r="CN257" s="5">
        <v>1020000</v>
      </c>
    </row>
    <row r="258" spans="65:92" x14ac:dyDescent="0.25">
      <c r="BM258" s="5"/>
      <c r="BQ258" s="216"/>
      <c r="BV258" s="5"/>
      <c r="BW258" s="5"/>
      <c r="BX258" s="5"/>
      <c r="BY258" s="5"/>
      <c r="BZ258" s="5"/>
      <c r="CA258" s="5"/>
      <c r="CI258" s="726">
        <v>45473</v>
      </c>
      <c r="CJ258" t="s">
        <v>1085</v>
      </c>
      <c r="CK258" t="s">
        <v>1086</v>
      </c>
      <c r="CL258" s="5">
        <v>12469019</v>
      </c>
      <c r="CM258" s="730">
        <v>24</v>
      </c>
      <c r="CN258" s="5">
        <v>12469019</v>
      </c>
    </row>
    <row r="259" spans="65:92" x14ac:dyDescent="0.25">
      <c r="BM259" s="5"/>
      <c r="BQ259" s="216"/>
      <c r="BV259" s="5"/>
      <c r="BW259" s="5"/>
      <c r="BX259" s="5"/>
      <c r="BY259" s="5"/>
      <c r="BZ259" s="5"/>
      <c r="CA259" s="5"/>
      <c r="CI259" s="726">
        <v>45473</v>
      </c>
      <c r="CJ259" t="s">
        <v>1087</v>
      </c>
      <c r="CK259" t="s">
        <v>1088</v>
      </c>
      <c r="CL259" s="5">
        <v>20075356.170000002</v>
      </c>
      <c r="CM259" s="730">
        <v>75</v>
      </c>
      <c r="CN259" s="5">
        <v>20075356.170000002</v>
      </c>
    </row>
    <row r="260" spans="65:92" x14ac:dyDescent="0.25">
      <c r="BM260" s="5"/>
      <c r="BQ260" s="216"/>
      <c r="BV260" s="5"/>
      <c r="BW260" s="5"/>
      <c r="BX260" s="5"/>
      <c r="BY260" s="5"/>
      <c r="BZ260" s="5"/>
      <c r="CA260" s="5"/>
      <c r="CI260" s="726">
        <v>45473</v>
      </c>
      <c r="CJ260" t="s">
        <v>1089</v>
      </c>
      <c r="CK260" t="s">
        <v>1090</v>
      </c>
      <c r="CL260" s="5">
        <v>0</v>
      </c>
      <c r="CM260" s="730">
        <v>0</v>
      </c>
      <c r="CN260" s="5">
        <v>0</v>
      </c>
    </row>
    <row r="261" spans="65:92" x14ac:dyDescent="0.25">
      <c r="BM261" s="5"/>
      <c r="BQ261" s="216"/>
      <c r="BV261" s="5"/>
      <c r="BW261" s="5"/>
      <c r="BX261" s="5"/>
      <c r="BY261" s="5"/>
      <c r="BZ261" s="5"/>
      <c r="CA261" s="5"/>
      <c r="CI261" s="726">
        <v>45473</v>
      </c>
      <c r="CJ261" t="s">
        <v>1091</v>
      </c>
      <c r="CK261" t="s">
        <v>1092</v>
      </c>
      <c r="CL261" s="5">
        <v>1812003</v>
      </c>
      <c r="CM261" s="730">
        <v>10</v>
      </c>
      <c r="CN261" s="5">
        <v>1812003</v>
      </c>
    </row>
    <row r="262" spans="65:92" x14ac:dyDescent="0.25">
      <c r="BM262" s="5"/>
      <c r="BQ262" s="216"/>
      <c r="BV262" s="5"/>
      <c r="BW262" s="5"/>
      <c r="BX262" s="5"/>
      <c r="BY262" s="5"/>
      <c r="BZ262" s="5"/>
      <c r="CA262" s="5"/>
      <c r="CI262" s="726">
        <v>45473</v>
      </c>
      <c r="CJ262" t="s">
        <v>1093</v>
      </c>
      <c r="CK262" t="s">
        <v>1094</v>
      </c>
      <c r="CL262" s="5">
        <v>194670</v>
      </c>
      <c r="CM262" s="730">
        <v>2</v>
      </c>
      <c r="CN262" s="5">
        <v>194670</v>
      </c>
    </row>
    <row r="263" spans="65:92" x14ac:dyDescent="0.25">
      <c r="BM263" s="5"/>
      <c r="BQ263" s="216"/>
      <c r="BV263" s="5"/>
      <c r="BW263" s="5"/>
      <c r="BX263" s="5"/>
      <c r="BY263" s="5"/>
      <c r="BZ263" s="5"/>
      <c r="CA263" s="5"/>
      <c r="CI263" s="726">
        <v>45473</v>
      </c>
      <c r="CJ263" t="s">
        <v>1095</v>
      </c>
      <c r="CK263" t="s">
        <v>1096</v>
      </c>
      <c r="CL263" s="5">
        <v>0</v>
      </c>
      <c r="CM263" s="730">
        <v>0</v>
      </c>
      <c r="CN263" s="5">
        <v>0</v>
      </c>
    </row>
    <row r="264" spans="65:92" x14ac:dyDescent="0.25">
      <c r="BM264" s="5"/>
      <c r="BQ264" s="216"/>
      <c r="BV264" s="5"/>
      <c r="BW264" s="5"/>
      <c r="BX264" s="5"/>
      <c r="BY264" s="5"/>
      <c r="BZ264" s="5"/>
      <c r="CA264" s="5"/>
      <c r="CI264" s="726">
        <v>45473</v>
      </c>
      <c r="CJ264" t="s">
        <v>1097</v>
      </c>
      <c r="CK264" t="s">
        <v>1098</v>
      </c>
      <c r="CL264" s="5">
        <v>34906316</v>
      </c>
      <c r="CM264" s="730">
        <v>123</v>
      </c>
      <c r="CN264" s="5">
        <v>34906316</v>
      </c>
    </row>
    <row r="265" spans="65:92" x14ac:dyDescent="0.25">
      <c r="BM265" s="5"/>
      <c r="BQ265" s="216"/>
      <c r="BV265" s="5"/>
      <c r="BW265" s="5"/>
      <c r="BX265" s="5"/>
      <c r="BY265" s="5"/>
      <c r="BZ265" s="5"/>
      <c r="CA265" s="5"/>
      <c r="CI265" s="726">
        <v>45473</v>
      </c>
      <c r="CJ265" t="s">
        <v>1099</v>
      </c>
      <c r="CK265" t="s">
        <v>1100</v>
      </c>
      <c r="CL265" s="5">
        <v>1451000</v>
      </c>
      <c r="CM265" s="730">
        <v>4</v>
      </c>
      <c r="CN265" s="5">
        <v>1451000</v>
      </c>
    </row>
    <row r="266" spans="65:92" x14ac:dyDescent="0.25">
      <c r="BM266" s="5"/>
      <c r="BQ266" s="216"/>
      <c r="BV266" s="5"/>
      <c r="BW266" s="5"/>
      <c r="BX266" s="5"/>
      <c r="BY266" s="5"/>
      <c r="BZ266" s="5"/>
      <c r="CA266" s="5"/>
      <c r="CI266" s="726">
        <v>45473</v>
      </c>
      <c r="CJ266" t="s">
        <v>1101</v>
      </c>
      <c r="CK266" t="s">
        <v>1102</v>
      </c>
      <c r="CL266" s="5">
        <v>435000</v>
      </c>
      <c r="CM266" s="730">
        <v>2</v>
      </c>
      <c r="CN266" s="5">
        <v>435000</v>
      </c>
    </row>
    <row r="267" spans="65:92" x14ac:dyDescent="0.25">
      <c r="BM267" s="5"/>
      <c r="BQ267" s="216"/>
      <c r="BV267" s="5"/>
      <c r="BW267" s="5"/>
      <c r="BX267" s="5"/>
      <c r="BY267" s="5"/>
      <c r="BZ267" s="5"/>
      <c r="CA267" s="5"/>
      <c r="CI267" s="726">
        <v>45473</v>
      </c>
      <c r="CJ267" t="s">
        <v>1103</v>
      </c>
      <c r="CK267" t="s">
        <v>1104</v>
      </c>
      <c r="CL267" s="5">
        <v>732250</v>
      </c>
      <c r="CM267" s="730">
        <v>4</v>
      </c>
      <c r="CN267" s="5">
        <v>732250</v>
      </c>
    </row>
    <row r="268" spans="65:92" x14ac:dyDescent="0.25">
      <c r="BM268" s="5"/>
      <c r="BQ268" s="216"/>
      <c r="BV268" s="5"/>
      <c r="BW268" s="5"/>
      <c r="BX268" s="5"/>
      <c r="BY268" s="5"/>
      <c r="BZ268" s="5"/>
      <c r="CA268" s="5"/>
      <c r="CI268" s="726">
        <v>45473</v>
      </c>
      <c r="CJ268" t="s">
        <v>1105</v>
      </c>
      <c r="CK268" t="s">
        <v>1106</v>
      </c>
      <c r="CL268" s="5">
        <v>1405771</v>
      </c>
      <c r="CM268" s="730">
        <v>6</v>
      </c>
      <c r="CN268" s="5">
        <v>1405771</v>
      </c>
    </row>
    <row r="269" spans="65:92" x14ac:dyDescent="0.25">
      <c r="BM269" s="5"/>
      <c r="BQ269" s="216"/>
      <c r="BV269" s="5"/>
      <c r="BW269" s="5"/>
      <c r="BX269" s="5"/>
      <c r="BY269" s="5"/>
      <c r="BZ269" s="5"/>
      <c r="CA269" s="5"/>
      <c r="CI269" s="726">
        <v>45473</v>
      </c>
      <c r="CJ269" t="s">
        <v>1107</v>
      </c>
      <c r="CK269" t="s">
        <v>1108</v>
      </c>
      <c r="CL269" s="5">
        <v>1982965</v>
      </c>
      <c r="CM269" s="730">
        <v>7</v>
      </c>
      <c r="CN269" s="5">
        <v>1982965</v>
      </c>
    </row>
    <row r="270" spans="65:92" x14ac:dyDescent="0.25">
      <c r="BM270" s="5"/>
      <c r="BQ270" s="216"/>
      <c r="BV270" s="5"/>
      <c r="BW270" s="5"/>
      <c r="BX270" s="5"/>
      <c r="BY270" s="5"/>
      <c r="BZ270" s="5"/>
      <c r="CA270" s="5"/>
      <c r="CI270" s="726">
        <v>45473</v>
      </c>
      <c r="CJ270" t="s">
        <v>1109</v>
      </c>
      <c r="CK270" t="s">
        <v>1110</v>
      </c>
      <c r="CL270" s="5">
        <v>717971</v>
      </c>
      <c r="CM270" s="730">
        <v>2</v>
      </c>
      <c r="CN270" s="5">
        <v>717971</v>
      </c>
    </row>
    <row r="271" spans="65:92" x14ac:dyDescent="0.25">
      <c r="BM271" s="5"/>
      <c r="BQ271" s="216"/>
      <c r="BV271" s="5"/>
      <c r="BW271" s="5"/>
      <c r="BX271" s="5"/>
      <c r="BY271" s="5"/>
      <c r="BZ271" s="5"/>
      <c r="CA271" s="5"/>
      <c r="CI271" s="726">
        <v>45473</v>
      </c>
      <c r="CJ271" t="s">
        <v>1111</v>
      </c>
      <c r="CK271" t="s">
        <v>1112</v>
      </c>
      <c r="CL271" s="5">
        <v>243200</v>
      </c>
      <c r="CM271" s="730">
        <v>1</v>
      </c>
      <c r="CN271" s="5">
        <v>243200</v>
      </c>
    </row>
    <row r="272" spans="65:92" x14ac:dyDescent="0.25">
      <c r="BM272" s="5"/>
      <c r="BQ272" s="216"/>
      <c r="BV272" s="5"/>
      <c r="BW272" s="5"/>
      <c r="BX272" s="5"/>
      <c r="BY272" s="5"/>
      <c r="BZ272" s="5"/>
      <c r="CA272" s="5"/>
      <c r="CI272" s="726">
        <v>45473</v>
      </c>
      <c r="CJ272" t="s">
        <v>1113</v>
      </c>
      <c r="CK272" t="s">
        <v>1114</v>
      </c>
      <c r="CL272" s="5">
        <v>220285</v>
      </c>
      <c r="CM272" s="730">
        <v>1</v>
      </c>
      <c r="CN272" s="5">
        <v>220285</v>
      </c>
    </row>
    <row r="273" spans="65:92" x14ac:dyDescent="0.25">
      <c r="BM273" s="5"/>
      <c r="BQ273" s="216"/>
      <c r="BV273" s="5"/>
      <c r="BW273" s="5"/>
      <c r="BX273" s="5"/>
      <c r="BY273" s="5"/>
      <c r="BZ273" s="5"/>
      <c r="CA273" s="5"/>
      <c r="CI273" s="726">
        <v>45473</v>
      </c>
      <c r="CJ273" t="s">
        <v>1115</v>
      </c>
      <c r="CK273" t="s">
        <v>1116</v>
      </c>
      <c r="CL273" s="5">
        <v>2851009</v>
      </c>
      <c r="CM273" s="730">
        <v>13</v>
      </c>
      <c r="CN273" s="5">
        <v>2851009</v>
      </c>
    </row>
    <row r="274" spans="65:92" x14ac:dyDescent="0.25">
      <c r="BM274" s="5"/>
      <c r="BQ274" s="216"/>
      <c r="BV274" s="5"/>
      <c r="BW274" s="5"/>
      <c r="BX274" s="5"/>
      <c r="BY274" s="5"/>
      <c r="BZ274" s="5"/>
      <c r="CA274" s="5"/>
      <c r="CI274" s="726">
        <v>45473</v>
      </c>
      <c r="CJ274" t="s">
        <v>1117</v>
      </c>
      <c r="CK274" t="s">
        <v>1118</v>
      </c>
      <c r="CL274" s="5">
        <v>5621173</v>
      </c>
      <c r="CM274" s="730">
        <v>14</v>
      </c>
      <c r="CN274" s="5">
        <v>5621173</v>
      </c>
    </row>
    <row r="275" spans="65:92" x14ac:dyDescent="0.25">
      <c r="BM275" s="5"/>
      <c r="BQ275" s="216"/>
      <c r="BV275" s="5"/>
      <c r="BW275" s="5"/>
      <c r="BX275" s="5"/>
      <c r="BY275" s="5"/>
      <c r="BZ275" s="5"/>
      <c r="CA275" s="5"/>
      <c r="CI275" s="726">
        <v>45473</v>
      </c>
      <c r="CJ275" t="s">
        <v>1119</v>
      </c>
      <c r="CK275" t="s">
        <v>1120</v>
      </c>
      <c r="CL275" s="5">
        <v>1105000</v>
      </c>
      <c r="CM275" s="730">
        <v>3</v>
      </c>
      <c r="CN275" s="5">
        <v>1105000</v>
      </c>
    </row>
    <row r="276" spans="65:92" x14ac:dyDescent="0.25">
      <c r="BM276" s="5"/>
      <c r="BQ276" s="216"/>
      <c r="BV276" s="5"/>
      <c r="BW276" s="5"/>
      <c r="BX276" s="5"/>
      <c r="BY276" s="5"/>
      <c r="BZ276" s="5"/>
      <c r="CA276" s="5"/>
      <c r="CI276" s="726">
        <v>45473</v>
      </c>
      <c r="CJ276" t="s">
        <v>1121</v>
      </c>
      <c r="CK276" t="s">
        <v>1122</v>
      </c>
      <c r="CL276" s="5">
        <v>2502852</v>
      </c>
      <c r="CM276" s="730">
        <v>9</v>
      </c>
      <c r="CN276" s="5">
        <v>2502852</v>
      </c>
    </row>
    <row r="277" spans="65:92" x14ac:dyDescent="0.25">
      <c r="BM277" s="5"/>
      <c r="BQ277" s="216"/>
      <c r="BV277" s="5"/>
      <c r="BW277" s="5"/>
      <c r="BX277" s="5"/>
      <c r="BY277" s="5"/>
      <c r="BZ277" s="5"/>
      <c r="CA277" s="5"/>
      <c r="CI277" s="726">
        <v>45473</v>
      </c>
      <c r="CJ277" t="s">
        <v>1123</v>
      </c>
      <c r="CK277" t="s">
        <v>1124</v>
      </c>
      <c r="CL277" s="5">
        <v>15045915</v>
      </c>
      <c r="CM277" s="730">
        <v>53</v>
      </c>
      <c r="CN277" s="5">
        <v>15045915</v>
      </c>
    </row>
    <row r="278" spans="65:92" x14ac:dyDescent="0.25">
      <c r="BM278" s="5"/>
      <c r="BQ278" s="216"/>
      <c r="BV278" s="5"/>
      <c r="BW278" s="5"/>
      <c r="BX278" s="5"/>
      <c r="BY278" s="5"/>
      <c r="BZ278" s="5"/>
      <c r="CA278" s="5"/>
      <c r="CI278" s="726">
        <v>45473</v>
      </c>
      <c r="CJ278" t="s">
        <v>1125</v>
      </c>
      <c r="CK278" t="s">
        <v>1126</v>
      </c>
      <c r="CL278" s="5">
        <v>4052466</v>
      </c>
      <c r="CM278" s="730">
        <v>17</v>
      </c>
      <c r="CN278" s="5">
        <v>4052466</v>
      </c>
    </row>
    <row r="279" spans="65:92" x14ac:dyDescent="0.25">
      <c r="BM279" s="5"/>
      <c r="BQ279" s="216"/>
      <c r="BV279" s="5"/>
      <c r="BW279" s="5"/>
      <c r="BX279" s="5"/>
      <c r="BY279" s="5"/>
      <c r="BZ279" s="5"/>
      <c r="CA279" s="5"/>
      <c r="CI279" s="726">
        <v>45473</v>
      </c>
      <c r="CJ279" t="s">
        <v>1127</v>
      </c>
      <c r="CK279" t="s">
        <v>1128</v>
      </c>
      <c r="CL279" s="5">
        <v>63083263</v>
      </c>
      <c r="CM279" s="730">
        <v>153</v>
      </c>
      <c r="CN279" s="5">
        <v>63083263</v>
      </c>
    </row>
    <row r="280" spans="65:92" x14ac:dyDescent="0.25">
      <c r="BM280" s="5"/>
      <c r="BQ280" s="216"/>
      <c r="BV280" s="5"/>
      <c r="BW280" s="5"/>
      <c r="BX280" s="5"/>
      <c r="BY280" s="5"/>
      <c r="BZ280" s="5"/>
      <c r="CA280" s="5"/>
      <c r="CI280" s="726">
        <v>45473</v>
      </c>
      <c r="CJ280" t="s">
        <v>1129</v>
      </c>
      <c r="CK280" t="s">
        <v>1130</v>
      </c>
      <c r="CL280" s="5">
        <v>20023802</v>
      </c>
      <c r="CM280" s="730">
        <v>48</v>
      </c>
      <c r="CN280" s="5">
        <v>20023802</v>
      </c>
    </row>
    <row r="281" spans="65:92" x14ac:dyDescent="0.25">
      <c r="BM281" s="5"/>
      <c r="BQ281" s="216"/>
      <c r="BV281" s="5"/>
      <c r="BW281" s="5"/>
      <c r="BX281" s="5"/>
      <c r="BY281" s="5"/>
      <c r="BZ281" s="5"/>
      <c r="CA281" s="5"/>
      <c r="CI281" s="726">
        <v>45473</v>
      </c>
      <c r="CJ281" t="s">
        <v>1131</v>
      </c>
      <c r="CK281" t="s">
        <v>1132</v>
      </c>
      <c r="CL281" s="5">
        <v>18690902</v>
      </c>
      <c r="CM281" s="730">
        <v>44</v>
      </c>
      <c r="CN281" s="5">
        <v>18690902</v>
      </c>
    </row>
    <row r="282" spans="65:92" x14ac:dyDescent="0.25">
      <c r="BM282" s="5"/>
      <c r="BQ282" s="216"/>
      <c r="BV282" s="5"/>
      <c r="BW282" s="5"/>
      <c r="BX282" s="5"/>
      <c r="BY282" s="5"/>
      <c r="BZ282" s="5"/>
      <c r="CA282" s="5"/>
      <c r="CI282" s="726">
        <v>45473</v>
      </c>
      <c r="CJ282" t="s">
        <v>1133</v>
      </c>
      <c r="CK282" t="s">
        <v>1134</v>
      </c>
      <c r="CL282" s="5">
        <v>3045286</v>
      </c>
      <c r="CM282" s="730">
        <v>13</v>
      </c>
      <c r="CN282" s="5">
        <v>3045286</v>
      </c>
    </row>
    <row r="283" spans="65:92" x14ac:dyDescent="0.25">
      <c r="BM283" s="5"/>
      <c r="BQ283" s="216"/>
      <c r="BV283" s="5"/>
      <c r="BW283" s="5"/>
      <c r="BX283" s="5"/>
      <c r="BY283" s="5"/>
      <c r="BZ283" s="5"/>
      <c r="CA283" s="5"/>
      <c r="CI283" s="726">
        <v>45473</v>
      </c>
      <c r="CJ283" t="s">
        <v>1135</v>
      </c>
      <c r="CK283" t="s">
        <v>1136</v>
      </c>
      <c r="CL283" s="5">
        <v>0</v>
      </c>
      <c r="CM283" s="730">
        <v>0</v>
      </c>
      <c r="CN283" s="5">
        <v>0</v>
      </c>
    </row>
    <row r="284" spans="65:92" x14ac:dyDescent="0.25">
      <c r="BM284" s="5"/>
      <c r="BQ284" s="216"/>
      <c r="BV284" s="5"/>
      <c r="BW284" s="5"/>
      <c r="BX284" s="5"/>
      <c r="BY284" s="5"/>
      <c r="BZ284" s="5"/>
      <c r="CA284" s="5"/>
      <c r="CI284" s="726">
        <v>45473</v>
      </c>
      <c r="CJ284" t="s">
        <v>1137</v>
      </c>
      <c r="CK284" t="s">
        <v>1138</v>
      </c>
      <c r="CL284" s="5">
        <v>131462847.56</v>
      </c>
      <c r="CM284" s="730">
        <v>283</v>
      </c>
      <c r="CN284" s="5">
        <v>131462847.56</v>
      </c>
    </row>
    <row r="285" spans="65:92" x14ac:dyDescent="0.25">
      <c r="BM285" s="5"/>
      <c r="BQ285" s="216"/>
      <c r="BV285" s="5"/>
      <c r="BW285" s="5"/>
      <c r="BX285" s="5"/>
      <c r="BY285" s="5"/>
      <c r="BZ285" s="5"/>
      <c r="CA285" s="5"/>
      <c r="CI285" s="726">
        <v>45473</v>
      </c>
      <c r="CJ285" t="s">
        <v>1139</v>
      </c>
      <c r="CK285" t="s">
        <v>1140</v>
      </c>
      <c r="CL285" s="5">
        <v>45687981.670000002</v>
      </c>
      <c r="CM285" s="730">
        <v>119</v>
      </c>
      <c r="CN285" s="5">
        <v>45687981.670000002</v>
      </c>
    </row>
    <row r="286" spans="65:92" x14ac:dyDescent="0.25">
      <c r="BM286" s="5"/>
      <c r="BQ286" s="216"/>
      <c r="BV286" s="5"/>
      <c r="BW286" s="5"/>
      <c r="BX286" s="5"/>
      <c r="BY286" s="5"/>
      <c r="BZ286" s="5"/>
      <c r="CA286" s="5"/>
      <c r="CI286" s="726">
        <v>45473</v>
      </c>
      <c r="CJ286" t="s">
        <v>1141</v>
      </c>
      <c r="CK286" t="s">
        <v>1142</v>
      </c>
      <c r="CL286" s="5">
        <v>40066042.43</v>
      </c>
      <c r="CM286" s="730">
        <v>95</v>
      </c>
      <c r="CN286" s="5">
        <v>40066042.43</v>
      </c>
    </row>
    <row r="287" spans="65:92" x14ac:dyDescent="0.25">
      <c r="BM287" s="5"/>
      <c r="BQ287" s="216"/>
      <c r="BV287" s="5"/>
      <c r="BW287" s="5"/>
      <c r="BX287" s="5"/>
      <c r="BY287" s="5"/>
      <c r="BZ287" s="5"/>
      <c r="CA287" s="5"/>
      <c r="CI287" s="726">
        <v>45473</v>
      </c>
      <c r="CJ287" t="s">
        <v>1143</v>
      </c>
      <c r="CK287" t="s">
        <v>1144</v>
      </c>
      <c r="CL287" s="5">
        <v>6332628</v>
      </c>
      <c r="CM287" s="730">
        <v>16</v>
      </c>
      <c r="CN287" s="5">
        <v>6332628</v>
      </c>
    </row>
    <row r="288" spans="65:92" x14ac:dyDescent="0.25">
      <c r="BM288" s="5"/>
      <c r="BQ288" s="216"/>
      <c r="BV288" s="5"/>
      <c r="BW288" s="5"/>
      <c r="BX288" s="5"/>
      <c r="BY288" s="5"/>
      <c r="BZ288" s="5"/>
      <c r="CA288" s="5"/>
      <c r="CI288" s="726">
        <v>45473</v>
      </c>
      <c r="CJ288" t="s">
        <v>1145</v>
      </c>
      <c r="CK288" t="s">
        <v>1146</v>
      </c>
      <c r="CL288" s="5">
        <v>3709000</v>
      </c>
      <c r="CM288" s="730">
        <v>7</v>
      </c>
      <c r="CN288" s="5">
        <v>3709000</v>
      </c>
    </row>
    <row r="289" spans="65:92" x14ac:dyDescent="0.25">
      <c r="BM289" s="5"/>
      <c r="BQ289" s="216"/>
      <c r="BV289" s="5"/>
      <c r="BW289" s="5"/>
      <c r="BX289" s="5"/>
      <c r="BY289" s="5"/>
      <c r="BZ289" s="5"/>
      <c r="CA289" s="5"/>
      <c r="CI289" s="726">
        <v>45473</v>
      </c>
      <c r="CJ289" t="s">
        <v>1147</v>
      </c>
      <c r="CK289" t="s">
        <v>1148</v>
      </c>
      <c r="CL289" s="5">
        <v>3130000</v>
      </c>
      <c r="CM289" s="730">
        <v>9</v>
      </c>
      <c r="CN289" s="5">
        <v>3130000</v>
      </c>
    </row>
    <row r="290" spans="65:92" x14ac:dyDescent="0.25">
      <c r="BM290" s="5"/>
      <c r="BQ290" s="216"/>
      <c r="BV290" s="5"/>
      <c r="BW290" s="5"/>
      <c r="BX290" s="5"/>
      <c r="BY290" s="5"/>
      <c r="BZ290" s="5"/>
      <c r="CA290" s="5"/>
      <c r="CI290" s="726">
        <v>45473</v>
      </c>
      <c r="CJ290" t="s">
        <v>500</v>
      </c>
      <c r="CK290" t="s">
        <v>1149</v>
      </c>
      <c r="CL290" s="5">
        <v>0</v>
      </c>
      <c r="CM290" s="730">
        <v>0</v>
      </c>
      <c r="CN290" s="5">
        <v>0</v>
      </c>
    </row>
    <row r="291" spans="65:92" x14ac:dyDescent="0.25">
      <c r="BM291" s="5"/>
      <c r="BQ291" s="216"/>
      <c r="BV291" s="5"/>
      <c r="BW291" s="5"/>
      <c r="BX291" s="5"/>
      <c r="BY291" s="5"/>
      <c r="BZ291" s="5"/>
      <c r="CA291" s="5"/>
      <c r="CI291" s="726">
        <v>45473</v>
      </c>
      <c r="CJ291" t="s">
        <v>501</v>
      </c>
      <c r="CK291" t="s">
        <v>1150</v>
      </c>
      <c r="CL291" s="5">
        <v>0</v>
      </c>
      <c r="CM291" s="730">
        <v>0</v>
      </c>
      <c r="CN291" s="5">
        <v>0</v>
      </c>
    </row>
    <row r="292" spans="65:92" x14ac:dyDescent="0.25">
      <c r="BM292" s="5"/>
      <c r="BQ292" s="216"/>
      <c r="BV292" s="5"/>
      <c r="BW292" s="5"/>
      <c r="BX292" s="5"/>
      <c r="BY292" s="5"/>
      <c r="BZ292" s="5"/>
      <c r="CA292" s="5"/>
      <c r="CI292" s="726">
        <v>45473</v>
      </c>
      <c r="CJ292" t="s">
        <v>502</v>
      </c>
      <c r="CK292" t="s">
        <v>1151</v>
      </c>
      <c r="CL292" s="5">
        <v>0</v>
      </c>
      <c r="CM292" s="730">
        <v>0</v>
      </c>
      <c r="CN292" s="5">
        <v>0</v>
      </c>
    </row>
    <row r="293" spans="65:92" x14ac:dyDescent="0.25">
      <c r="BM293" s="5"/>
      <c r="BQ293" s="216"/>
      <c r="BV293" s="5"/>
      <c r="BW293" s="5"/>
      <c r="BX293" s="5"/>
      <c r="BY293" s="5"/>
      <c r="BZ293" s="5"/>
      <c r="CA293" s="5"/>
      <c r="CI293" s="726">
        <v>45473</v>
      </c>
      <c r="CJ293" t="s">
        <v>1152</v>
      </c>
      <c r="CK293" t="s">
        <v>1153</v>
      </c>
      <c r="CL293" s="5">
        <v>0</v>
      </c>
      <c r="CM293" s="730">
        <v>0</v>
      </c>
      <c r="CN293" s="5">
        <v>0</v>
      </c>
    </row>
    <row r="294" spans="65:92" x14ac:dyDescent="0.25">
      <c r="BM294" s="5"/>
      <c r="BQ294" s="216"/>
      <c r="BV294" s="5"/>
      <c r="BW294" s="5"/>
      <c r="BX294" s="5"/>
      <c r="BY294" s="5"/>
      <c r="BZ294" s="5"/>
      <c r="CA294" s="5"/>
      <c r="CI294" s="726">
        <v>45473</v>
      </c>
      <c r="CJ294" t="s">
        <v>1154</v>
      </c>
      <c r="CK294" t="s">
        <v>1155</v>
      </c>
      <c r="CL294" s="5">
        <v>0</v>
      </c>
      <c r="CM294" s="730">
        <v>0</v>
      </c>
      <c r="CN294" s="5">
        <v>0</v>
      </c>
    </row>
    <row r="295" spans="65:92" x14ac:dyDescent="0.25">
      <c r="BM295" s="5"/>
      <c r="BQ295" s="216"/>
      <c r="BV295" s="5"/>
      <c r="BW295" s="5"/>
      <c r="BX295" s="5"/>
      <c r="BY295" s="5"/>
      <c r="BZ295" s="5"/>
      <c r="CA295" s="5"/>
      <c r="CI295" s="726">
        <v>45473</v>
      </c>
      <c r="CJ295" t="s">
        <v>1156</v>
      </c>
      <c r="CK295" t="s">
        <v>1157</v>
      </c>
      <c r="CL295" s="5">
        <v>16984289</v>
      </c>
      <c r="CM295" s="730">
        <v>51</v>
      </c>
      <c r="CN295" s="5">
        <v>16984289</v>
      </c>
    </row>
    <row r="296" spans="65:92" x14ac:dyDescent="0.25">
      <c r="BM296" s="5"/>
      <c r="BQ296" s="216"/>
      <c r="BV296" s="5"/>
      <c r="BW296" s="5"/>
      <c r="BX296" s="5"/>
      <c r="BY296" s="5"/>
      <c r="BZ296" s="5"/>
      <c r="CA296" s="5"/>
      <c r="CI296" s="726">
        <v>45473</v>
      </c>
      <c r="CJ296" t="s">
        <v>504</v>
      </c>
      <c r="CK296" t="s">
        <v>962</v>
      </c>
      <c r="CL296" s="5">
        <v>127192400.77</v>
      </c>
      <c r="CM296" s="730">
        <v>172</v>
      </c>
      <c r="CN296" s="5">
        <v>127192400.77</v>
      </c>
    </row>
    <row r="297" spans="65:92" x14ac:dyDescent="0.25">
      <c r="BM297" s="5"/>
      <c r="BQ297" s="216"/>
      <c r="BV297" s="5"/>
      <c r="BW297" s="5"/>
      <c r="BX297" s="5"/>
      <c r="BY297" s="5"/>
      <c r="BZ297" s="5"/>
      <c r="CA297" s="5"/>
      <c r="CI297" s="726">
        <v>45473</v>
      </c>
      <c r="CJ297" t="s">
        <v>506</v>
      </c>
      <c r="CK297" t="s">
        <v>963</v>
      </c>
      <c r="CL297" s="5">
        <v>7493256.0600000005</v>
      </c>
      <c r="CM297" s="730">
        <v>30</v>
      </c>
      <c r="CN297" s="5">
        <v>7493256.0600000005</v>
      </c>
    </row>
    <row r="298" spans="65:92" x14ac:dyDescent="0.25">
      <c r="BM298" s="5"/>
      <c r="BQ298" s="216"/>
      <c r="BV298" s="5"/>
      <c r="BW298" s="5"/>
      <c r="BX298" s="5"/>
      <c r="BY298" s="5"/>
      <c r="BZ298" s="5"/>
      <c r="CA298" s="5"/>
      <c r="CI298" s="726">
        <v>45473</v>
      </c>
      <c r="CJ298" t="s">
        <v>508</v>
      </c>
      <c r="CK298" t="s">
        <v>964</v>
      </c>
      <c r="CL298" s="5">
        <v>25332640.760000002</v>
      </c>
      <c r="CM298" s="730">
        <v>43</v>
      </c>
      <c r="CN298" s="5">
        <v>25332640.760000002</v>
      </c>
    </row>
    <row r="299" spans="65:92" x14ac:dyDescent="0.25">
      <c r="BM299" s="5"/>
      <c r="BQ299" s="216"/>
      <c r="BV299" s="5"/>
      <c r="BW299" s="5"/>
      <c r="BX299" s="5"/>
      <c r="BY299" s="5"/>
      <c r="BZ299" s="5"/>
      <c r="CA299" s="5"/>
      <c r="CI299" s="726">
        <v>45473</v>
      </c>
      <c r="CJ299" t="s">
        <v>510</v>
      </c>
      <c r="CK299" t="s">
        <v>965</v>
      </c>
      <c r="CL299" s="5">
        <v>6806823</v>
      </c>
      <c r="CM299" s="730">
        <v>20</v>
      </c>
      <c r="CN299" s="5">
        <v>6806823</v>
      </c>
    </row>
    <row r="300" spans="65:92" x14ac:dyDescent="0.25">
      <c r="BM300" s="5"/>
      <c r="BQ300" s="216"/>
      <c r="BV300" s="5"/>
      <c r="BW300" s="5"/>
      <c r="BX300" s="5"/>
      <c r="BY300" s="5"/>
      <c r="BZ300" s="5"/>
      <c r="CA300" s="5"/>
      <c r="CI300" s="726">
        <v>45473</v>
      </c>
      <c r="CJ300" t="s">
        <v>512</v>
      </c>
      <c r="CK300" t="s">
        <v>966</v>
      </c>
      <c r="CL300" s="5">
        <v>35075140.789999999</v>
      </c>
      <c r="CM300" s="730">
        <v>72</v>
      </c>
      <c r="CN300" s="5">
        <v>35075140.789999999</v>
      </c>
    </row>
    <row r="301" spans="65:92" x14ac:dyDescent="0.25">
      <c r="BM301" s="5"/>
      <c r="BQ301" s="216"/>
      <c r="BV301" s="5"/>
      <c r="BW301" s="5"/>
      <c r="BX301" s="5"/>
      <c r="BY301" s="5"/>
      <c r="BZ301" s="5"/>
      <c r="CA301" s="5"/>
      <c r="CI301" s="726">
        <v>45473</v>
      </c>
      <c r="CJ301" t="s">
        <v>514</v>
      </c>
      <c r="CK301" t="s">
        <v>968</v>
      </c>
      <c r="CL301" s="5">
        <v>20648174.059999999</v>
      </c>
      <c r="CM301" s="730">
        <v>88</v>
      </c>
      <c r="CN301" s="5">
        <v>20648174.059999999</v>
      </c>
    </row>
    <row r="302" spans="65:92" x14ac:dyDescent="0.25">
      <c r="BM302" s="5"/>
      <c r="BQ302" s="216"/>
      <c r="BV302" s="5"/>
      <c r="BW302" s="5"/>
      <c r="BX302" s="5"/>
      <c r="BY302" s="5"/>
      <c r="BZ302" s="5"/>
      <c r="CA302" s="5"/>
      <c r="CI302" s="726">
        <v>45473</v>
      </c>
      <c r="CJ302" t="s">
        <v>516</v>
      </c>
      <c r="CK302" t="s">
        <v>970</v>
      </c>
      <c r="CL302" s="5">
        <v>21394420</v>
      </c>
      <c r="CM302" s="730">
        <v>50</v>
      </c>
      <c r="CN302" s="5">
        <v>21394420</v>
      </c>
    </row>
    <row r="303" spans="65:92" x14ac:dyDescent="0.25">
      <c r="BM303" s="5"/>
      <c r="BQ303" s="216"/>
      <c r="BV303" s="5"/>
      <c r="BW303" s="5"/>
      <c r="BX303" s="5"/>
      <c r="BY303" s="5"/>
      <c r="BZ303" s="5"/>
      <c r="CA303" s="5"/>
      <c r="CI303" s="726">
        <v>45473</v>
      </c>
      <c r="CJ303" t="s">
        <v>518</v>
      </c>
      <c r="CK303" t="s">
        <v>972</v>
      </c>
      <c r="CL303" s="5">
        <v>10726310.109999999</v>
      </c>
      <c r="CM303" s="730">
        <v>46</v>
      </c>
      <c r="CN303" s="5">
        <v>10726310.109999999</v>
      </c>
    </row>
    <row r="304" spans="65:92" x14ac:dyDescent="0.25">
      <c r="BM304" s="5"/>
      <c r="BQ304" s="216"/>
      <c r="BV304" s="5"/>
      <c r="BW304" s="5"/>
      <c r="BX304" s="5"/>
      <c r="BY304" s="5"/>
      <c r="BZ304" s="5"/>
      <c r="CA304" s="5"/>
      <c r="CI304" s="726">
        <v>45473</v>
      </c>
      <c r="CJ304" t="s">
        <v>520</v>
      </c>
      <c r="CK304" t="s">
        <v>974</v>
      </c>
      <c r="CL304" s="5">
        <v>0</v>
      </c>
      <c r="CM304" s="730">
        <v>0</v>
      </c>
      <c r="CN304" s="5">
        <v>0</v>
      </c>
    </row>
    <row r="305" spans="65:92" x14ac:dyDescent="0.25">
      <c r="BM305" s="5"/>
      <c r="BQ305" s="216"/>
      <c r="BV305" s="5"/>
      <c r="BW305" s="5"/>
      <c r="BX305" s="5"/>
      <c r="BY305" s="5"/>
      <c r="BZ305" s="5"/>
      <c r="CA305" s="5"/>
      <c r="CI305" s="726">
        <v>45473</v>
      </c>
      <c r="CJ305" t="s">
        <v>1158</v>
      </c>
      <c r="CK305" t="s">
        <v>976</v>
      </c>
      <c r="CL305" s="5">
        <v>1027000</v>
      </c>
      <c r="CM305" s="730">
        <v>4</v>
      </c>
      <c r="CN305" s="5">
        <v>1027000</v>
      </c>
    </row>
    <row r="306" spans="65:92" x14ac:dyDescent="0.25">
      <c r="BM306" s="5"/>
      <c r="BQ306" s="216"/>
      <c r="BV306" s="5"/>
      <c r="BW306" s="5"/>
      <c r="BX306" s="5"/>
      <c r="BY306" s="5"/>
      <c r="BZ306" s="5"/>
      <c r="CA306" s="5"/>
      <c r="CI306" s="726">
        <v>45473</v>
      </c>
      <c r="CJ306" t="s">
        <v>1159</v>
      </c>
      <c r="CK306" t="s">
        <v>978</v>
      </c>
      <c r="CL306" s="5">
        <v>0</v>
      </c>
      <c r="CM306" s="730">
        <v>0</v>
      </c>
      <c r="CN306" s="5">
        <v>0</v>
      </c>
    </row>
    <row r="307" spans="65:92" x14ac:dyDescent="0.25">
      <c r="BM307" s="5"/>
      <c r="BQ307" s="216"/>
      <c r="BV307" s="5"/>
      <c r="BW307" s="5"/>
      <c r="BX307" s="5"/>
      <c r="BY307" s="5"/>
      <c r="BZ307" s="5"/>
      <c r="CA307" s="5"/>
      <c r="CI307" s="726">
        <v>45473</v>
      </c>
      <c r="CJ307" t="s">
        <v>1160</v>
      </c>
      <c r="CK307" t="s">
        <v>980</v>
      </c>
      <c r="CL307" s="5">
        <v>594860</v>
      </c>
      <c r="CM307" s="730">
        <v>4</v>
      </c>
      <c r="CN307" s="5">
        <v>594860</v>
      </c>
    </row>
    <row r="308" spans="65:92" x14ac:dyDescent="0.25">
      <c r="BM308" s="5"/>
      <c r="BQ308" s="216"/>
      <c r="BV308" s="5"/>
      <c r="BW308" s="5"/>
      <c r="BX308" s="5"/>
      <c r="BY308" s="5"/>
      <c r="BZ308" s="5"/>
      <c r="CA308" s="5"/>
      <c r="CI308" s="726">
        <v>45473</v>
      </c>
      <c r="CJ308" t="s">
        <v>1161</v>
      </c>
      <c r="CK308" t="s">
        <v>982</v>
      </c>
      <c r="CL308" s="5">
        <v>111000</v>
      </c>
      <c r="CM308" s="730">
        <v>1</v>
      </c>
      <c r="CN308" s="5">
        <v>111000</v>
      </c>
    </row>
    <row r="309" spans="65:92" x14ac:dyDescent="0.25">
      <c r="BM309" s="5"/>
      <c r="BQ309" s="216"/>
      <c r="BV309" s="5"/>
      <c r="BW309" s="5"/>
      <c r="BX309" s="5"/>
      <c r="BY309" s="5"/>
      <c r="BZ309" s="5"/>
      <c r="CA309" s="5"/>
      <c r="CI309" s="726">
        <v>45473</v>
      </c>
      <c r="CJ309" t="s">
        <v>1162</v>
      </c>
      <c r="CK309" t="s">
        <v>984</v>
      </c>
      <c r="CL309" s="5">
        <v>1096200</v>
      </c>
      <c r="CM309" s="730">
        <v>4</v>
      </c>
      <c r="CN309" s="5">
        <v>1096200</v>
      </c>
    </row>
    <row r="310" spans="65:92" x14ac:dyDescent="0.25">
      <c r="BM310" s="5"/>
      <c r="BQ310" s="216"/>
      <c r="BV310" s="5"/>
      <c r="BW310" s="5"/>
      <c r="BX310" s="5"/>
      <c r="BY310" s="5"/>
      <c r="BZ310" s="5"/>
      <c r="CA310" s="5"/>
      <c r="CI310" s="726">
        <v>45473</v>
      </c>
      <c r="CJ310" t="s">
        <v>1163</v>
      </c>
      <c r="CK310" t="s">
        <v>986</v>
      </c>
      <c r="CL310" s="5">
        <v>0</v>
      </c>
      <c r="CM310" s="730">
        <v>0</v>
      </c>
      <c r="CN310" s="5">
        <v>0</v>
      </c>
    </row>
    <row r="311" spans="65:92" x14ac:dyDescent="0.25">
      <c r="BM311" s="5"/>
      <c r="BQ311" s="216"/>
      <c r="BV311" s="5"/>
      <c r="BW311" s="5"/>
      <c r="BX311" s="5"/>
      <c r="BY311" s="5"/>
      <c r="BZ311" s="5"/>
      <c r="CA311" s="5"/>
      <c r="CI311" s="726">
        <v>45473</v>
      </c>
      <c r="CJ311" t="s">
        <v>1164</v>
      </c>
      <c r="CK311" t="s">
        <v>988</v>
      </c>
      <c r="CL311" s="5">
        <v>0</v>
      </c>
      <c r="CM311" s="730">
        <v>0</v>
      </c>
      <c r="CN311" s="5">
        <v>0</v>
      </c>
    </row>
    <row r="312" spans="65:92" x14ac:dyDescent="0.25">
      <c r="BM312" s="5"/>
      <c r="BQ312" s="216"/>
      <c r="BV312" s="5"/>
      <c r="BW312" s="5"/>
      <c r="BX312" s="5"/>
      <c r="BY312" s="5"/>
      <c r="BZ312" s="5"/>
      <c r="CA312" s="5"/>
      <c r="CI312" s="726">
        <v>45473</v>
      </c>
      <c r="CJ312" t="s">
        <v>1165</v>
      </c>
      <c r="CK312" t="s">
        <v>990</v>
      </c>
      <c r="CL312" s="5">
        <v>0</v>
      </c>
      <c r="CM312" s="730">
        <v>0</v>
      </c>
      <c r="CN312" s="5">
        <v>0</v>
      </c>
    </row>
    <row r="313" spans="65:92" x14ac:dyDescent="0.25">
      <c r="BM313" s="5"/>
      <c r="BQ313" s="216"/>
      <c r="BV313" s="5"/>
      <c r="BW313" s="5"/>
      <c r="BX313" s="5"/>
      <c r="BY313" s="5"/>
      <c r="BZ313" s="5"/>
      <c r="CA313" s="5"/>
      <c r="CI313" s="726">
        <v>45473</v>
      </c>
      <c r="CJ313" t="s">
        <v>1166</v>
      </c>
      <c r="CK313" t="s">
        <v>992</v>
      </c>
      <c r="CL313" s="5">
        <v>0</v>
      </c>
      <c r="CM313" s="730">
        <v>0</v>
      </c>
      <c r="CN313" s="5">
        <v>0</v>
      </c>
    </row>
    <row r="314" spans="65:92" x14ac:dyDescent="0.25">
      <c r="BM314" s="5"/>
      <c r="BQ314" s="216"/>
      <c r="BV314" s="5"/>
      <c r="BW314" s="5"/>
      <c r="BX314" s="5"/>
      <c r="BY314" s="5"/>
      <c r="BZ314" s="5"/>
      <c r="CA314" s="5"/>
      <c r="CI314" s="726">
        <v>45473</v>
      </c>
      <c r="CJ314" t="s">
        <v>1167</v>
      </c>
      <c r="CK314" t="s">
        <v>994</v>
      </c>
      <c r="CL314" s="5">
        <v>750000</v>
      </c>
      <c r="CM314" s="730">
        <v>1</v>
      </c>
      <c r="CN314" s="5">
        <v>750000</v>
      </c>
    </row>
    <row r="315" spans="65:92" x14ac:dyDescent="0.25">
      <c r="BM315" s="5"/>
      <c r="BQ315" s="216"/>
      <c r="BV315" s="5"/>
      <c r="BW315" s="5"/>
      <c r="BX315" s="5"/>
      <c r="BY315" s="5"/>
      <c r="BZ315" s="5"/>
      <c r="CA315" s="5"/>
      <c r="CI315" s="726">
        <v>45473</v>
      </c>
      <c r="CJ315" t="s">
        <v>1168</v>
      </c>
      <c r="CK315" t="s">
        <v>996</v>
      </c>
      <c r="CL315" s="5">
        <v>0</v>
      </c>
      <c r="CM315" s="730">
        <v>0</v>
      </c>
      <c r="CN315" s="5">
        <v>0</v>
      </c>
    </row>
    <row r="316" spans="65:92" x14ac:dyDescent="0.25">
      <c r="BM316" s="5"/>
      <c r="BQ316" s="216"/>
      <c r="BV316" s="5"/>
      <c r="BW316" s="5"/>
      <c r="BX316" s="5"/>
      <c r="BY316" s="5"/>
      <c r="BZ316" s="5"/>
      <c r="CA316" s="5"/>
      <c r="CI316" s="726">
        <v>45473</v>
      </c>
      <c r="CJ316" t="s">
        <v>1169</v>
      </c>
      <c r="CK316" t="s">
        <v>998</v>
      </c>
      <c r="CL316" s="5">
        <v>0</v>
      </c>
      <c r="CM316" s="730">
        <v>0</v>
      </c>
      <c r="CN316" s="5">
        <v>0</v>
      </c>
    </row>
    <row r="317" spans="65:92" x14ac:dyDescent="0.25">
      <c r="BM317" s="5"/>
      <c r="BQ317" s="216"/>
      <c r="BV317" s="5"/>
      <c r="BW317" s="5"/>
      <c r="BX317" s="5"/>
      <c r="BY317" s="5"/>
      <c r="BZ317" s="5"/>
      <c r="CA317" s="5"/>
      <c r="CI317" s="726">
        <v>45473</v>
      </c>
      <c r="CJ317" t="s">
        <v>1170</v>
      </c>
      <c r="CK317" t="s">
        <v>1000</v>
      </c>
      <c r="CL317" s="5">
        <v>0</v>
      </c>
      <c r="CM317" s="730">
        <v>0</v>
      </c>
      <c r="CN317" s="5">
        <v>0</v>
      </c>
    </row>
    <row r="318" spans="65:92" x14ac:dyDescent="0.25">
      <c r="BM318" s="5"/>
      <c r="BQ318" s="216"/>
      <c r="BV318" s="5"/>
      <c r="BW318" s="5"/>
      <c r="BX318" s="5"/>
      <c r="BY318" s="5"/>
      <c r="BZ318" s="5"/>
      <c r="CA318" s="5"/>
      <c r="CI318" s="726">
        <v>45473</v>
      </c>
      <c r="CJ318" t="s">
        <v>1171</v>
      </c>
      <c r="CK318" t="s">
        <v>1002</v>
      </c>
      <c r="CL318" s="5">
        <v>4395670</v>
      </c>
      <c r="CM318" s="730">
        <v>9</v>
      </c>
      <c r="CN318" s="5">
        <v>4395670</v>
      </c>
    </row>
    <row r="319" spans="65:92" x14ac:dyDescent="0.25">
      <c r="BM319" s="5"/>
      <c r="BQ319" s="216"/>
      <c r="BV319" s="5"/>
      <c r="BW319" s="5"/>
      <c r="BX319" s="5"/>
      <c r="BY319" s="5"/>
      <c r="BZ319" s="5"/>
      <c r="CA319" s="5"/>
      <c r="CI319" s="726">
        <v>45473</v>
      </c>
      <c r="CJ319" t="s">
        <v>1172</v>
      </c>
      <c r="CK319" t="s">
        <v>1004</v>
      </c>
      <c r="CL319" s="5">
        <v>0</v>
      </c>
      <c r="CM319" s="730">
        <v>0</v>
      </c>
      <c r="CN319" s="5">
        <v>0</v>
      </c>
    </row>
    <row r="320" spans="65:92" x14ac:dyDescent="0.25">
      <c r="BM320" s="5"/>
      <c r="BQ320" s="216"/>
      <c r="BV320" s="5"/>
      <c r="BW320" s="5"/>
      <c r="BX320" s="5"/>
      <c r="BY320" s="5"/>
      <c r="BZ320" s="5"/>
      <c r="CA320" s="5"/>
      <c r="CI320" s="726">
        <v>45473</v>
      </c>
      <c r="CJ320" t="s">
        <v>1173</v>
      </c>
      <c r="CK320" t="s">
        <v>1006</v>
      </c>
      <c r="CL320" s="5">
        <v>0</v>
      </c>
      <c r="CM320" s="730">
        <v>0</v>
      </c>
      <c r="CN320" s="5">
        <v>0</v>
      </c>
    </row>
    <row r="321" spans="65:92" x14ac:dyDescent="0.25">
      <c r="BM321" s="5"/>
      <c r="BQ321" s="216"/>
      <c r="BV321" s="5"/>
      <c r="BW321" s="5"/>
      <c r="BX321" s="5"/>
      <c r="BY321" s="5"/>
      <c r="BZ321" s="5"/>
      <c r="CA321" s="5"/>
      <c r="CI321" s="726">
        <v>45473</v>
      </c>
      <c r="CJ321" t="s">
        <v>1174</v>
      </c>
      <c r="CK321" t="s">
        <v>1008</v>
      </c>
      <c r="CL321" s="5">
        <v>1247466</v>
      </c>
      <c r="CM321" s="730">
        <v>5</v>
      </c>
      <c r="CN321" s="5">
        <v>1247466</v>
      </c>
    </row>
    <row r="322" spans="65:92" x14ac:dyDescent="0.25">
      <c r="BM322" s="5"/>
      <c r="BQ322" s="216"/>
      <c r="BV322" s="5"/>
      <c r="BW322" s="5"/>
      <c r="BX322" s="5"/>
      <c r="BY322" s="5"/>
      <c r="BZ322" s="5"/>
      <c r="CA322" s="5"/>
      <c r="CI322" s="726">
        <v>45473</v>
      </c>
      <c r="CJ322" t="s">
        <v>1175</v>
      </c>
      <c r="CK322" t="s">
        <v>1010</v>
      </c>
      <c r="CL322" s="5">
        <v>1925790</v>
      </c>
      <c r="CM322" s="730">
        <v>6</v>
      </c>
      <c r="CN322" s="5">
        <v>1925790</v>
      </c>
    </row>
    <row r="323" spans="65:92" x14ac:dyDescent="0.25">
      <c r="BM323" s="5"/>
      <c r="BQ323" s="216"/>
      <c r="BV323" s="5"/>
      <c r="BW323" s="5"/>
      <c r="BX323" s="5"/>
      <c r="BY323" s="5"/>
      <c r="BZ323" s="5"/>
      <c r="CA323" s="5"/>
      <c r="CI323" s="726">
        <v>45473</v>
      </c>
      <c r="CJ323" t="s">
        <v>1176</v>
      </c>
      <c r="CK323" t="s">
        <v>1012</v>
      </c>
      <c r="CL323" s="5">
        <v>2947299</v>
      </c>
      <c r="CM323" s="730">
        <v>11</v>
      </c>
      <c r="CN323" s="5">
        <v>2947299</v>
      </c>
    </row>
    <row r="324" spans="65:92" x14ac:dyDescent="0.25">
      <c r="BM324" s="5"/>
      <c r="BQ324" s="216"/>
      <c r="BV324" s="5"/>
      <c r="BW324" s="5"/>
      <c r="BX324" s="5"/>
      <c r="BY324" s="5"/>
      <c r="BZ324" s="5"/>
      <c r="CA324" s="5"/>
      <c r="CI324" s="726">
        <v>45473</v>
      </c>
      <c r="CJ324" t="s">
        <v>1177</v>
      </c>
      <c r="CK324" t="s">
        <v>1014</v>
      </c>
      <c r="CL324" s="5">
        <v>720176</v>
      </c>
      <c r="CM324" s="730">
        <v>4</v>
      </c>
      <c r="CN324" s="5">
        <v>720176</v>
      </c>
    </row>
    <row r="325" spans="65:92" x14ac:dyDescent="0.25">
      <c r="BM325" s="5"/>
      <c r="BQ325" s="216"/>
      <c r="BV325" s="5"/>
      <c r="BW325" s="5"/>
      <c r="BX325" s="5"/>
      <c r="BY325" s="5"/>
      <c r="BZ325" s="5"/>
      <c r="CA325" s="5"/>
      <c r="CI325" s="726">
        <v>45473</v>
      </c>
      <c r="CJ325" t="s">
        <v>1178</v>
      </c>
      <c r="CK325" t="s">
        <v>1016</v>
      </c>
      <c r="CL325" s="5">
        <v>355000</v>
      </c>
      <c r="CM325" s="730">
        <v>1</v>
      </c>
      <c r="CN325" s="5">
        <v>355000</v>
      </c>
    </row>
    <row r="326" spans="65:92" x14ac:dyDescent="0.25">
      <c r="BM326" s="5"/>
      <c r="BQ326" s="216"/>
      <c r="BV326" s="5"/>
      <c r="BW326" s="5"/>
      <c r="BX326" s="5"/>
      <c r="BY326" s="5"/>
      <c r="BZ326" s="5"/>
      <c r="CA326" s="5"/>
      <c r="CI326" s="726">
        <v>45473</v>
      </c>
      <c r="CJ326" t="s">
        <v>1179</v>
      </c>
      <c r="CK326" t="s">
        <v>1018</v>
      </c>
      <c r="CL326" s="5">
        <v>1754283</v>
      </c>
      <c r="CM326" s="730">
        <v>7</v>
      </c>
      <c r="CN326" s="5">
        <v>1754283</v>
      </c>
    </row>
    <row r="327" spans="65:92" x14ac:dyDescent="0.25">
      <c r="BM327" s="5"/>
      <c r="BQ327" s="216"/>
      <c r="BV327" s="5"/>
      <c r="BW327" s="5"/>
      <c r="BX327" s="5"/>
      <c r="BY327" s="5"/>
      <c r="BZ327" s="5"/>
      <c r="CA327" s="5"/>
      <c r="CI327" s="726">
        <v>45473</v>
      </c>
      <c r="CJ327" t="s">
        <v>1180</v>
      </c>
      <c r="CK327" t="s">
        <v>1020</v>
      </c>
      <c r="CL327" s="5">
        <v>110000</v>
      </c>
      <c r="CM327" s="730">
        <v>1</v>
      </c>
      <c r="CN327" s="5">
        <v>110000</v>
      </c>
    </row>
    <row r="328" spans="65:92" x14ac:dyDescent="0.25">
      <c r="BM328" s="5"/>
      <c r="BQ328" s="216"/>
      <c r="BV328" s="5"/>
      <c r="BW328" s="5"/>
      <c r="BX328" s="5"/>
      <c r="BY328" s="5"/>
      <c r="BZ328" s="5"/>
      <c r="CA328" s="5"/>
      <c r="CI328" s="726">
        <v>45473</v>
      </c>
      <c r="CJ328" t="s">
        <v>1181</v>
      </c>
      <c r="CK328" t="s">
        <v>1022</v>
      </c>
      <c r="CL328" s="5">
        <v>1832085</v>
      </c>
      <c r="CM328" s="730">
        <v>7</v>
      </c>
      <c r="CN328" s="5">
        <v>1832085</v>
      </c>
    </row>
    <row r="329" spans="65:92" x14ac:dyDescent="0.25">
      <c r="BM329" s="5"/>
      <c r="BQ329" s="216"/>
      <c r="BV329" s="5"/>
      <c r="BW329" s="5"/>
      <c r="BX329" s="5"/>
      <c r="BY329" s="5"/>
      <c r="BZ329" s="5"/>
      <c r="CA329" s="5"/>
      <c r="CI329" s="726">
        <v>45473</v>
      </c>
      <c r="CJ329" t="s">
        <v>1182</v>
      </c>
      <c r="CK329" t="s">
        <v>1024</v>
      </c>
      <c r="CL329" s="5">
        <v>0</v>
      </c>
      <c r="CM329" s="730">
        <v>0</v>
      </c>
      <c r="CN329" s="5">
        <v>0</v>
      </c>
    </row>
    <row r="330" spans="65:92" x14ac:dyDescent="0.25">
      <c r="BM330" s="5"/>
      <c r="BQ330" s="216"/>
      <c r="BV330" s="5"/>
      <c r="BW330" s="5"/>
      <c r="BX330" s="5"/>
      <c r="BY330" s="5"/>
      <c r="BZ330" s="5"/>
      <c r="CA330" s="5"/>
      <c r="CI330" s="726">
        <v>45473</v>
      </c>
      <c r="CJ330" t="s">
        <v>1183</v>
      </c>
      <c r="CK330" t="s">
        <v>1026</v>
      </c>
      <c r="CL330" s="5">
        <v>0</v>
      </c>
      <c r="CM330" s="730">
        <v>0</v>
      </c>
      <c r="CN330" s="5">
        <v>0</v>
      </c>
    </row>
    <row r="331" spans="65:92" x14ac:dyDescent="0.25">
      <c r="BM331" s="5"/>
      <c r="BQ331" s="216"/>
      <c r="BV331" s="5"/>
      <c r="BW331" s="5"/>
      <c r="BX331" s="5"/>
      <c r="BY331" s="5"/>
      <c r="BZ331" s="5"/>
      <c r="CA331" s="5"/>
      <c r="CI331" s="726">
        <v>45473</v>
      </c>
      <c r="CJ331" t="s">
        <v>1184</v>
      </c>
      <c r="CK331" t="s">
        <v>1028</v>
      </c>
      <c r="CL331" s="5">
        <v>0</v>
      </c>
      <c r="CM331" s="730">
        <v>0</v>
      </c>
      <c r="CN331" s="5">
        <v>0</v>
      </c>
    </row>
    <row r="332" spans="65:92" x14ac:dyDescent="0.25">
      <c r="BM332" s="5"/>
      <c r="BQ332" s="216"/>
      <c r="BV332" s="5"/>
      <c r="BW332" s="5"/>
      <c r="BX332" s="5"/>
      <c r="BY332" s="5"/>
      <c r="BZ332" s="5"/>
      <c r="CA332" s="5"/>
      <c r="CI332" s="726">
        <v>45473</v>
      </c>
      <c r="CJ332" t="s">
        <v>1185</v>
      </c>
      <c r="CK332" t="s">
        <v>1030</v>
      </c>
      <c r="CL332" s="5">
        <v>0</v>
      </c>
      <c r="CM332" s="730">
        <v>0</v>
      </c>
      <c r="CN332" s="5">
        <v>0</v>
      </c>
    </row>
    <row r="333" spans="65:92" x14ac:dyDescent="0.25">
      <c r="BM333" s="5"/>
      <c r="BQ333" s="216"/>
      <c r="BV333" s="5"/>
      <c r="BW333" s="5"/>
      <c r="BX333" s="5"/>
      <c r="BY333" s="5"/>
      <c r="BZ333" s="5"/>
      <c r="CA333" s="5"/>
      <c r="CI333" s="726">
        <v>45473</v>
      </c>
      <c r="CJ333" t="s">
        <v>1186</v>
      </c>
      <c r="CK333" t="s">
        <v>1032</v>
      </c>
      <c r="CL333" s="5">
        <v>0</v>
      </c>
      <c r="CM333" s="730">
        <v>0</v>
      </c>
      <c r="CN333" s="5">
        <v>0</v>
      </c>
    </row>
    <row r="334" spans="65:92" x14ac:dyDescent="0.25">
      <c r="BM334" s="5"/>
      <c r="BQ334" s="216"/>
      <c r="BV334" s="5"/>
      <c r="BW334" s="5"/>
      <c r="BX334" s="5"/>
      <c r="BY334" s="5"/>
      <c r="BZ334" s="5"/>
      <c r="CA334" s="5"/>
      <c r="CI334" s="726">
        <v>45473</v>
      </c>
      <c r="CJ334" t="s">
        <v>1187</v>
      </c>
      <c r="CK334" t="s">
        <v>1034</v>
      </c>
      <c r="CL334" s="5">
        <v>0</v>
      </c>
      <c r="CM334" s="730">
        <v>0</v>
      </c>
      <c r="CN334" s="5">
        <v>0</v>
      </c>
    </row>
    <row r="335" spans="65:92" x14ac:dyDescent="0.25">
      <c r="BM335" s="5"/>
      <c r="BQ335" s="216"/>
      <c r="BV335" s="5"/>
      <c r="BW335" s="5"/>
      <c r="BX335" s="5"/>
      <c r="BY335" s="5"/>
      <c r="BZ335" s="5"/>
      <c r="CA335" s="5"/>
      <c r="CI335" s="726">
        <v>45473</v>
      </c>
      <c r="CJ335" t="s">
        <v>1188</v>
      </c>
      <c r="CK335" t="s">
        <v>1036</v>
      </c>
      <c r="CL335" s="5">
        <v>0</v>
      </c>
      <c r="CM335" s="730">
        <v>0</v>
      </c>
      <c r="CN335" s="5">
        <v>0</v>
      </c>
    </row>
    <row r="336" spans="65:92" x14ac:dyDescent="0.25">
      <c r="BM336" s="5"/>
      <c r="BQ336" s="216"/>
      <c r="BV336" s="5"/>
      <c r="BW336" s="5"/>
      <c r="BX336" s="5"/>
      <c r="BY336" s="5"/>
      <c r="BZ336" s="5"/>
      <c r="CA336" s="5"/>
      <c r="CI336" s="726">
        <v>45473</v>
      </c>
      <c r="CJ336" t="s">
        <v>1189</v>
      </c>
      <c r="CK336" t="s">
        <v>1038</v>
      </c>
      <c r="CL336" s="5">
        <v>1443352</v>
      </c>
      <c r="CM336" s="730">
        <v>3</v>
      </c>
      <c r="CN336" s="5">
        <v>1443352</v>
      </c>
    </row>
    <row r="337" spans="65:92" x14ac:dyDescent="0.25">
      <c r="BM337" s="5"/>
      <c r="BQ337" s="216"/>
      <c r="BV337" s="5"/>
      <c r="BW337" s="5"/>
      <c r="BX337" s="5"/>
      <c r="BY337" s="5"/>
      <c r="BZ337" s="5"/>
      <c r="CA337" s="5"/>
      <c r="CI337" s="726">
        <v>45473</v>
      </c>
      <c r="CJ337" t="s">
        <v>1190</v>
      </c>
      <c r="CK337" t="s">
        <v>1040</v>
      </c>
      <c r="CL337" s="5">
        <v>0</v>
      </c>
      <c r="CM337" s="730">
        <v>0</v>
      </c>
      <c r="CN337" s="5">
        <v>0</v>
      </c>
    </row>
    <row r="338" spans="65:92" x14ac:dyDescent="0.25">
      <c r="BM338" s="5"/>
      <c r="BQ338" s="216"/>
      <c r="BV338" s="5"/>
      <c r="BW338" s="5"/>
      <c r="BX338" s="5"/>
      <c r="BY338" s="5"/>
      <c r="BZ338" s="5"/>
      <c r="CA338" s="5"/>
      <c r="CI338" s="726">
        <v>45473</v>
      </c>
      <c r="CJ338" t="s">
        <v>1191</v>
      </c>
      <c r="CK338" t="s">
        <v>1042</v>
      </c>
      <c r="CL338" s="5">
        <v>2655362.14</v>
      </c>
      <c r="CM338" s="730">
        <v>12</v>
      </c>
      <c r="CN338" s="5">
        <v>2655362.14</v>
      </c>
    </row>
    <row r="339" spans="65:92" x14ac:dyDescent="0.25">
      <c r="BM339" s="5"/>
      <c r="BQ339" s="216"/>
      <c r="BV339" s="5"/>
      <c r="BW339" s="5"/>
      <c r="BX339" s="5"/>
      <c r="BY339" s="5"/>
      <c r="BZ339" s="5"/>
      <c r="CA339" s="5"/>
      <c r="CI339" s="726">
        <v>45473</v>
      </c>
      <c r="CJ339" t="s">
        <v>1192</v>
      </c>
      <c r="CK339" t="s">
        <v>1044</v>
      </c>
      <c r="CL339" s="5">
        <v>257400</v>
      </c>
      <c r="CM339" s="730">
        <v>2</v>
      </c>
      <c r="CN339" s="5">
        <v>257400</v>
      </c>
    </row>
    <row r="340" spans="65:92" x14ac:dyDescent="0.25">
      <c r="BM340" s="5"/>
      <c r="BQ340" s="216"/>
      <c r="BV340" s="5"/>
      <c r="BW340" s="5"/>
      <c r="BX340" s="5"/>
      <c r="BY340" s="5"/>
      <c r="BZ340" s="5"/>
      <c r="CA340" s="5"/>
      <c r="CI340" s="726">
        <v>45473</v>
      </c>
      <c r="CJ340" t="s">
        <v>1193</v>
      </c>
      <c r="CK340" t="s">
        <v>1046</v>
      </c>
      <c r="CL340" s="5">
        <v>124000</v>
      </c>
      <c r="CM340" s="730">
        <v>1</v>
      </c>
      <c r="CN340" s="5">
        <v>124000</v>
      </c>
    </row>
    <row r="341" spans="65:92" x14ac:dyDescent="0.25">
      <c r="BM341" s="5"/>
      <c r="BQ341" s="216"/>
      <c r="BV341" s="5"/>
      <c r="BW341" s="5"/>
      <c r="BX341" s="5"/>
      <c r="BY341" s="5"/>
      <c r="BZ341" s="5"/>
      <c r="CA341" s="5"/>
      <c r="CI341" s="726">
        <v>45473</v>
      </c>
      <c r="CJ341" t="s">
        <v>1194</v>
      </c>
      <c r="CK341" t="s">
        <v>1048</v>
      </c>
      <c r="CL341" s="5">
        <v>665497</v>
      </c>
      <c r="CM341" s="730">
        <v>3</v>
      </c>
      <c r="CN341" s="5">
        <v>665497</v>
      </c>
    </row>
    <row r="342" spans="65:92" x14ac:dyDescent="0.25">
      <c r="BM342" s="5"/>
      <c r="BQ342" s="216"/>
      <c r="BV342" s="5"/>
      <c r="BW342" s="5"/>
      <c r="BX342" s="5"/>
      <c r="BY342" s="5"/>
      <c r="BZ342" s="5"/>
      <c r="CA342" s="5"/>
      <c r="CI342" s="726">
        <v>45473</v>
      </c>
      <c r="CJ342" t="s">
        <v>1195</v>
      </c>
      <c r="CK342" t="s">
        <v>1050</v>
      </c>
      <c r="CL342" s="5">
        <v>1575299</v>
      </c>
      <c r="CM342" s="730">
        <v>6</v>
      </c>
      <c r="CN342" s="5">
        <v>1575299</v>
      </c>
    </row>
    <row r="343" spans="65:92" x14ac:dyDescent="0.25">
      <c r="BM343" s="5"/>
      <c r="BQ343" s="216"/>
      <c r="BV343" s="5"/>
      <c r="BW343" s="5"/>
      <c r="BX343" s="5"/>
      <c r="BY343" s="5"/>
      <c r="BZ343" s="5"/>
      <c r="CA343" s="5"/>
      <c r="CI343" s="726">
        <v>45473</v>
      </c>
      <c r="CJ343" t="s">
        <v>1196</v>
      </c>
      <c r="CK343" t="s">
        <v>1052</v>
      </c>
      <c r="CL343" s="5">
        <v>243650</v>
      </c>
      <c r="CM343" s="730">
        <v>2</v>
      </c>
      <c r="CN343" s="5">
        <v>243650</v>
      </c>
    </row>
    <row r="344" spans="65:92" x14ac:dyDescent="0.25">
      <c r="BM344" s="5"/>
      <c r="BQ344" s="216"/>
      <c r="BV344" s="5"/>
      <c r="BW344" s="5"/>
      <c r="BX344" s="5"/>
      <c r="BY344" s="5"/>
      <c r="BZ344" s="5"/>
      <c r="CA344" s="5"/>
      <c r="CI344" s="726">
        <v>45473</v>
      </c>
      <c r="CJ344" t="s">
        <v>1197</v>
      </c>
      <c r="CK344" t="s">
        <v>1054</v>
      </c>
      <c r="CL344" s="5">
        <v>885400</v>
      </c>
      <c r="CM344" s="730">
        <v>4</v>
      </c>
      <c r="CN344" s="5">
        <v>885400</v>
      </c>
    </row>
    <row r="345" spans="65:92" x14ac:dyDescent="0.25">
      <c r="BM345" s="5"/>
      <c r="BQ345" s="216"/>
      <c r="BV345" s="5"/>
      <c r="BW345" s="5"/>
      <c r="BX345" s="5"/>
      <c r="BY345" s="5"/>
      <c r="BZ345" s="5"/>
      <c r="CA345" s="5"/>
      <c r="CI345" s="726">
        <v>45473</v>
      </c>
      <c r="CJ345" t="s">
        <v>1198</v>
      </c>
      <c r="CK345" t="s">
        <v>1056</v>
      </c>
      <c r="CL345" s="5">
        <v>2865560</v>
      </c>
      <c r="CM345" s="730">
        <v>8</v>
      </c>
      <c r="CN345" s="5">
        <v>2865560</v>
      </c>
    </row>
    <row r="346" spans="65:92" x14ac:dyDescent="0.25">
      <c r="BM346" s="5"/>
      <c r="BQ346" s="216"/>
      <c r="BV346" s="5"/>
      <c r="BW346" s="5"/>
      <c r="BX346" s="5"/>
      <c r="BY346" s="5"/>
      <c r="BZ346" s="5"/>
      <c r="CA346" s="5"/>
      <c r="CI346" s="726">
        <v>45473</v>
      </c>
      <c r="CJ346" t="s">
        <v>1199</v>
      </c>
      <c r="CK346" t="s">
        <v>1058</v>
      </c>
      <c r="CL346" s="5">
        <v>2592781</v>
      </c>
      <c r="CM346" s="730">
        <v>10</v>
      </c>
      <c r="CN346" s="5">
        <v>2592781</v>
      </c>
    </row>
    <row r="347" spans="65:92" x14ac:dyDescent="0.25">
      <c r="BM347" s="5"/>
      <c r="BQ347" s="216"/>
      <c r="BV347" s="5"/>
      <c r="BW347" s="5"/>
      <c r="BX347" s="5"/>
      <c r="BY347" s="5"/>
      <c r="BZ347" s="5"/>
      <c r="CA347" s="5"/>
      <c r="CI347" s="726">
        <v>45473</v>
      </c>
      <c r="CJ347" t="s">
        <v>1200</v>
      </c>
      <c r="CK347" t="s">
        <v>1060</v>
      </c>
      <c r="CL347" s="5">
        <v>753698.04</v>
      </c>
      <c r="CM347" s="730">
        <v>3</v>
      </c>
      <c r="CN347" s="5">
        <v>753698.04</v>
      </c>
    </row>
    <row r="348" spans="65:92" x14ac:dyDescent="0.25">
      <c r="BM348" s="5"/>
      <c r="BQ348" s="216"/>
      <c r="BV348" s="5"/>
      <c r="BW348" s="5"/>
      <c r="BX348" s="5"/>
      <c r="BY348" s="5"/>
      <c r="BZ348" s="5"/>
      <c r="CA348" s="5"/>
      <c r="CI348" s="726">
        <v>45473</v>
      </c>
      <c r="CJ348" t="s">
        <v>1201</v>
      </c>
      <c r="CK348" t="s">
        <v>1062</v>
      </c>
      <c r="CL348" s="5">
        <v>10022799</v>
      </c>
      <c r="CM348" s="730">
        <v>30</v>
      </c>
      <c r="CN348" s="5">
        <v>10022799</v>
      </c>
    </row>
    <row r="349" spans="65:92" x14ac:dyDescent="0.25">
      <c r="BM349" s="5"/>
      <c r="BQ349" s="216"/>
      <c r="BV349" s="5"/>
      <c r="BW349" s="5"/>
      <c r="BX349" s="5"/>
      <c r="BY349" s="5"/>
      <c r="BZ349" s="5"/>
      <c r="CA349" s="5"/>
      <c r="CI349" s="726">
        <v>45473</v>
      </c>
      <c r="CJ349" t="s">
        <v>1202</v>
      </c>
      <c r="CK349" t="s">
        <v>1064</v>
      </c>
      <c r="CL349" s="5">
        <v>1896250</v>
      </c>
      <c r="CM349" s="730">
        <v>5</v>
      </c>
      <c r="CN349" s="5">
        <v>1896250</v>
      </c>
    </row>
    <row r="350" spans="65:92" x14ac:dyDescent="0.25">
      <c r="BM350" s="5"/>
      <c r="BQ350" s="216"/>
      <c r="BV350" s="5"/>
      <c r="BW350" s="5"/>
      <c r="BX350" s="5"/>
      <c r="BY350" s="5"/>
      <c r="BZ350" s="5"/>
      <c r="CA350" s="5"/>
      <c r="CI350" s="726">
        <v>45473</v>
      </c>
      <c r="CJ350" t="s">
        <v>1203</v>
      </c>
      <c r="CK350" t="s">
        <v>1066</v>
      </c>
      <c r="CL350" s="5">
        <v>164766</v>
      </c>
      <c r="CM350" s="730">
        <v>1</v>
      </c>
      <c r="CN350" s="5">
        <v>164766</v>
      </c>
    </row>
    <row r="351" spans="65:92" x14ac:dyDescent="0.25">
      <c r="BM351" s="5"/>
      <c r="BQ351" s="216"/>
      <c r="BV351" s="5"/>
      <c r="BW351" s="5"/>
      <c r="BX351" s="5"/>
      <c r="BY351" s="5"/>
      <c r="BZ351" s="5"/>
      <c r="CA351" s="5"/>
      <c r="CI351" s="726">
        <v>45473</v>
      </c>
      <c r="CJ351" t="s">
        <v>1204</v>
      </c>
      <c r="CK351" t="s">
        <v>1068</v>
      </c>
      <c r="CL351" s="5">
        <v>4424500</v>
      </c>
      <c r="CM351" s="730">
        <v>8</v>
      </c>
      <c r="CN351" s="5">
        <v>4424500</v>
      </c>
    </row>
    <row r="352" spans="65:92" x14ac:dyDescent="0.25">
      <c r="BM352" s="5"/>
      <c r="BQ352" s="216"/>
      <c r="BV352" s="5"/>
      <c r="BW352" s="5"/>
      <c r="BX352" s="5"/>
      <c r="BY352" s="5"/>
      <c r="BZ352" s="5"/>
      <c r="CA352" s="5"/>
      <c r="CI352" s="726">
        <v>45473</v>
      </c>
      <c r="CJ352" t="s">
        <v>1205</v>
      </c>
      <c r="CK352" t="s">
        <v>1070</v>
      </c>
      <c r="CL352" s="5">
        <v>0</v>
      </c>
      <c r="CM352" s="730">
        <v>0</v>
      </c>
      <c r="CN352" s="5">
        <v>0</v>
      </c>
    </row>
    <row r="353" spans="65:92" x14ac:dyDescent="0.25">
      <c r="BM353" s="5"/>
      <c r="BQ353" s="216"/>
      <c r="BV353" s="5"/>
      <c r="BW353" s="5"/>
      <c r="BX353" s="5"/>
      <c r="BY353" s="5"/>
      <c r="BZ353" s="5"/>
      <c r="CA353" s="5"/>
      <c r="CI353" s="726">
        <v>45473</v>
      </c>
      <c r="CJ353" t="s">
        <v>1206</v>
      </c>
      <c r="CK353" t="s">
        <v>1072</v>
      </c>
      <c r="CL353" s="5">
        <v>0</v>
      </c>
      <c r="CM353" s="730">
        <v>0</v>
      </c>
      <c r="CN353" s="5">
        <v>0</v>
      </c>
    </row>
    <row r="354" spans="65:92" x14ac:dyDescent="0.25">
      <c r="BM354" s="5"/>
      <c r="BQ354" s="216"/>
      <c r="BV354" s="5"/>
      <c r="BW354" s="5"/>
      <c r="BX354" s="5"/>
      <c r="BY354" s="5"/>
      <c r="BZ354" s="5"/>
      <c r="CA354" s="5"/>
      <c r="CI354" s="726">
        <v>45473</v>
      </c>
      <c r="CJ354" t="s">
        <v>1207</v>
      </c>
      <c r="CK354" t="s">
        <v>1074</v>
      </c>
      <c r="CL354" s="5">
        <v>115000</v>
      </c>
      <c r="CM354" s="730">
        <v>1</v>
      </c>
      <c r="CN354" s="5">
        <v>115000</v>
      </c>
    </row>
    <row r="355" spans="65:92" x14ac:dyDescent="0.25">
      <c r="BM355" s="5"/>
      <c r="BQ355" s="216"/>
      <c r="BV355" s="5"/>
      <c r="BW355" s="5"/>
      <c r="BX355" s="5"/>
      <c r="BY355" s="5"/>
      <c r="BZ355" s="5"/>
      <c r="CA355" s="5"/>
      <c r="CI355" s="726">
        <v>45473</v>
      </c>
      <c r="CJ355" t="s">
        <v>1208</v>
      </c>
      <c r="CK355" t="s">
        <v>1076</v>
      </c>
      <c r="CL355" s="5">
        <v>385800</v>
      </c>
      <c r="CM355" s="730">
        <v>2</v>
      </c>
      <c r="CN355" s="5">
        <v>385800</v>
      </c>
    </row>
    <row r="356" spans="65:92" x14ac:dyDescent="0.25">
      <c r="BM356" s="5"/>
      <c r="BQ356" s="216"/>
      <c r="BV356" s="5"/>
      <c r="BW356" s="5"/>
      <c r="BX356" s="5"/>
      <c r="BY356" s="5"/>
      <c r="BZ356" s="5"/>
      <c r="CA356" s="5"/>
      <c r="CI356" s="726">
        <v>45473</v>
      </c>
      <c r="CJ356" t="s">
        <v>1209</v>
      </c>
      <c r="CK356" t="s">
        <v>1078</v>
      </c>
      <c r="CL356" s="5">
        <v>1161044</v>
      </c>
      <c r="CM356" s="730">
        <v>5</v>
      </c>
      <c r="CN356" s="5">
        <v>1161044</v>
      </c>
    </row>
    <row r="357" spans="65:92" x14ac:dyDescent="0.25">
      <c r="BM357" s="5"/>
      <c r="BQ357" s="216"/>
      <c r="BV357" s="5"/>
      <c r="BW357" s="5"/>
      <c r="BX357" s="5"/>
      <c r="BY357" s="5"/>
      <c r="BZ357" s="5"/>
      <c r="CA357" s="5"/>
      <c r="CI357" s="726">
        <v>45473</v>
      </c>
      <c r="CJ357" t="s">
        <v>1210</v>
      </c>
      <c r="CK357" t="s">
        <v>1080</v>
      </c>
      <c r="CL357" s="5">
        <v>165000</v>
      </c>
      <c r="CM357" s="730">
        <v>1</v>
      </c>
      <c r="CN357" s="5">
        <v>165000</v>
      </c>
    </row>
    <row r="358" spans="65:92" x14ac:dyDescent="0.25">
      <c r="BM358" s="5"/>
      <c r="BQ358" s="216"/>
      <c r="BV358" s="5"/>
      <c r="BW358" s="5"/>
      <c r="BX358" s="5"/>
      <c r="BY358" s="5"/>
      <c r="BZ358" s="5"/>
      <c r="CA358" s="5"/>
      <c r="CI358" s="726">
        <v>45473</v>
      </c>
      <c r="CJ358" t="s">
        <v>1211</v>
      </c>
      <c r="CK358" t="s">
        <v>1082</v>
      </c>
      <c r="CL358" s="5">
        <v>30000</v>
      </c>
      <c r="CM358" s="730">
        <v>1</v>
      </c>
      <c r="CN358" s="5">
        <v>30000</v>
      </c>
    </row>
    <row r="359" spans="65:92" x14ac:dyDescent="0.25">
      <c r="BM359" s="5"/>
      <c r="BQ359" s="216"/>
      <c r="BV359" s="5"/>
      <c r="BW359" s="5"/>
      <c r="BX359" s="5"/>
      <c r="BY359" s="5"/>
      <c r="BZ359" s="5"/>
      <c r="CA359" s="5"/>
      <c r="CI359" s="726">
        <v>45473</v>
      </c>
      <c r="CJ359" t="s">
        <v>1212</v>
      </c>
      <c r="CK359" t="s">
        <v>1084</v>
      </c>
      <c r="CL359" s="5">
        <v>815000</v>
      </c>
      <c r="CM359" s="730">
        <v>3</v>
      </c>
      <c r="CN359" s="5">
        <v>815000</v>
      </c>
    </row>
    <row r="360" spans="65:92" x14ac:dyDescent="0.25">
      <c r="BM360" s="5"/>
      <c r="BQ360" s="216"/>
      <c r="BV360" s="5"/>
      <c r="BW360" s="5"/>
      <c r="BX360" s="5"/>
      <c r="BY360" s="5"/>
      <c r="BZ360" s="5"/>
      <c r="CA360" s="5"/>
      <c r="CI360" s="726">
        <v>45473</v>
      </c>
      <c r="CJ360" t="s">
        <v>1213</v>
      </c>
      <c r="CK360" t="s">
        <v>1086</v>
      </c>
      <c r="CL360" s="5">
        <v>3299019</v>
      </c>
      <c r="CM360" s="730">
        <v>6</v>
      </c>
      <c r="CN360" s="5">
        <v>3299019</v>
      </c>
    </row>
    <row r="361" spans="65:92" x14ac:dyDescent="0.25">
      <c r="BM361" s="5"/>
      <c r="BQ361" s="216"/>
      <c r="BV361" s="5"/>
      <c r="BW361" s="5"/>
      <c r="BX361" s="5"/>
      <c r="BY361" s="5"/>
      <c r="BZ361" s="5"/>
      <c r="CA361" s="5"/>
      <c r="CI361" s="726">
        <v>45473</v>
      </c>
      <c r="CJ361" t="s">
        <v>1214</v>
      </c>
      <c r="CK361" t="s">
        <v>1088</v>
      </c>
      <c r="CL361" s="5">
        <v>3865937.17</v>
      </c>
      <c r="CM361" s="730">
        <v>18</v>
      </c>
      <c r="CN361" s="5">
        <v>3865937.17</v>
      </c>
    </row>
    <row r="362" spans="65:92" x14ac:dyDescent="0.25">
      <c r="BM362" s="5"/>
      <c r="BQ362" s="216"/>
      <c r="BV362" s="5"/>
      <c r="BW362" s="5"/>
      <c r="BX362" s="5"/>
      <c r="BY362" s="5"/>
      <c r="BZ362" s="5"/>
      <c r="CA362" s="5"/>
      <c r="CI362" s="726">
        <v>45473</v>
      </c>
      <c r="CJ362" t="s">
        <v>1215</v>
      </c>
      <c r="CK362" t="s">
        <v>1090</v>
      </c>
      <c r="CL362" s="5">
        <v>0</v>
      </c>
      <c r="CM362" s="730">
        <v>0</v>
      </c>
      <c r="CN362" s="5">
        <v>0</v>
      </c>
    </row>
    <row r="363" spans="65:92" x14ac:dyDescent="0.25">
      <c r="BM363" s="5"/>
      <c r="BQ363" s="216"/>
      <c r="BV363" s="5"/>
      <c r="BW363" s="5"/>
      <c r="BX363" s="5"/>
      <c r="BY363" s="5"/>
      <c r="BZ363" s="5"/>
      <c r="CA363" s="5"/>
      <c r="CI363" s="726">
        <v>45473</v>
      </c>
      <c r="CJ363" t="s">
        <v>1216</v>
      </c>
      <c r="CK363" t="s">
        <v>1092</v>
      </c>
      <c r="CL363" s="5">
        <v>726928</v>
      </c>
      <c r="CM363" s="730">
        <v>4</v>
      </c>
      <c r="CN363" s="5">
        <v>726928</v>
      </c>
    </row>
    <row r="364" spans="65:92" x14ac:dyDescent="0.25">
      <c r="BM364" s="5"/>
      <c r="BQ364" s="216"/>
      <c r="BV364" s="5"/>
      <c r="BW364" s="5"/>
      <c r="BX364" s="5"/>
      <c r="BY364" s="5"/>
      <c r="BZ364" s="5"/>
      <c r="CA364" s="5"/>
      <c r="CI364" s="726">
        <v>45473</v>
      </c>
      <c r="CJ364" t="s">
        <v>1217</v>
      </c>
      <c r="CK364" t="s">
        <v>1094</v>
      </c>
      <c r="CL364" s="5">
        <v>60000</v>
      </c>
      <c r="CM364" s="730">
        <v>1</v>
      </c>
      <c r="CN364" s="5">
        <v>60000</v>
      </c>
    </row>
    <row r="365" spans="65:92" x14ac:dyDescent="0.25">
      <c r="BM365" s="5"/>
      <c r="BQ365" s="216"/>
      <c r="BV365" s="5"/>
      <c r="BW365" s="5"/>
      <c r="BX365" s="5"/>
      <c r="BY365" s="5"/>
      <c r="BZ365" s="5"/>
      <c r="CA365" s="5"/>
      <c r="CI365" s="726">
        <v>45473</v>
      </c>
      <c r="CJ365" t="s">
        <v>1218</v>
      </c>
      <c r="CK365" t="s">
        <v>1096</v>
      </c>
      <c r="CL365" s="5">
        <v>0</v>
      </c>
      <c r="CM365" s="730">
        <v>0</v>
      </c>
      <c r="CN365" s="5">
        <v>0</v>
      </c>
    </row>
    <row r="366" spans="65:92" x14ac:dyDescent="0.25">
      <c r="BM366" s="5"/>
      <c r="BQ366" s="216"/>
      <c r="BV366" s="5"/>
      <c r="BW366" s="5"/>
      <c r="BX366" s="5"/>
      <c r="BY366" s="5"/>
      <c r="BZ366" s="5"/>
      <c r="CA366" s="5"/>
      <c r="CI366" s="726">
        <v>45473</v>
      </c>
      <c r="CJ366" t="s">
        <v>1219</v>
      </c>
      <c r="CK366" t="s">
        <v>1098</v>
      </c>
      <c r="CL366" s="5">
        <v>5513787</v>
      </c>
      <c r="CM366" s="730">
        <v>20</v>
      </c>
      <c r="CN366" s="5">
        <v>5513787</v>
      </c>
    </row>
    <row r="367" spans="65:92" x14ac:dyDescent="0.25">
      <c r="BM367" s="5"/>
      <c r="BQ367" s="216"/>
      <c r="BV367" s="5"/>
      <c r="BW367" s="5"/>
      <c r="BX367" s="5"/>
      <c r="BY367" s="5"/>
      <c r="BZ367" s="5"/>
      <c r="CA367" s="5"/>
      <c r="CI367" s="726">
        <v>45473</v>
      </c>
      <c r="CJ367" t="s">
        <v>1220</v>
      </c>
      <c r="CK367" t="s">
        <v>1100</v>
      </c>
      <c r="CL367" s="5">
        <v>645000</v>
      </c>
      <c r="CM367" s="730">
        <v>1</v>
      </c>
      <c r="CN367" s="5">
        <v>645000</v>
      </c>
    </row>
    <row r="368" spans="65:92" x14ac:dyDescent="0.25">
      <c r="BM368" s="5"/>
      <c r="BQ368" s="216"/>
      <c r="BV368" s="5"/>
      <c r="BW368" s="5"/>
      <c r="BX368" s="5"/>
      <c r="BY368" s="5"/>
      <c r="BZ368" s="5"/>
      <c r="CA368" s="5"/>
      <c r="CI368" s="726">
        <v>45473</v>
      </c>
      <c r="CJ368" t="s">
        <v>1221</v>
      </c>
      <c r="CK368" t="s">
        <v>1102</v>
      </c>
      <c r="CL368" s="5">
        <v>0</v>
      </c>
      <c r="CM368" s="730">
        <v>0</v>
      </c>
      <c r="CN368" s="5">
        <v>0</v>
      </c>
    </row>
    <row r="369" spans="65:92" x14ac:dyDescent="0.25">
      <c r="BM369" s="5"/>
      <c r="BQ369" s="216"/>
      <c r="BV369" s="5"/>
      <c r="BW369" s="5"/>
      <c r="BX369" s="5"/>
      <c r="BY369" s="5"/>
      <c r="BZ369" s="5"/>
      <c r="CA369" s="5"/>
      <c r="CI369" s="726">
        <v>45473</v>
      </c>
      <c r="CJ369" t="s">
        <v>1222</v>
      </c>
      <c r="CK369" t="s">
        <v>1104</v>
      </c>
      <c r="CL369" s="5">
        <v>331500</v>
      </c>
      <c r="CM369" s="730">
        <v>1</v>
      </c>
      <c r="CN369" s="5">
        <v>331500</v>
      </c>
    </row>
    <row r="370" spans="65:92" x14ac:dyDescent="0.25">
      <c r="BM370" s="5"/>
      <c r="BQ370" s="216"/>
      <c r="BV370" s="5"/>
      <c r="BW370" s="5"/>
      <c r="BX370" s="5"/>
      <c r="BY370" s="5"/>
      <c r="BZ370" s="5"/>
      <c r="CA370" s="5"/>
      <c r="CI370" s="726">
        <v>45473</v>
      </c>
      <c r="CJ370" t="s">
        <v>1223</v>
      </c>
      <c r="CK370" t="s">
        <v>1106</v>
      </c>
      <c r="CL370" s="5">
        <v>0</v>
      </c>
      <c r="CM370" s="730">
        <v>0</v>
      </c>
      <c r="CN370" s="5">
        <v>0</v>
      </c>
    </row>
    <row r="371" spans="65:92" x14ac:dyDescent="0.25">
      <c r="BM371" s="5"/>
      <c r="BQ371" s="216"/>
      <c r="BV371" s="5"/>
      <c r="BW371" s="5"/>
      <c r="BX371" s="5"/>
      <c r="BY371" s="5"/>
      <c r="BZ371" s="5"/>
      <c r="CA371" s="5"/>
      <c r="CI371" s="726">
        <v>45473</v>
      </c>
      <c r="CJ371" t="s">
        <v>1224</v>
      </c>
      <c r="CK371" t="s">
        <v>1108</v>
      </c>
      <c r="CL371" s="5">
        <v>640000</v>
      </c>
      <c r="CM371" s="730">
        <v>2</v>
      </c>
      <c r="CN371" s="5">
        <v>640000</v>
      </c>
    </row>
    <row r="372" spans="65:92" x14ac:dyDescent="0.25">
      <c r="BM372" s="5"/>
      <c r="BQ372" s="216"/>
      <c r="BV372" s="5"/>
      <c r="BW372" s="5"/>
      <c r="BX372" s="5"/>
      <c r="BY372" s="5"/>
      <c r="BZ372" s="5"/>
      <c r="CA372" s="5"/>
      <c r="CI372" s="726">
        <v>45473</v>
      </c>
      <c r="CJ372" t="s">
        <v>1225</v>
      </c>
      <c r="CK372" t="s">
        <v>1110</v>
      </c>
      <c r="CL372" s="5">
        <v>0</v>
      </c>
      <c r="CM372" s="730">
        <v>0</v>
      </c>
      <c r="CN372" s="5">
        <v>0</v>
      </c>
    </row>
    <row r="373" spans="65:92" x14ac:dyDescent="0.25">
      <c r="BM373" s="5"/>
      <c r="BQ373" s="216"/>
      <c r="BV373" s="5"/>
      <c r="BW373" s="5"/>
      <c r="BX373" s="5"/>
      <c r="BY373" s="5"/>
      <c r="BZ373" s="5"/>
      <c r="CA373" s="5"/>
      <c r="CI373" s="726">
        <v>45473</v>
      </c>
      <c r="CJ373" t="s">
        <v>1226</v>
      </c>
      <c r="CK373" t="s">
        <v>1112</v>
      </c>
      <c r="CL373" s="5">
        <v>0</v>
      </c>
      <c r="CM373" s="730">
        <v>0</v>
      </c>
      <c r="CN373" s="5">
        <v>0</v>
      </c>
    </row>
    <row r="374" spans="65:92" x14ac:dyDescent="0.25">
      <c r="BM374" s="5"/>
      <c r="BQ374" s="216"/>
      <c r="BV374" s="5"/>
      <c r="BW374" s="5"/>
      <c r="BX374" s="5"/>
      <c r="BY374" s="5"/>
      <c r="BZ374" s="5"/>
      <c r="CA374" s="5"/>
      <c r="CI374" s="726">
        <v>45473</v>
      </c>
      <c r="CJ374" t="s">
        <v>1227</v>
      </c>
      <c r="CK374" t="s">
        <v>1114</v>
      </c>
      <c r="CL374" s="5">
        <v>220285</v>
      </c>
      <c r="CM374" s="730">
        <v>1</v>
      </c>
      <c r="CN374" s="5">
        <v>220285</v>
      </c>
    </row>
    <row r="375" spans="65:92" x14ac:dyDescent="0.25">
      <c r="BM375" s="5"/>
      <c r="BQ375" s="216"/>
      <c r="BV375" s="5"/>
      <c r="BW375" s="5"/>
      <c r="BX375" s="5"/>
      <c r="BY375" s="5"/>
      <c r="BZ375" s="5"/>
      <c r="CA375" s="5"/>
      <c r="CI375" s="726">
        <v>45473</v>
      </c>
      <c r="CJ375" t="s">
        <v>1228</v>
      </c>
      <c r="CK375" t="s">
        <v>1116</v>
      </c>
      <c r="CL375" s="5">
        <v>871000</v>
      </c>
      <c r="CM375" s="730">
        <v>3</v>
      </c>
      <c r="CN375" s="5">
        <v>871000</v>
      </c>
    </row>
    <row r="376" spans="65:92" x14ac:dyDescent="0.25">
      <c r="BM376" s="5"/>
      <c r="BQ376" s="216"/>
      <c r="BV376" s="5"/>
      <c r="BW376" s="5"/>
      <c r="BX376" s="5"/>
      <c r="BY376" s="5"/>
      <c r="BZ376" s="5"/>
      <c r="CA376" s="5"/>
      <c r="CI376" s="726">
        <v>45473</v>
      </c>
      <c r="CJ376" t="s">
        <v>1229</v>
      </c>
      <c r="CK376" t="s">
        <v>1118</v>
      </c>
      <c r="CL376" s="5">
        <v>2614003</v>
      </c>
      <c r="CM376" s="730">
        <v>7</v>
      </c>
      <c r="CN376" s="5">
        <v>2614003</v>
      </c>
    </row>
    <row r="377" spans="65:92" x14ac:dyDescent="0.25">
      <c r="BM377" s="5"/>
      <c r="BQ377" s="216"/>
      <c r="BV377" s="5"/>
      <c r="BW377" s="5"/>
      <c r="BX377" s="5"/>
      <c r="BY377" s="5"/>
      <c r="BZ377" s="5"/>
      <c r="CA377" s="5"/>
      <c r="CI377" s="726">
        <v>45473</v>
      </c>
      <c r="CJ377" t="s">
        <v>1230</v>
      </c>
      <c r="CK377" t="s">
        <v>1120</v>
      </c>
      <c r="CL377" s="5">
        <v>0</v>
      </c>
      <c r="CM377" s="730">
        <v>0</v>
      </c>
      <c r="CN377" s="5">
        <v>0</v>
      </c>
    </row>
    <row r="378" spans="65:92" x14ac:dyDescent="0.25">
      <c r="BM378" s="5"/>
      <c r="BQ378" s="216"/>
      <c r="BV378" s="5"/>
      <c r="BW378" s="5"/>
      <c r="BX378" s="5"/>
      <c r="BY378" s="5"/>
      <c r="BZ378" s="5"/>
      <c r="CA378" s="5"/>
      <c r="CI378" s="726">
        <v>45473</v>
      </c>
      <c r="CJ378" t="s">
        <v>1231</v>
      </c>
      <c r="CK378" t="s">
        <v>1122</v>
      </c>
      <c r="CL378" s="5">
        <v>844900</v>
      </c>
      <c r="CM378" s="730">
        <v>2</v>
      </c>
      <c r="CN378" s="5">
        <v>844900</v>
      </c>
    </row>
    <row r="379" spans="65:92" x14ac:dyDescent="0.25">
      <c r="BM379" s="5"/>
      <c r="BQ379" s="216"/>
      <c r="BV379" s="5"/>
      <c r="BW379" s="5"/>
      <c r="BX379" s="5"/>
      <c r="BY379" s="5"/>
      <c r="BZ379" s="5"/>
      <c r="CA379" s="5"/>
      <c r="CI379" s="726">
        <v>45473</v>
      </c>
      <c r="CJ379" t="s">
        <v>1232</v>
      </c>
      <c r="CK379" t="s">
        <v>1124</v>
      </c>
      <c r="CL379" s="5">
        <v>2163827</v>
      </c>
      <c r="CM379" s="730">
        <v>9</v>
      </c>
      <c r="CN379" s="5">
        <v>2163827</v>
      </c>
    </row>
    <row r="380" spans="65:92" x14ac:dyDescent="0.25">
      <c r="BM380" s="5"/>
      <c r="BQ380" s="216"/>
      <c r="BV380" s="5"/>
      <c r="BW380" s="5"/>
      <c r="BX380" s="5"/>
      <c r="BY380" s="5"/>
      <c r="BZ380" s="5"/>
      <c r="CA380" s="5"/>
      <c r="CI380" s="726">
        <v>45473</v>
      </c>
      <c r="CJ380" t="s">
        <v>1233</v>
      </c>
      <c r="CK380" t="s">
        <v>1126</v>
      </c>
      <c r="CL380" s="5">
        <v>830000</v>
      </c>
      <c r="CM380" s="730">
        <v>2</v>
      </c>
      <c r="CN380" s="5">
        <v>830000</v>
      </c>
    </row>
    <row r="381" spans="65:92" x14ac:dyDescent="0.25">
      <c r="BM381" s="5"/>
      <c r="BQ381" s="216"/>
      <c r="BV381" s="5"/>
      <c r="BW381" s="5"/>
      <c r="BX381" s="5"/>
      <c r="BY381" s="5"/>
      <c r="BZ381" s="5"/>
      <c r="CA381" s="5"/>
      <c r="CI381" s="726">
        <v>45473</v>
      </c>
      <c r="CJ381" t="s">
        <v>1234</v>
      </c>
      <c r="CK381" t="s">
        <v>1128</v>
      </c>
      <c r="CL381" s="5">
        <v>10054059</v>
      </c>
      <c r="CM381" s="730">
        <v>24</v>
      </c>
      <c r="CN381" s="5">
        <v>10054059</v>
      </c>
    </row>
    <row r="382" spans="65:92" x14ac:dyDescent="0.25">
      <c r="BM382" s="5"/>
      <c r="BQ382" s="216"/>
      <c r="BV382" s="5"/>
      <c r="BW382" s="5"/>
      <c r="BX382" s="5"/>
      <c r="BY382" s="5"/>
      <c r="BZ382" s="5"/>
      <c r="CA382" s="5"/>
      <c r="CI382" s="726">
        <v>45473</v>
      </c>
      <c r="CJ382" t="s">
        <v>1235</v>
      </c>
      <c r="CK382" t="s">
        <v>1130</v>
      </c>
      <c r="CL382" s="5">
        <v>8405398</v>
      </c>
      <c r="CM382" s="730">
        <v>19</v>
      </c>
      <c r="CN382" s="5">
        <v>8405398</v>
      </c>
    </row>
    <row r="383" spans="65:92" x14ac:dyDescent="0.25">
      <c r="BM383" s="5"/>
      <c r="BQ383" s="216"/>
      <c r="BV383" s="5"/>
      <c r="BW383" s="5"/>
      <c r="BX383" s="5"/>
      <c r="BY383" s="5"/>
      <c r="BZ383" s="5"/>
      <c r="CA383" s="5"/>
      <c r="CI383" s="726">
        <v>45473</v>
      </c>
      <c r="CJ383" t="s">
        <v>1236</v>
      </c>
      <c r="CK383" t="s">
        <v>1132</v>
      </c>
      <c r="CL383" s="5">
        <v>4531440</v>
      </c>
      <c r="CM383" s="730">
        <v>12</v>
      </c>
      <c r="CN383" s="5">
        <v>4531440</v>
      </c>
    </row>
    <row r="384" spans="65:92" x14ac:dyDescent="0.25">
      <c r="BM384" s="5"/>
      <c r="BQ384" s="216"/>
      <c r="BV384" s="5"/>
      <c r="BW384" s="5"/>
      <c r="BX384" s="5"/>
      <c r="BY384" s="5"/>
      <c r="BZ384" s="5"/>
      <c r="CA384" s="5"/>
      <c r="CI384" s="726">
        <v>45473</v>
      </c>
      <c r="CJ384" t="s">
        <v>1237</v>
      </c>
      <c r="CK384" t="s">
        <v>1134</v>
      </c>
      <c r="CL384" s="5">
        <v>925000</v>
      </c>
      <c r="CM384" s="730">
        <v>2</v>
      </c>
      <c r="CN384" s="5">
        <v>925000</v>
      </c>
    </row>
    <row r="385" spans="65:92" x14ac:dyDescent="0.25">
      <c r="BM385" s="5"/>
      <c r="BQ385" s="216"/>
      <c r="BV385" s="5"/>
      <c r="BW385" s="5"/>
      <c r="BX385" s="5"/>
      <c r="BY385" s="5"/>
      <c r="BZ385" s="5"/>
      <c r="CA385" s="5"/>
      <c r="CI385" s="726">
        <v>45473</v>
      </c>
      <c r="CJ385" t="s">
        <v>1238</v>
      </c>
      <c r="CK385" t="s">
        <v>1136</v>
      </c>
      <c r="CL385" s="5">
        <v>0</v>
      </c>
      <c r="CM385" s="730">
        <v>0</v>
      </c>
      <c r="CN385" s="5">
        <v>0</v>
      </c>
    </row>
    <row r="386" spans="65:92" x14ac:dyDescent="0.25">
      <c r="BM386" s="5"/>
      <c r="BQ386" s="216"/>
      <c r="BV386" s="5"/>
      <c r="BW386" s="5"/>
      <c r="BX386" s="5"/>
      <c r="BY386" s="5"/>
      <c r="BZ386" s="5"/>
      <c r="CA386" s="5"/>
      <c r="CI386" s="726">
        <v>45473</v>
      </c>
      <c r="CJ386" t="s">
        <v>1239</v>
      </c>
      <c r="CK386" t="s">
        <v>1138</v>
      </c>
      <c r="CL386" s="5">
        <v>25121172.559999999</v>
      </c>
      <c r="CM386" s="730">
        <v>56</v>
      </c>
      <c r="CN386" s="5">
        <v>25121172.559999999</v>
      </c>
    </row>
    <row r="387" spans="65:92" x14ac:dyDescent="0.25">
      <c r="BM387" s="5"/>
      <c r="BQ387" s="216"/>
      <c r="BV387" s="5"/>
      <c r="BW387" s="5"/>
      <c r="BX387" s="5"/>
      <c r="BY387" s="5"/>
      <c r="BZ387" s="5"/>
      <c r="CA387" s="5"/>
      <c r="CI387" s="726">
        <v>45473</v>
      </c>
      <c r="CJ387" t="s">
        <v>1240</v>
      </c>
      <c r="CK387" t="s">
        <v>1140</v>
      </c>
      <c r="CL387" s="5">
        <v>5908639</v>
      </c>
      <c r="CM387" s="730">
        <v>16</v>
      </c>
      <c r="CN387" s="5">
        <v>5908639</v>
      </c>
    </row>
    <row r="388" spans="65:92" x14ac:dyDescent="0.25">
      <c r="BM388" s="5"/>
      <c r="BQ388" s="216"/>
      <c r="BV388" s="5"/>
      <c r="BW388" s="5"/>
      <c r="BX388" s="5"/>
      <c r="BY388" s="5"/>
      <c r="BZ388" s="5"/>
      <c r="CA388" s="5"/>
      <c r="CI388" s="726">
        <v>45473</v>
      </c>
      <c r="CJ388" t="s">
        <v>1241</v>
      </c>
      <c r="CK388" t="s">
        <v>1142</v>
      </c>
      <c r="CL388" s="5">
        <v>5391907.4299999997</v>
      </c>
      <c r="CM388" s="730">
        <v>17</v>
      </c>
      <c r="CN388" s="5">
        <v>5391907.4299999997</v>
      </c>
    </row>
    <row r="389" spans="65:92" x14ac:dyDescent="0.25">
      <c r="BM389" s="5"/>
      <c r="BQ389" s="216"/>
      <c r="BV389" s="5"/>
      <c r="BW389" s="5"/>
      <c r="BX389" s="5"/>
      <c r="BY389" s="5"/>
      <c r="BZ389" s="5"/>
      <c r="CA389" s="5"/>
      <c r="CI389" s="726">
        <v>45473</v>
      </c>
      <c r="CJ389" t="s">
        <v>1242</v>
      </c>
      <c r="CK389" t="s">
        <v>1144</v>
      </c>
      <c r="CL389" s="5">
        <v>1133000</v>
      </c>
      <c r="CM389" s="730">
        <v>4</v>
      </c>
      <c r="CN389" s="5">
        <v>1133000</v>
      </c>
    </row>
    <row r="390" spans="65:92" x14ac:dyDescent="0.25">
      <c r="BM390" s="5"/>
      <c r="BQ390" s="216"/>
      <c r="BV390" s="5"/>
      <c r="BW390" s="5"/>
      <c r="BX390" s="5"/>
      <c r="BY390" s="5"/>
      <c r="BZ390" s="5"/>
      <c r="CA390" s="5"/>
      <c r="CI390" s="726">
        <v>45473</v>
      </c>
      <c r="CJ390" t="s">
        <v>1243</v>
      </c>
      <c r="CK390" t="s">
        <v>1146</v>
      </c>
      <c r="CL390" s="5">
        <v>0</v>
      </c>
      <c r="CM390" s="730">
        <v>0</v>
      </c>
      <c r="CN390" s="5">
        <v>0</v>
      </c>
    </row>
    <row r="391" spans="65:92" x14ac:dyDescent="0.25">
      <c r="BM391" s="5"/>
      <c r="BQ391" s="216"/>
      <c r="BV391" s="5"/>
      <c r="BW391" s="5"/>
      <c r="BX391" s="5"/>
      <c r="BY391" s="5"/>
      <c r="BZ391" s="5"/>
      <c r="CA391" s="5"/>
      <c r="CI391" s="726">
        <v>45473</v>
      </c>
      <c r="CJ391" t="s">
        <v>1244</v>
      </c>
      <c r="CK391" t="s">
        <v>1148</v>
      </c>
      <c r="CL391" s="5">
        <v>0</v>
      </c>
      <c r="CM391" s="730">
        <v>0</v>
      </c>
      <c r="CN391" s="5">
        <v>0</v>
      </c>
    </row>
    <row r="392" spans="65:92" x14ac:dyDescent="0.25">
      <c r="BM392" s="5"/>
      <c r="BQ392" s="216"/>
      <c r="BV392" s="5"/>
      <c r="BW392" s="5"/>
      <c r="BX392" s="5"/>
      <c r="BY392" s="5"/>
      <c r="BZ392" s="5"/>
      <c r="CA392" s="5"/>
      <c r="CI392" s="726">
        <v>45473</v>
      </c>
      <c r="CJ392" t="s">
        <v>521</v>
      </c>
      <c r="CK392" t="s">
        <v>1149</v>
      </c>
      <c r="CL392" s="5">
        <v>0</v>
      </c>
      <c r="CM392" s="730">
        <v>0</v>
      </c>
      <c r="CN392" s="5">
        <v>0</v>
      </c>
    </row>
    <row r="393" spans="65:92" x14ac:dyDescent="0.25">
      <c r="BM393" s="5"/>
      <c r="BQ393" s="216"/>
      <c r="BV393" s="5"/>
      <c r="BW393" s="5"/>
      <c r="BX393" s="5"/>
      <c r="BY393" s="5"/>
      <c r="BZ393" s="5"/>
      <c r="CA393" s="5"/>
      <c r="CI393" s="726">
        <v>45473</v>
      </c>
      <c r="CJ393" t="s">
        <v>522</v>
      </c>
      <c r="CK393" t="s">
        <v>1150</v>
      </c>
      <c r="CL393" s="5">
        <v>0</v>
      </c>
      <c r="CM393" s="730">
        <v>0</v>
      </c>
      <c r="CN393" s="5">
        <v>0</v>
      </c>
    </row>
    <row r="394" spans="65:92" x14ac:dyDescent="0.25">
      <c r="BM394" s="5"/>
      <c r="BQ394" s="216"/>
      <c r="BV394" s="5"/>
      <c r="BW394" s="5"/>
      <c r="BX394" s="5"/>
      <c r="BY394" s="5"/>
      <c r="BZ394" s="5"/>
      <c r="CA394" s="5"/>
      <c r="CI394" s="726">
        <v>45473</v>
      </c>
      <c r="CJ394" t="s">
        <v>523</v>
      </c>
      <c r="CK394" t="s">
        <v>1151</v>
      </c>
      <c r="CL394" s="5">
        <v>0</v>
      </c>
      <c r="CM394" s="730">
        <v>0</v>
      </c>
      <c r="CN394" s="5">
        <v>0</v>
      </c>
    </row>
    <row r="395" spans="65:92" x14ac:dyDescent="0.25">
      <c r="BM395" s="5"/>
      <c r="BQ395" s="216"/>
      <c r="BV395" s="5"/>
      <c r="BW395" s="5"/>
      <c r="BX395" s="5"/>
      <c r="BY395" s="5"/>
      <c r="BZ395" s="5"/>
      <c r="CA395" s="5"/>
      <c r="CI395" s="726">
        <v>45473</v>
      </c>
      <c r="CJ395" t="s">
        <v>1245</v>
      </c>
      <c r="CK395" t="s">
        <v>1153</v>
      </c>
      <c r="CL395" s="5">
        <v>0</v>
      </c>
      <c r="CM395" s="730">
        <v>0</v>
      </c>
      <c r="CN395" s="5">
        <v>0</v>
      </c>
    </row>
    <row r="396" spans="65:92" x14ac:dyDescent="0.25">
      <c r="BM396" s="5"/>
      <c r="BQ396" s="216"/>
      <c r="BV396" s="5"/>
      <c r="BW396" s="5"/>
      <c r="BX396" s="5"/>
      <c r="BY396" s="5"/>
      <c r="BZ396" s="5"/>
      <c r="CA396" s="5"/>
      <c r="CI396" s="726">
        <v>45473</v>
      </c>
      <c r="CJ396" t="s">
        <v>1246</v>
      </c>
      <c r="CK396" t="s">
        <v>1155</v>
      </c>
      <c r="CL396" s="5">
        <v>0</v>
      </c>
      <c r="CM396" s="730">
        <v>0</v>
      </c>
      <c r="CN396" s="5">
        <v>0</v>
      </c>
    </row>
    <row r="397" spans="65:92" x14ac:dyDescent="0.25">
      <c r="BM397" s="5"/>
      <c r="BQ397" s="216"/>
      <c r="BV397" s="5"/>
      <c r="BW397" s="5"/>
      <c r="BX397" s="5"/>
      <c r="BY397" s="5"/>
      <c r="BZ397" s="5"/>
      <c r="CA397" s="5"/>
      <c r="CI397" s="726">
        <v>45473</v>
      </c>
      <c r="CJ397" t="s">
        <v>1247</v>
      </c>
      <c r="CK397" t="s">
        <v>1157</v>
      </c>
      <c r="CL397" s="5">
        <v>400000</v>
      </c>
      <c r="CM397" s="730">
        <v>1</v>
      </c>
      <c r="CN397" s="5">
        <v>400000</v>
      </c>
    </row>
    <row r="398" spans="65:92" x14ac:dyDescent="0.25">
      <c r="BM398" s="5"/>
      <c r="BQ398" s="216"/>
      <c r="BV398" s="5"/>
      <c r="BW398" s="5"/>
      <c r="BX398" s="5"/>
      <c r="BY398" s="5"/>
      <c r="BZ398" s="5"/>
      <c r="CA398" s="5"/>
      <c r="CI398" s="216"/>
      <c r="CJ398"/>
      <c r="CL398" s="5"/>
      <c r="CM398" s="730"/>
      <c r="CN398" s="5"/>
    </row>
    <row r="399" spans="65:92" x14ac:dyDescent="0.25">
      <c r="BM399" s="5"/>
      <c r="BQ399" s="216"/>
      <c r="BV399" s="5"/>
      <c r="BW399" s="5"/>
      <c r="BX399" s="5"/>
      <c r="BY399" s="5"/>
      <c r="BZ399" s="5"/>
      <c r="CA399" s="5"/>
      <c r="CI399" s="216"/>
      <c r="CJ399"/>
      <c r="CL399" s="5"/>
      <c r="CM399" s="730"/>
      <c r="CN399" s="5"/>
    </row>
    <row r="400" spans="65:92" x14ac:dyDescent="0.25">
      <c r="BM400" s="5"/>
      <c r="BQ400" s="216"/>
      <c r="BV400" s="5"/>
      <c r="BW400" s="5"/>
      <c r="BX400" s="5"/>
      <c r="BY400" s="5"/>
      <c r="BZ400" s="5"/>
      <c r="CA400" s="5"/>
      <c r="CI400" s="216"/>
      <c r="CJ400"/>
      <c r="CL400" s="5"/>
      <c r="CM400" s="730"/>
      <c r="CN400" s="5"/>
    </row>
    <row r="401" spans="65:92" x14ac:dyDescent="0.25">
      <c r="BM401" s="5"/>
      <c r="BQ401" s="216"/>
      <c r="BV401" s="5"/>
      <c r="BW401" s="5"/>
      <c r="BX401" s="5"/>
      <c r="BY401" s="5"/>
      <c r="BZ401" s="5"/>
      <c r="CA401" s="5"/>
      <c r="CI401" s="216"/>
      <c r="CJ401"/>
      <c r="CL401" s="5"/>
      <c r="CM401" s="730"/>
      <c r="CN401" s="5"/>
    </row>
    <row r="402" spans="65:92" x14ac:dyDescent="0.25">
      <c r="BM402" s="5"/>
      <c r="BQ402" s="216"/>
      <c r="BV402" s="5"/>
      <c r="BW402" s="5"/>
      <c r="BX402" s="5"/>
      <c r="BY402" s="5"/>
      <c r="BZ402" s="5"/>
      <c r="CA402" s="5"/>
      <c r="CI402" s="216"/>
      <c r="CJ402"/>
      <c r="CL402" s="5"/>
      <c r="CM402" s="730"/>
      <c r="CN402" s="5"/>
    </row>
    <row r="403" spans="65:92" x14ac:dyDescent="0.25">
      <c r="BM403" s="5"/>
      <c r="BQ403" s="216"/>
      <c r="BV403" s="5"/>
      <c r="BW403" s="5"/>
      <c r="BX403" s="5"/>
      <c r="BY403" s="5"/>
      <c r="BZ403" s="5"/>
      <c r="CA403" s="5"/>
      <c r="CI403" s="216"/>
      <c r="CJ403"/>
      <c r="CL403" s="5"/>
      <c r="CM403" s="730"/>
      <c r="CN403" s="5"/>
    </row>
    <row r="404" spans="65:92" x14ac:dyDescent="0.25">
      <c r="BM404" s="5"/>
      <c r="BQ404" s="216"/>
      <c r="BV404" s="5"/>
      <c r="BW404" s="5"/>
      <c r="BX404" s="5"/>
      <c r="BY404" s="5"/>
      <c r="BZ404" s="5"/>
      <c r="CA404" s="5"/>
      <c r="CI404" s="216"/>
      <c r="CJ404"/>
      <c r="CL404" s="5"/>
      <c r="CM404" s="730"/>
      <c r="CN404" s="5"/>
    </row>
    <row r="405" spans="65:92" x14ac:dyDescent="0.25">
      <c r="BM405" s="5"/>
      <c r="BQ405" s="216"/>
      <c r="BV405" s="5"/>
      <c r="BW405" s="5"/>
      <c r="BX405" s="5"/>
      <c r="BY405" s="5"/>
      <c r="BZ405" s="5"/>
      <c r="CA405" s="5"/>
      <c r="CI405" s="216"/>
      <c r="CJ405"/>
      <c r="CL405" s="5"/>
      <c r="CM405" s="730"/>
      <c r="CN405" s="5"/>
    </row>
    <row r="406" spans="65:92" x14ac:dyDescent="0.25">
      <c r="BM406" s="5"/>
      <c r="BQ406" s="216"/>
      <c r="BV406" s="5"/>
      <c r="BW406" s="5"/>
      <c r="BX406" s="5"/>
      <c r="BY406" s="5"/>
      <c r="BZ406" s="5"/>
      <c r="CA406" s="5"/>
      <c r="CI406" s="216"/>
      <c r="CJ406"/>
      <c r="CL406" s="5"/>
      <c r="CM406" s="730"/>
      <c r="CN406" s="5"/>
    </row>
    <row r="407" spans="65:92" x14ac:dyDescent="0.25">
      <c r="BM407" s="5"/>
      <c r="BQ407" s="216"/>
      <c r="BV407" s="5"/>
      <c r="BW407" s="5"/>
      <c r="BX407" s="5"/>
      <c r="BY407" s="5"/>
      <c r="BZ407" s="5"/>
      <c r="CA407" s="5"/>
      <c r="CI407" s="216"/>
      <c r="CJ407"/>
      <c r="CL407" s="5"/>
      <c r="CM407" s="730"/>
      <c r="CN407" s="5"/>
    </row>
    <row r="408" spans="65:92" x14ac:dyDescent="0.25">
      <c r="BM408" s="5"/>
      <c r="BQ408" s="216"/>
      <c r="BV408" s="5"/>
      <c r="BW408" s="5"/>
      <c r="BX408" s="5"/>
      <c r="BY408" s="5"/>
      <c r="BZ408" s="5"/>
      <c r="CA408" s="5"/>
      <c r="CI408" s="216"/>
      <c r="CJ408"/>
      <c r="CL408" s="5"/>
      <c r="CM408" s="730"/>
      <c r="CN408" s="5"/>
    </row>
    <row r="409" spans="65:92" x14ac:dyDescent="0.25">
      <c r="BM409" s="5"/>
      <c r="BQ409" s="216"/>
      <c r="BV409" s="5"/>
      <c r="BW409" s="5"/>
      <c r="BX409" s="5"/>
      <c r="BY409" s="5"/>
      <c r="BZ409" s="5"/>
      <c r="CA409" s="5"/>
      <c r="CI409" s="216"/>
      <c r="CJ409"/>
      <c r="CL409" s="5"/>
      <c r="CM409" s="730"/>
      <c r="CN409" s="5"/>
    </row>
    <row r="410" spans="65:92" x14ac:dyDescent="0.25">
      <c r="BM410" s="5"/>
      <c r="BQ410" s="216"/>
      <c r="BV410" s="5"/>
      <c r="BW410" s="5"/>
      <c r="BX410" s="5"/>
      <c r="BY410" s="5"/>
      <c r="BZ410" s="5"/>
      <c r="CA410" s="5"/>
      <c r="CI410" s="216"/>
      <c r="CJ410"/>
      <c r="CL410" s="5"/>
      <c r="CM410" s="730"/>
      <c r="CN410" s="5"/>
    </row>
    <row r="411" spans="65:92" x14ac:dyDescent="0.25">
      <c r="BM411" s="5"/>
      <c r="BQ411" s="216"/>
      <c r="BV411" s="5"/>
      <c r="BW411" s="5"/>
      <c r="BX411" s="5"/>
      <c r="BY411" s="5"/>
      <c r="BZ411" s="5"/>
      <c r="CA411" s="5"/>
      <c r="CI411" s="216"/>
      <c r="CJ411"/>
      <c r="CL411" s="5"/>
      <c r="CM411" s="730"/>
      <c r="CN411" s="5"/>
    </row>
    <row r="412" spans="65:92" x14ac:dyDescent="0.25">
      <c r="BM412" s="5"/>
      <c r="BQ412" s="216"/>
      <c r="BV412" s="5"/>
      <c r="BW412" s="5"/>
      <c r="BX412" s="5"/>
      <c r="BY412" s="5"/>
      <c r="BZ412" s="5"/>
      <c r="CA412" s="5"/>
      <c r="CI412" s="216"/>
      <c r="CJ412"/>
      <c r="CL412" s="5"/>
      <c r="CM412" s="730"/>
      <c r="CN412" s="5"/>
    </row>
    <row r="413" spans="65:92" x14ac:dyDescent="0.25">
      <c r="BM413" s="5"/>
      <c r="BQ413" s="216"/>
      <c r="BV413" s="5"/>
      <c r="BW413" s="5"/>
      <c r="BX413" s="5"/>
      <c r="BY413" s="5"/>
      <c r="BZ413" s="5"/>
      <c r="CA413" s="5"/>
      <c r="CI413" s="216"/>
      <c r="CJ413"/>
      <c r="CL413" s="5"/>
      <c r="CM413" s="730"/>
      <c r="CN413" s="5"/>
    </row>
    <row r="414" spans="65:92" x14ac:dyDescent="0.25">
      <c r="BM414" s="5"/>
      <c r="BQ414" s="216"/>
      <c r="BV414" s="5"/>
      <c r="BW414" s="5"/>
      <c r="BX414" s="5"/>
      <c r="BY414" s="5"/>
      <c r="BZ414" s="5"/>
      <c r="CA414" s="5"/>
      <c r="CI414" s="216"/>
      <c r="CJ414"/>
      <c r="CL414" s="5"/>
      <c r="CM414" s="730"/>
      <c r="CN414" s="5"/>
    </row>
    <row r="415" spans="65:92" x14ac:dyDescent="0.25">
      <c r="BM415" s="5"/>
      <c r="BQ415" s="216"/>
      <c r="BV415" s="5"/>
      <c r="BW415" s="5"/>
      <c r="BX415" s="5"/>
      <c r="BY415" s="5"/>
      <c r="BZ415" s="5"/>
      <c r="CA415" s="5"/>
      <c r="CI415" s="216"/>
      <c r="CJ415"/>
      <c r="CL415" s="5"/>
      <c r="CM415" s="730"/>
      <c r="CN415" s="5"/>
    </row>
    <row r="416" spans="65:92" x14ac:dyDescent="0.25">
      <c r="BM416" s="5"/>
      <c r="BQ416" s="216"/>
      <c r="BV416" s="5"/>
      <c r="BW416" s="5"/>
      <c r="BX416" s="5"/>
      <c r="BY416" s="5"/>
      <c r="BZ416" s="5"/>
      <c r="CA416" s="5"/>
      <c r="CI416" s="216"/>
      <c r="CJ416"/>
      <c r="CL416" s="5"/>
      <c r="CM416" s="730"/>
      <c r="CN416" s="5"/>
    </row>
    <row r="417" spans="65:92" x14ac:dyDescent="0.25">
      <c r="BM417" s="5"/>
      <c r="BQ417" s="216"/>
      <c r="BV417" s="5"/>
      <c r="BW417" s="5"/>
      <c r="BX417" s="5"/>
      <c r="BY417" s="5"/>
      <c r="BZ417" s="5"/>
      <c r="CA417" s="5"/>
      <c r="CI417" s="216"/>
      <c r="CJ417"/>
      <c r="CL417" s="5"/>
      <c r="CM417" s="730"/>
      <c r="CN417" s="5"/>
    </row>
    <row r="418" spans="65:92" x14ac:dyDescent="0.25">
      <c r="BM418" s="5"/>
      <c r="BQ418" s="216"/>
      <c r="BV418" s="5"/>
      <c r="BW418" s="5"/>
      <c r="BX418" s="5"/>
      <c r="BY418" s="5"/>
      <c r="BZ418" s="5"/>
      <c r="CA418" s="5"/>
      <c r="CI418" s="216"/>
      <c r="CJ418"/>
      <c r="CL418" s="5"/>
      <c r="CM418" s="730"/>
      <c r="CN418" s="5"/>
    </row>
    <row r="419" spans="65:92" x14ac:dyDescent="0.25">
      <c r="BM419" s="5"/>
      <c r="BQ419" s="216"/>
      <c r="BV419" s="5"/>
      <c r="BW419" s="5"/>
      <c r="BX419" s="5"/>
      <c r="BY419" s="5"/>
      <c r="BZ419" s="5"/>
      <c r="CA419" s="5"/>
      <c r="CI419" s="216"/>
      <c r="CJ419"/>
      <c r="CL419" s="5"/>
      <c r="CM419" s="730"/>
      <c r="CN419" s="5"/>
    </row>
    <row r="420" spans="65:92" x14ac:dyDescent="0.25">
      <c r="BM420" s="5"/>
      <c r="BQ420" s="216"/>
      <c r="BV420" s="5"/>
      <c r="BW420" s="5"/>
      <c r="BX420" s="5"/>
      <c r="BY420" s="5"/>
      <c r="BZ420" s="5"/>
      <c r="CA420" s="5"/>
      <c r="CI420" s="216"/>
      <c r="CJ420"/>
      <c r="CL420" s="5"/>
      <c r="CM420" s="730"/>
      <c r="CN420" s="5"/>
    </row>
    <row r="421" spans="65:92" x14ac:dyDescent="0.25">
      <c r="BM421" s="5"/>
      <c r="BQ421" s="216"/>
      <c r="BV421" s="5"/>
      <c r="BW421" s="5"/>
      <c r="BX421" s="5"/>
      <c r="BY421" s="5"/>
      <c r="BZ421" s="5"/>
      <c r="CA421" s="5"/>
      <c r="CI421" s="216"/>
      <c r="CJ421"/>
      <c r="CL421" s="5"/>
      <c r="CM421" s="730"/>
      <c r="CN421" s="5"/>
    </row>
    <row r="422" spans="65:92" x14ac:dyDescent="0.25">
      <c r="BM422" s="5"/>
      <c r="BQ422" s="216"/>
      <c r="BV422" s="5"/>
      <c r="BW422" s="5"/>
      <c r="BX422" s="5"/>
      <c r="BY422" s="5"/>
      <c r="BZ422" s="5"/>
      <c r="CA422" s="5"/>
      <c r="CI422" s="216"/>
      <c r="CJ422"/>
      <c r="CL422" s="5"/>
      <c r="CM422" s="730"/>
      <c r="CN422" s="5"/>
    </row>
    <row r="423" spans="65:92" x14ac:dyDescent="0.25">
      <c r="BM423" s="5"/>
      <c r="BQ423" s="216"/>
      <c r="BV423" s="5"/>
      <c r="BW423" s="5"/>
      <c r="BX423" s="5"/>
      <c r="BY423" s="5"/>
      <c r="BZ423" s="5"/>
      <c r="CA423" s="5"/>
      <c r="CI423" s="216"/>
      <c r="CJ423"/>
      <c r="CL423" s="5"/>
      <c r="CM423" s="730"/>
      <c r="CN423" s="5"/>
    </row>
    <row r="424" spans="65:92" x14ac:dyDescent="0.25">
      <c r="BM424" s="5"/>
      <c r="BQ424" s="216"/>
      <c r="BV424" s="5"/>
      <c r="BW424" s="5"/>
      <c r="BX424" s="5"/>
      <c r="BY424" s="5"/>
      <c r="BZ424" s="5"/>
      <c r="CA424" s="5"/>
      <c r="CI424" s="216"/>
      <c r="CJ424"/>
      <c r="CL424" s="5"/>
      <c r="CM424" s="730"/>
      <c r="CN424" s="5"/>
    </row>
    <row r="425" spans="65:92" x14ac:dyDescent="0.25">
      <c r="BM425" s="5"/>
      <c r="BQ425" s="216"/>
      <c r="BV425" s="5"/>
      <c r="BW425" s="5"/>
      <c r="BX425" s="5"/>
      <c r="BY425" s="5"/>
      <c r="BZ425" s="5"/>
      <c r="CA425" s="5"/>
      <c r="CI425" s="216"/>
      <c r="CJ425"/>
      <c r="CL425" s="5"/>
      <c r="CM425" s="730"/>
      <c r="CN425" s="5"/>
    </row>
    <row r="426" spans="65:92" x14ac:dyDescent="0.25">
      <c r="BM426" s="5"/>
      <c r="BQ426" s="216"/>
      <c r="BV426" s="5"/>
      <c r="BW426" s="5"/>
      <c r="BX426" s="5"/>
      <c r="BY426" s="5"/>
      <c r="BZ426" s="5"/>
      <c r="CA426" s="5"/>
      <c r="CI426" s="216"/>
      <c r="CJ426"/>
      <c r="CL426" s="5"/>
      <c r="CM426" s="730"/>
      <c r="CN426" s="5"/>
    </row>
    <row r="427" spans="65:92" x14ac:dyDescent="0.25">
      <c r="BM427" s="5"/>
      <c r="BQ427" s="216"/>
      <c r="BV427" s="5"/>
      <c r="BW427" s="5"/>
      <c r="BX427" s="5"/>
      <c r="BY427" s="5"/>
      <c r="BZ427" s="5"/>
      <c r="CA427" s="5"/>
      <c r="CI427" s="216"/>
      <c r="CJ427"/>
      <c r="CL427" s="5"/>
      <c r="CM427" s="730"/>
      <c r="CN427" s="5"/>
    </row>
    <row r="428" spans="65:92" x14ac:dyDescent="0.25">
      <c r="BM428" s="5"/>
      <c r="BQ428" s="216"/>
      <c r="BV428" s="5"/>
      <c r="BW428" s="5"/>
      <c r="BX428" s="5"/>
      <c r="BY428" s="5"/>
      <c r="BZ428" s="5"/>
      <c r="CA428" s="5"/>
      <c r="CI428" s="216"/>
      <c r="CJ428"/>
      <c r="CL428" s="5"/>
      <c r="CM428" s="730"/>
      <c r="CN428" s="5"/>
    </row>
    <row r="429" spans="65:92" x14ac:dyDescent="0.25">
      <c r="BM429" s="5"/>
      <c r="BQ429" s="216"/>
      <c r="BV429" s="5"/>
      <c r="BW429" s="5"/>
      <c r="BX429" s="5"/>
      <c r="BY429" s="5"/>
      <c r="BZ429" s="5"/>
      <c r="CA429" s="5"/>
      <c r="CI429" s="216"/>
      <c r="CJ429"/>
      <c r="CL429" s="5"/>
      <c r="CM429" s="730"/>
      <c r="CN429" s="5"/>
    </row>
    <row r="430" spans="65:92" x14ac:dyDescent="0.25">
      <c r="BM430" s="5"/>
      <c r="BQ430" s="216"/>
      <c r="BV430" s="5"/>
      <c r="BW430" s="5"/>
      <c r="BX430" s="5"/>
      <c r="BY430" s="5"/>
      <c r="BZ430" s="5"/>
      <c r="CA430" s="5"/>
      <c r="CI430" s="216"/>
      <c r="CJ430"/>
      <c r="CL430" s="5"/>
      <c r="CM430" s="730"/>
      <c r="CN430" s="5"/>
    </row>
    <row r="431" spans="65:92" x14ac:dyDescent="0.25">
      <c r="BM431" s="5"/>
      <c r="BQ431" s="216"/>
      <c r="BV431" s="5"/>
      <c r="BW431" s="5"/>
      <c r="BX431" s="5"/>
      <c r="BY431" s="5"/>
      <c r="BZ431" s="5"/>
      <c r="CA431" s="5"/>
      <c r="CI431" s="216"/>
      <c r="CJ431"/>
      <c r="CL431" s="5"/>
      <c r="CM431" s="730"/>
      <c r="CN431" s="5"/>
    </row>
    <row r="432" spans="65:92" x14ac:dyDescent="0.25">
      <c r="BM432" s="5"/>
      <c r="BQ432" s="216"/>
      <c r="BV432" s="5"/>
      <c r="BW432" s="5"/>
      <c r="BX432" s="5"/>
      <c r="BY432" s="5"/>
      <c r="BZ432" s="5"/>
      <c r="CA432" s="5"/>
      <c r="CI432" s="216"/>
      <c r="CJ432"/>
      <c r="CL432" s="5"/>
      <c r="CM432" s="730"/>
      <c r="CN432" s="5"/>
    </row>
    <row r="433" spans="65:92" x14ac:dyDescent="0.25">
      <c r="BM433" s="5"/>
      <c r="BQ433" s="216"/>
      <c r="BV433" s="5"/>
      <c r="BW433" s="5"/>
      <c r="BX433" s="5"/>
      <c r="BY433" s="5"/>
      <c r="BZ433" s="5"/>
      <c r="CA433" s="5"/>
      <c r="CI433" s="216"/>
      <c r="CJ433"/>
      <c r="CL433" s="5"/>
      <c r="CM433" s="730"/>
      <c r="CN433" s="5"/>
    </row>
    <row r="434" spans="65:92" x14ac:dyDescent="0.25">
      <c r="BM434" s="5"/>
      <c r="BQ434" s="216"/>
      <c r="BV434" s="5"/>
      <c r="BW434" s="5"/>
      <c r="BX434" s="5"/>
      <c r="BY434" s="5"/>
      <c r="BZ434" s="5"/>
      <c r="CA434" s="5"/>
      <c r="CI434" s="216"/>
      <c r="CJ434"/>
      <c r="CL434" s="5"/>
      <c r="CM434" s="730"/>
      <c r="CN434" s="5"/>
    </row>
    <row r="435" spans="65:92" x14ac:dyDescent="0.25">
      <c r="BM435" s="5"/>
      <c r="BQ435" s="216"/>
      <c r="BV435" s="5"/>
      <c r="BW435" s="5"/>
      <c r="BX435" s="5"/>
      <c r="BY435" s="5"/>
      <c r="BZ435" s="5"/>
      <c r="CA435" s="5"/>
      <c r="CI435" s="216"/>
      <c r="CJ435"/>
      <c r="CL435" s="5"/>
      <c r="CM435" s="730"/>
      <c r="CN435" s="5"/>
    </row>
    <row r="436" spans="65:92" x14ac:dyDescent="0.25">
      <c r="BM436" s="5"/>
      <c r="BQ436" s="216"/>
      <c r="BV436" s="5"/>
      <c r="BW436" s="5"/>
      <c r="BX436" s="5"/>
      <c r="BY436" s="5"/>
      <c r="BZ436" s="5"/>
      <c r="CA436" s="5"/>
      <c r="CI436" s="216"/>
      <c r="CJ436"/>
      <c r="CL436" s="5"/>
      <c r="CM436" s="730"/>
      <c r="CN436" s="5"/>
    </row>
    <row r="437" spans="65:92" x14ac:dyDescent="0.25">
      <c r="BM437" s="5"/>
      <c r="BQ437" s="216"/>
      <c r="BV437" s="5"/>
      <c r="BW437" s="5"/>
      <c r="BX437" s="5"/>
      <c r="BY437" s="5"/>
      <c r="BZ437" s="5"/>
      <c r="CA437" s="5"/>
      <c r="CI437" s="216"/>
      <c r="CJ437"/>
      <c r="CL437" s="5"/>
      <c r="CM437" s="730"/>
      <c r="CN437" s="5"/>
    </row>
    <row r="438" spans="65:92" x14ac:dyDescent="0.25">
      <c r="BM438" s="5"/>
      <c r="BQ438" s="216"/>
      <c r="BV438" s="5"/>
      <c r="BW438" s="5"/>
      <c r="BX438" s="5"/>
      <c r="BY438" s="5"/>
      <c r="BZ438" s="5"/>
      <c r="CA438" s="5"/>
      <c r="CI438" s="216"/>
      <c r="CJ438"/>
      <c r="CL438" s="5"/>
      <c r="CM438" s="730"/>
      <c r="CN438" s="5"/>
    </row>
    <row r="439" spans="65:92" x14ac:dyDescent="0.25">
      <c r="BM439" s="5"/>
      <c r="BQ439" s="216"/>
      <c r="BV439" s="5"/>
      <c r="BW439" s="5"/>
      <c r="BX439" s="5"/>
      <c r="BY439" s="5"/>
      <c r="BZ439" s="5"/>
      <c r="CA439" s="5"/>
      <c r="CI439" s="216"/>
      <c r="CJ439"/>
      <c r="CL439" s="5"/>
      <c r="CM439" s="730"/>
      <c r="CN439" s="5"/>
    </row>
    <row r="440" spans="65:92" x14ac:dyDescent="0.25">
      <c r="BM440" s="5"/>
      <c r="BQ440" s="216"/>
      <c r="BV440" s="5"/>
      <c r="BW440" s="5"/>
      <c r="BX440" s="5"/>
      <c r="BY440" s="5"/>
      <c r="BZ440" s="5"/>
      <c r="CA440" s="5"/>
      <c r="CM440" s="732"/>
      <c r="CN440" s="5"/>
    </row>
    <row r="441" spans="65:92" x14ac:dyDescent="0.25">
      <c r="BM441" s="5"/>
      <c r="BQ441" s="216"/>
      <c r="BV441" s="5"/>
      <c r="BW441" s="5"/>
      <c r="BX441" s="5"/>
      <c r="BY441" s="5"/>
      <c r="BZ441" s="5"/>
      <c r="CA441" s="5"/>
      <c r="CM441" s="732"/>
      <c r="CN441" s="5"/>
    </row>
    <row r="442" spans="65:92" x14ac:dyDescent="0.25">
      <c r="BM442" s="5"/>
      <c r="BQ442" s="216"/>
      <c r="BV442" s="5"/>
      <c r="BW442" s="5"/>
      <c r="BX442" s="5"/>
      <c r="BY442" s="5"/>
      <c r="BZ442" s="5"/>
      <c r="CA442" s="5"/>
      <c r="CM442" s="732"/>
      <c r="CN442" s="5"/>
    </row>
    <row r="443" spans="65:92" x14ac:dyDescent="0.25">
      <c r="BM443" s="5"/>
      <c r="BQ443" s="216"/>
      <c r="BV443" s="5"/>
      <c r="BW443" s="5"/>
      <c r="BX443" s="5"/>
      <c r="BY443" s="5"/>
      <c r="BZ443" s="5"/>
      <c r="CA443" s="5"/>
      <c r="CN443" s="5"/>
    </row>
    <row r="444" spans="65:92" x14ac:dyDescent="0.25">
      <c r="BM444" s="5"/>
      <c r="BQ444" s="216"/>
      <c r="BV444" s="5"/>
      <c r="BW444" s="5"/>
      <c r="BX444" s="5"/>
      <c r="BY444" s="5"/>
      <c r="BZ444" s="5"/>
      <c r="CA444" s="5"/>
      <c r="CN444" s="5"/>
    </row>
    <row r="445" spans="65:92" x14ac:dyDescent="0.25">
      <c r="BM445" s="5"/>
      <c r="BQ445" s="216"/>
      <c r="BV445" s="5"/>
      <c r="BW445" s="5"/>
      <c r="BX445" s="5"/>
      <c r="BY445" s="5"/>
      <c r="BZ445" s="5"/>
      <c r="CA445" s="5"/>
      <c r="CN445" s="5"/>
    </row>
    <row r="446" spans="65:92" x14ac:dyDescent="0.25">
      <c r="BM446" s="5"/>
      <c r="BQ446" s="216"/>
      <c r="BV446" s="5"/>
      <c r="BW446" s="5"/>
      <c r="BX446" s="5"/>
      <c r="BY446" s="5"/>
      <c r="BZ446" s="5"/>
      <c r="CA446" s="5"/>
      <c r="CN446" s="5"/>
    </row>
    <row r="447" spans="65:92" x14ac:dyDescent="0.25">
      <c r="BM447" s="5"/>
      <c r="BQ447" s="216"/>
      <c r="BV447" s="5"/>
      <c r="BW447" s="5"/>
      <c r="BX447" s="5"/>
      <c r="BY447" s="5"/>
      <c r="BZ447" s="5"/>
      <c r="CA447" s="5"/>
      <c r="CN447" s="5"/>
    </row>
    <row r="448" spans="65:92" x14ac:dyDescent="0.25">
      <c r="BM448" s="5"/>
      <c r="BQ448" s="216"/>
      <c r="BV448" s="5"/>
      <c r="BW448" s="5"/>
      <c r="BX448" s="5"/>
      <c r="BY448" s="5"/>
      <c r="BZ448" s="5"/>
      <c r="CA448" s="5"/>
      <c r="CN448" s="5"/>
    </row>
    <row r="449" spans="65:92" x14ac:dyDescent="0.25">
      <c r="BM449" s="5"/>
      <c r="BQ449" s="216"/>
      <c r="BV449" s="5"/>
      <c r="BW449" s="5"/>
      <c r="BX449" s="5"/>
      <c r="BY449" s="5"/>
      <c r="BZ449" s="5"/>
      <c r="CA449" s="5"/>
      <c r="CN449" s="5"/>
    </row>
    <row r="450" spans="65:92" x14ac:dyDescent="0.25">
      <c r="BM450" s="5"/>
      <c r="BQ450" s="216"/>
      <c r="BV450" s="5"/>
      <c r="BW450" s="5"/>
      <c r="BX450" s="5"/>
      <c r="BY450" s="5"/>
      <c r="BZ450" s="5"/>
      <c r="CA450" s="5"/>
      <c r="CN450" s="5"/>
    </row>
    <row r="451" spans="65:92" x14ac:dyDescent="0.25">
      <c r="BM451" s="5"/>
      <c r="BQ451" s="216"/>
      <c r="BV451" s="5"/>
      <c r="BW451" s="5"/>
      <c r="BX451" s="5"/>
      <c r="BY451" s="5"/>
      <c r="BZ451" s="5"/>
      <c r="CA451" s="5"/>
      <c r="CN451" s="5"/>
    </row>
    <row r="452" spans="65:92" x14ac:dyDescent="0.25">
      <c r="BM452" s="5"/>
      <c r="BQ452" s="216"/>
      <c r="BV452" s="5"/>
      <c r="BW452" s="5"/>
      <c r="BX452" s="5"/>
      <c r="BY452" s="5"/>
      <c r="BZ452" s="5"/>
      <c r="CA452" s="5"/>
      <c r="CN452" s="5"/>
    </row>
    <row r="453" spans="65:92" x14ac:dyDescent="0.25">
      <c r="BM453" s="5"/>
      <c r="BQ453" s="216"/>
      <c r="BV453" s="5"/>
      <c r="BW453" s="5"/>
      <c r="BX453" s="5"/>
      <c r="BY453" s="5"/>
      <c r="BZ453" s="5"/>
      <c r="CA453" s="5"/>
      <c r="CN453" s="5"/>
    </row>
    <row r="454" spans="65:92" x14ac:dyDescent="0.25">
      <c r="BM454" s="5"/>
      <c r="BQ454" s="216"/>
      <c r="BV454" s="5"/>
      <c r="BW454" s="5"/>
      <c r="BX454" s="5"/>
      <c r="BY454" s="5"/>
      <c r="BZ454" s="5"/>
      <c r="CA454" s="5"/>
      <c r="CN454" s="5"/>
    </row>
    <row r="455" spans="65:92" x14ac:dyDescent="0.25">
      <c r="BM455" s="5"/>
      <c r="BQ455" s="216"/>
      <c r="BV455" s="5"/>
      <c r="BW455" s="5"/>
      <c r="BX455" s="5"/>
      <c r="BY455" s="5"/>
      <c r="BZ455" s="5"/>
      <c r="CA455" s="5"/>
      <c r="CN455" s="5"/>
    </row>
    <row r="456" spans="65:92" x14ac:dyDescent="0.25">
      <c r="BM456" s="5"/>
      <c r="BQ456" s="216"/>
      <c r="BV456" s="5"/>
      <c r="BW456" s="5"/>
      <c r="BX456" s="5"/>
      <c r="BY456" s="5"/>
      <c r="BZ456" s="5"/>
      <c r="CA456" s="5"/>
      <c r="CN456" s="5"/>
    </row>
    <row r="457" spans="65:92" x14ac:dyDescent="0.25">
      <c r="BM457" s="5"/>
      <c r="BQ457" s="216"/>
      <c r="BV457" s="5"/>
      <c r="BW457" s="5"/>
      <c r="BX457" s="5"/>
      <c r="BY457" s="5"/>
      <c r="BZ457" s="5"/>
      <c r="CA457" s="5"/>
      <c r="CN457" s="5"/>
    </row>
    <row r="458" spans="65:92" x14ac:dyDescent="0.25">
      <c r="BM458" s="5"/>
      <c r="BQ458" s="216"/>
      <c r="BV458" s="5"/>
      <c r="BW458" s="5"/>
      <c r="BX458" s="5"/>
      <c r="BY458" s="5"/>
      <c r="BZ458" s="5"/>
      <c r="CA458" s="5"/>
    </row>
    <row r="459" spans="65:92" x14ac:dyDescent="0.25">
      <c r="BM459" s="5"/>
      <c r="BQ459" s="216"/>
      <c r="BV459" s="5"/>
      <c r="BW459" s="5"/>
      <c r="BX459" s="5"/>
      <c r="BY459" s="5"/>
      <c r="BZ459" s="5"/>
      <c r="CA459" s="5"/>
    </row>
    <row r="460" spans="65:92" x14ac:dyDescent="0.25">
      <c r="BM460" s="5"/>
      <c r="BQ460" s="216"/>
      <c r="BV460" s="5"/>
      <c r="BW460" s="5"/>
      <c r="BX460" s="5"/>
      <c r="BY460" s="5"/>
      <c r="BZ460" s="5"/>
      <c r="CA460" s="5"/>
    </row>
    <row r="461" spans="65:92" x14ac:dyDescent="0.25">
      <c r="BM461" s="5"/>
      <c r="BQ461" s="216"/>
      <c r="BV461" s="5"/>
      <c r="BW461" s="5"/>
      <c r="BX461" s="5"/>
      <c r="BY461" s="5"/>
      <c r="BZ461" s="5"/>
      <c r="CA461" s="5"/>
    </row>
    <row r="462" spans="65:92" x14ac:dyDescent="0.25">
      <c r="BM462" s="5"/>
      <c r="BQ462" s="216"/>
      <c r="BV462" s="5"/>
      <c r="BW462" s="5"/>
      <c r="BX462" s="5"/>
      <c r="BY462" s="5"/>
      <c r="BZ462" s="5"/>
      <c r="CA462" s="5"/>
    </row>
    <row r="463" spans="65:92" x14ac:dyDescent="0.25">
      <c r="BM463" s="5"/>
      <c r="BQ463" s="216"/>
      <c r="BV463" s="5"/>
      <c r="BW463" s="5"/>
      <c r="BX463" s="5"/>
      <c r="BY463" s="5"/>
      <c r="BZ463" s="5"/>
      <c r="CA463" s="5"/>
    </row>
    <row r="464" spans="65:92" x14ac:dyDescent="0.25">
      <c r="BM464" s="5"/>
      <c r="BQ464" s="216"/>
      <c r="BV464" s="5"/>
      <c r="BW464" s="5"/>
      <c r="BX464" s="5"/>
      <c r="BY464" s="5"/>
      <c r="BZ464" s="5"/>
      <c r="CA464" s="5"/>
    </row>
    <row r="465" spans="65:79" x14ac:dyDescent="0.25">
      <c r="BM465" s="5"/>
      <c r="BQ465" s="216"/>
      <c r="BV465" s="5"/>
      <c r="BW465" s="5"/>
      <c r="BX465" s="5"/>
      <c r="BY465" s="5"/>
      <c r="BZ465" s="5"/>
      <c r="CA465" s="5"/>
    </row>
    <row r="466" spans="65:79" x14ac:dyDescent="0.25">
      <c r="BM466" s="5"/>
      <c r="BQ466" s="216"/>
      <c r="BV466" s="5"/>
      <c r="BW466" s="5"/>
      <c r="BX466" s="5"/>
      <c r="BY466" s="5"/>
      <c r="BZ466" s="5"/>
      <c r="CA466" s="5"/>
    </row>
    <row r="467" spans="65:79" x14ac:dyDescent="0.25">
      <c r="BM467" s="5"/>
      <c r="BQ467" s="216"/>
      <c r="BV467" s="5"/>
      <c r="BW467" s="5"/>
      <c r="BX467" s="5"/>
      <c r="BY467" s="5"/>
      <c r="BZ467" s="5"/>
      <c r="CA467" s="5"/>
    </row>
    <row r="468" spans="65:79" x14ac:dyDescent="0.25">
      <c r="BM468" s="5"/>
      <c r="BQ468" s="216"/>
      <c r="BV468" s="5"/>
      <c r="BW468" s="5"/>
      <c r="BX468" s="5"/>
      <c r="BY468" s="5"/>
      <c r="BZ468" s="5"/>
      <c r="CA468" s="5"/>
    </row>
    <row r="469" spans="65:79" x14ac:dyDescent="0.25">
      <c r="BM469" s="5"/>
      <c r="BQ469" s="216"/>
      <c r="BV469" s="5"/>
      <c r="BW469" s="5"/>
      <c r="BX469" s="5"/>
      <c r="BY469" s="5"/>
      <c r="BZ469" s="5"/>
      <c r="CA469" s="5"/>
    </row>
    <row r="470" spans="65:79" x14ac:dyDescent="0.25">
      <c r="BM470" s="5"/>
      <c r="BQ470" s="216"/>
      <c r="BV470" s="5"/>
      <c r="BW470" s="5"/>
      <c r="BX470" s="5"/>
      <c r="BY470" s="5"/>
      <c r="BZ470" s="5"/>
      <c r="CA470" s="5"/>
    </row>
    <row r="471" spans="65:79" x14ac:dyDescent="0.25">
      <c r="BM471" s="5"/>
      <c r="BQ471" s="216"/>
      <c r="BV471" s="5"/>
      <c r="BW471" s="5"/>
      <c r="BX471" s="5"/>
      <c r="BY471" s="5"/>
      <c r="BZ471" s="5"/>
      <c r="CA471" s="5"/>
    </row>
    <row r="472" spans="65:79" x14ac:dyDescent="0.25">
      <c r="BM472" s="5"/>
      <c r="BQ472" s="216"/>
      <c r="BV472" s="5"/>
      <c r="BW472" s="5"/>
      <c r="BX472" s="5"/>
      <c r="BY472" s="5"/>
      <c r="BZ472" s="5"/>
      <c r="CA472" s="5"/>
    </row>
    <row r="473" spans="65:79" x14ac:dyDescent="0.25">
      <c r="BM473" s="5"/>
      <c r="BQ473" s="216"/>
      <c r="BV473" s="5"/>
      <c r="BW473" s="5"/>
      <c r="BX473" s="5"/>
      <c r="BY473" s="5"/>
      <c r="BZ473" s="5"/>
      <c r="CA473" s="5"/>
    </row>
    <row r="474" spans="65:79" x14ac:dyDescent="0.25">
      <c r="BM474" s="5"/>
      <c r="BQ474" s="216"/>
      <c r="BV474" s="5"/>
      <c r="BW474" s="5"/>
      <c r="BX474" s="5"/>
      <c r="BY474" s="5"/>
      <c r="BZ474" s="5"/>
      <c r="CA474" s="5"/>
    </row>
    <row r="475" spans="65:79" x14ac:dyDescent="0.25">
      <c r="BM475" s="5"/>
      <c r="BQ475" s="216"/>
      <c r="BV475" s="5"/>
      <c r="BW475" s="5"/>
      <c r="BX475" s="5"/>
      <c r="BY475" s="5"/>
      <c r="BZ475" s="5"/>
      <c r="CA475" s="5"/>
    </row>
    <row r="476" spans="65:79" x14ac:dyDescent="0.25">
      <c r="BM476" s="5"/>
      <c r="BQ476" s="216"/>
      <c r="BV476" s="5"/>
      <c r="BW476" s="5"/>
      <c r="BX476" s="5"/>
      <c r="BY476" s="5"/>
      <c r="BZ476" s="5"/>
      <c r="CA476" s="5"/>
    </row>
    <row r="477" spans="65:79" x14ac:dyDescent="0.25">
      <c r="BM477" s="5"/>
      <c r="BQ477" s="216"/>
      <c r="BV477" s="5"/>
      <c r="BW477" s="5"/>
      <c r="BX477" s="5"/>
      <c r="BY477" s="5"/>
      <c r="BZ477" s="5"/>
      <c r="CA477" s="5"/>
    </row>
    <row r="478" spans="65:79" x14ac:dyDescent="0.25">
      <c r="BM478" s="5"/>
      <c r="BQ478" s="216"/>
      <c r="BV478" s="5"/>
      <c r="BW478" s="5"/>
      <c r="BX478" s="5"/>
      <c r="BY478" s="5"/>
      <c r="BZ478" s="5"/>
      <c r="CA478" s="5"/>
    </row>
    <row r="479" spans="65:79" x14ac:dyDescent="0.25">
      <c r="BM479" s="5"/>
      <c r="BQ479" s="216"/>
      <c r="BV479" s="5"/>
      <c r="BW479" s="5"/>
      <c r="BX479" s="5"/>
      <c r="BY479" s="5"/>
      <c r="BZ479" s="5"/>
      <c r="CA479" s="5"/>
    </row>
    <row r="480" spans="65:79" x14ac:dyDescent="0.25">
      <c r="BM480" s="5"/>
      <c r="BQ480" s="216"/>
      <c r="BV480" s="5"/>
      <c r="BW480" s="5"/>
      <c r="BX480" s="5"/>
      <c r="BY480" s="5"/>
      <c r="BZ480" s="5"/>
      <c r="CA480" s="5"/>
    </row>
    <row r="481" spans="65:79" x14ac:dyDescent="0.25">
      <c r="BM481" s="5"/>
      <c r="BQ481" s="216"/>
      <c r="BV481" s="5"/>
      <c r="BW481" s="5"/>
      <c r="BX481" s="5"/>
      <c r="BY481" s="5"/>
      <c r="BZ481" s="5"/>
      <c r="CA481" s="5"/>
    </row>
    <row r="482" spans="65:79" x14ac:dyDescent="0.25">
      <c r="BM482" s="5"/>
      <c r="BQ482" s="216"/>
      <c r="BV482" s="5"/>
      <c r="BW482" s="5"/>
      <c r="BX482" s="5"/>
      <c r="BY482" s="5"/>
      <c r="BZ482" s="5"/>
      <c r="CA482" s="5"/>
    </row>
    <row r="483" spans="65:79" x14ac:dyDescent="0.25">
      <c r="BM483" s="5"/>
      <c r="BQ483" s="216"/>
      <c r="BV483" s="5"/>
      <c r="BW483" s="5"/>
      <c r="BX483" s="5"/>
      <c r="BY483" s="5"/>
      <c r="BZ483" s="5"/>
      <c r="CA483" s="5"/>
    </row>
    <row r="484" spans="65:79" x14ac:dyDescent="0.25">
      <c r="BM484" s="5"/>
      <c r="BQ484" s="216"/>
      <c r="BV484" s="5"/>
      <c r="BW484" s="5"/>
      <c r="BX484" s="5"/>
      <c r="BY484" s="5"/>
      <c r="BZ484" s="5"/>
      <c r="CA484" s="5"/>
    </row>
    <row r="485" spans="65:79" x14ac:dyDescent="0.25">
      <c r="BM485" s="5"/>
      <c r="BQ485" s="216"/>
      <c r="BV485" s="5"/>
      <c r="BW485" s="5"/>
      <c r="BX485" s="5"/>
      <c r="BY485" s="5"/>
      <c r="BZ485" s="5"/>
      <c r="CA485" s="5"/>
    </row>
  </sheetData>
  <mergeCells count="75">
    <mergeCell ref="AU1:BL1"/>
    <mergeCell ref="BM1:BP1"/>
    <mergeCell ref="BE2:BE3"/>
    <mergeCell ref="BX2:BX3"/>
    <mergeCell ref="BK2:BK3"/>
    <mergeCell ref="BL2:BL3"/>
    <mergeCell ref="BM2:BM3"/>
    <mergeCell ref="BN2:BN3"/>
    <mergeCell ref="BO2:BO3"/>
    <mergeCell ref="BP2:BP3"/>
    <mergeCell ref="BQ2:BQ3"/>
    <mergeCell ref="BR2:BR3"/>
    <mergeCell ref="BT2:BT3"/>
    <mergeCell ref="BV2:BV3"/>
    <mergeCell ref="BS2:BS3"/>
    <mergeCell ref="BU2:BU3"/>
    <mergeCell ref="CI1:CN1"/>
    <mergeCell ref="A2:A3"/>
    <mergeCell ref="C2:C3"/>
    <mergeCell ref="D2:D3"/>
    <mergeCell ref="E2:E3"/>
    <mergeCell ref="F2:F3"/>
    <mergeCell ref="B2:B3"/>
    <mergeCell ref="N2:N3"/>
    <mergeCell ref="A1:P1"/>
    <mergeCell ref="Q1:AT1"/>
    <mergeCell ref="G2:G3"/>
    <mergeCell ref="H2:J2"/>
    <mergeCell ref="K2:K3"/>
    <mergeCell ref="L2:L3"/>
    <mergeCell ref="M2:M3"/>
    <mergeCell ref="AR2:AT2"/>
    <mergeCell ref="O2:O3"/>
    <mergeCell ref="P2:P3"/>
    <mergeCell ref="Q2:S2"/>
    <mergeCell ref="T2:V2"/>
    <mergeCell ref="W2:Y2"/>
    <mergeCell ref="Z2:AB2"/>
    <mergeCell ref="AC2:AE2"/>
    <mergeCell ref="AF2:AH2"/>
    <mergeCell ref="AI2:AK2"/>
    <mergeCell ref="AL2:AN2"/>
    <mergeCell ref="AO2:AQ2"/>
    <mergeCell ref="BJ2:BJ3"/>
    <mergeCell ref="AU2:AU3"/>
    <mergeCell ref="AV2:AV3"/>
    <mergeCell ref="AW2:AW3"/>
    <mergeCell ref="AX2:AX3"/>
    <mergeCell ref="AY2:AY3"/>
    <mergeCell ref="AZ2:AZ3"/>
    <mergeCell ref="BA2:BA3"/>
    <mergeCell ref="BF2:BF3"/>
    <mergeCell ref="BG2:BG3"/>
    <mergeCell ref="BH2:BH3"/>
    <mergeCell ref="BI2:BI3"/>
    <mergeCell ref="BD2:BD3"/>
    <mergeCell ref="BB2:BB3"/>
    <mergeCell ref="BC2:BC3"/>
    <mergeCell ref="BW2:BW3"/>
    <mergeCell ref="CM2:CM3"/>
    <mergeCell ref="BY2:BY3"/>
    <mergeCell ref="CA2:CA3"/>
    <mergeCell ref="CC2:CC3"/>
    <mergeCell ref="CN2:CN3"/>
    <mergeCell ref="BZ2:BZ3"/>
    <mergeCell ref="CB2:CB3"/>
    <mergeCell ref="CI2:CI3"/>
    <mergeCell ref="CJ2:CJ3"/>
    <mergeCell ref="CK2:CK3"/>
    <mergeCell ref="CL2:CL3"/>
    <mergeCell ref="CD2:CD3"/>
    <mergeCell ref="CE2:CE3"/>
    <mergeCell ref="CF2:CF3"/>
    <mergeCell ref="CG2:CG3"/>
    <mergeCell ref="CH2:CH3"/>
  </mergeCells>
  <phoneticPr fontId="162" type="noConversion"/>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05F06-DF30-4839-AA35-F900215C6572}">
  <sheetPr codeName="Sheet16">
    <tabColor theme="6" tint="-0.249977111117893"/>
  </sheetPr>
  <dimension ref="C3:O110"/>
  <sheetViews>
    <sheetView workbookViewId="0"/>
  </sheetViews>
  <sheetFormatPr defaultColWidth="11.453125" defaultRowHeight="12.5" x14ac:dyDescent="0.25"/>
  <cols>
    <col min="1" max="1" width="3.54296875" style="26" customWidth="1"/>
    <col min="2" max="2" width="2.453125" style="26" customWidth="1"/>
    <col min="3" max="6" width="20.453125" style="26" customWidth="1"/>
    <col min="7" max="7" width="42.54296875" style="26" customWidth="1"/>
    <col min="8" max="9" width="20.453125" style="26" customWidth="1"/>
    <col min="10" max="10" width="2.453125" style="26" customWidth="1"/>
    <col min="11" max="11" width="20.81640625" style="26" customWidth="1"/>
    <col min="12" max="12" width="18.1796875" style="26" bestFit="1" customWidth="1"/>
    <col min="13" max="13" width="19.81640625" style="26" customWidth="1"/>
    <col min="14" max="248" width="11.453125" style="26"/>
    <col min="249" max="249" width="2.453125" style="26" customWidth="1"/>
    <col min="250" max="250" width="49" style="26" customWidth="1"/>
    <col min="251" max="251" width="16.81640625" style="26" customWidth="1"/>
    <col min="252" max="252" width="1.1796875" style="26" customWidth="1"/>
    <col min="253" max="253" width="20.54296875" style="26" customWidth="1"/>
    <col min="254" max="254" width="17.54296875" style="26" customWidth="1"/>
    <col min="255" max="255" width="18.1796875" style="26" customWidth="1"/>
    <col min="256" max="256" width="17.1796875" style="26" customWidth="1"/>
    <col min="257" max="257" width="22.453125" style="26" bestFit="1" customWidth="1"/>
    <col min="258" max="258" width="22.1796875" style="26" customWidth="1"/>
    <col min="259" max="259" width="17.81640625" style="26" customWidth="1"/>
    <col min="260" max="260" width="22.453125" style="26" customWidth="1"/>
    <col min="261" max="261" width="10.1796875" style="26" bestFit="1" customWidth="1"/>
    <col min="262" max="262" width="13.453125" style="26" customWidth="1"/>
    <col min="263" max="263" width="7.453125" style="26" bestFit="1" customWidth="1"/>
    <col min="264" max="264" width="15.453125" style="26" bestFit="1" customWidth="1"/>
    <col min="265" max="265" width="7.453125" style="26" bestFit="1" customWidth="1"/>
    <col min="266" max="266" width="19.54296875" style="26" bestFit="1" customWidth="1"/>
    <col min="267" max="267" width="7.453125" style="26" bestFit="1" customWidth="1"/>
    <col min="268" max="268" width="26.81640625" style="26" bestFit="1" customWidth="1"/>
    <col min="269" max="269" width="19.81640625" style="26" bestFit="1" customWidth="1"/>
    <col min="270" max="504" width="11.453125" style="26"/>
    <col min="505" max="505" width="2.453125" style="26" customWidth="1"/>
    <col min="506" max="506" width="49" style="26" customWidth="1"/>
    <col min="507" max="507" width="16.81640625" style="26" customWidth="1"/>
    <col min="508" max="508" width="1.1796875" style="26" customWidth="1"/>
    <col min="509" max="509" width="20.54296875" style="26" customWidth="1"/>
    <col min="510" max="510" width="17.54296875" style="26" customWidth="1"/>
    <col min="511" max="511" width="18.1796875" style="26" customWidth="1"/>
    <col min="512" max="512" width="17.1796875" style="26" customWidth="1"/>
    <col min="513" max="513" width="22.453125" style="26" bestFit="1" customWidth="1"/>
    <col min="514" max="514" width="22.1796875" style="26" customWidth="1"/>
    <col min="515" max="515" width="17.81640625" style="26" customWidth="1"/>
    <col min="516" max="516" width="22.453125" style="26" customWidth="1"/>
    <col min="517" max="517" width="10.1796875" style="26" bestFit="1" customWidth="1"/>
    <col min="518" max="518" width="13.453125" style="26" customWidth="1"/>
    <col min="519" max="519" width="7.453125" style="26" bestFit="1" customWidth="1"/>
    <col min="520" max="520" width="15.453125" style="26" bestFit="1" customWidth="1"/>
    <col min="521" max="521" width="7.453125" style="26" bestFit="1" customWidth="1"/>
    <col min="522" max="522" width="19.54296875" style="26" bestFit="1" customWidth="1"/>
    <col min="523" max="523" width="7.453125" style="26" bestFit="1" customWidth="1"/>
    <col min="524" max="524" width="26.81640625" style="26" bestFit="1" customWidth="1"/>
    <col min="525" max="525" width="19.81640625" style="26" bestFit="1" customWidth="1"/>
    <col min="526" max="760" width="11.453125" style="26"/>
    <col min="761" max="761" width="2.453125" style="26" customWidth="1"/>
    <col min="762" max="762" width="49" style="26" customWidth="1"/>
    <col min="763" max="763" width="16.81640625" style="26" customWidth="1"/>
    <col min="764" max="764" width="1.1796875" style="26" customWidth="1"/>
    <col min="765" max="765" width="20.54296875" style="26" customWidth="1"/>
    <col min="766" max="766" width="17.54296875" style="26" customWidth="1"/>
    <col min="767" max="767" width="18.1796875" style="26" customWidth="1"/>
    <col min="768" max="768" width="17.1796875" style="26" customWidth="1"/>
    <col min="769" max="769" width="22.453125" style="26" bestFit="1" customWidth="1"/>
    <col min="770" max="770" width="22.1796875" style="26" customWidth="1"/>
    <col min="771" max="771" width="17.81640625" style="26" customWidth="1"/>
    <col min="772" max="772" width="22.453125" style="26" customWidth="1"/>
    <col min="773" max="773" width="10.1796875" style="26" bestFit="1" customWidth="1"/>
    <col min="774" max="774" width="13.453125" style="26" customWidth="1"/>
    <col min="775" max="775" width="7.453125" style="26" bestFit="1" customWidth="1"/>
    <col min="776" max="776" width="15.453125" style="26" bestFit="1" customWidth="1"/>
    <col min="777" max="777" width="7.453125" style="26" bestFit="1" customWidth="1"/>
    <col min="778" max="778" width="19.54296875" style="26" bestFit="1" customWidth="1"/>
    <col min="779" max="779" width="7.453125" style="26" bestFit="1" customWidth="1"/>
    <col min="780" max="780" width="26.81640625" style="26" bestFit="1" customWidth="1"/>
    <col min="781" max="781" width="19.81640625" style="26" bestFit="1" customWidth="1"/>
    <col min="782" max="1016" width="11.453125" style="26"/>
    <col min="1017" max="1017" width="2.453125" style="26" customWidth="1"/>
    <col min="1018" max="1018" width="49" style="26" customWidth="1"/>
    <col min="1019" max="1019" width="16.81640625" style="26" customWidth="1"/>
    <col min="1020" max="1020" width="1.1796875" style="26" customWidth="1"/>
    <col min="1021" max="1021" width="20.54296875" style="26" customWidth="1"/>
    <col min="1022" max="1022" width="17.54296875" style="26" customWidth="1"/>
    <col min="1023" max="1023" width="18.1796875" style="26" customWidth="1"/>
    <col min="1024" max="1024" width="17.1796875" style="26" customWidth="1"/>
    <col min="1025" max="1025" width="22.453125" style="26" bestFit="1" customWidth="1"/>
    <col min="1026" max="1026" width="22.1796875" style="26" customWidth="1"/>
    <col min="1027" max="1027" width="17.81640625" style="26" customWidth="1"/>
    <col min="1028" max="1028" width="22.453125" style="26" customWidth="1"/>
    <col min="1029" max="1029" width="10.1796875" style="26" bestFit="1" customWidth="1"/>
    <col min="1030" max="1030" width="13.453125" style="26" customWidth="1"/>
    <col min="1031" max="1031" width="7.453125" style="26" bestFit="1" customWidth="1"/>
    <col min="1032" max="1032" width="15.453125" style="26" bestFit="1" customWidth="1"/>
    <col min="1033" max="1033" width="7.453125" style="26" bestFit="1" customWidth="1"/>
    <col min="1034" max="1034" width="19.54296875" style="26" bestFit="1" customWidth="1"/>
    <col min="1035" max="1035" width="7.453125" style="26" bestFit="1" customWidth="1"/>
    <col min="1036" max="1036" width="26.81640625" style="26" bestFit="1" customWidth="1"/>
    <col min="1037" max="1037" width="19.81640625" style="26" bestFit="1" customWidth="1"/>
    <col min="1038" max="1272" width="11.453125" style="26"/>
    <col min="1273" max="1273" width="2.453125" style="26" customWidth="1"/>
    <col min="1274" max="1274" width="49" style="26" customWidth="1"/>
    <col min="1275" max="1275" width="16.81640625" style="26" customWidth="1"/>
    <col min="1276" max="1276" width="1.1796875" style="26" customWidth="1"/>
    <col min="1277" max="1277" width="20.54296875" style="26" customWidth="1"/>
    <col min="1278" max="1278" width="17.54296875" style="26" customWidth="1"/>
    <col min="1279" max="1279" width="18.1796875" style="26" customWidth="1"/>
    <col min="1280" max="1280" width="17.1796875" style="26" customWidth="1"/>
    <col min="1281" max="1281" width="22.453125" style="26" bestFit="1" customWidth="1"/>
    <col min="1282" max="1282" width="22.1796875" style="26" customWidth="1"/>
    <col min="1283" max="1283" width="17.81640625" style="26" customWidth="1"/>
    <col min="1284" max="1284" width="22.453125" style="26" customWidth="1"/>
    <col min="1285" max="1285" width="10.1796875" style="26" bestFit="1" customWidth="1"/>
    <col min="1286" max="1286" width="13.453125" style="26" customWidth="1"/>
    <col min="1287" max="1287" width="7.453125" style="26" bestFit="1" customWidth="1"/>
    <col min="1288" max="1288" width="15.453125" style="26" bestFit="1" customWidth="1"/>
    <col min="1289" max="1289" width="7.453125" style="26" bestFit="1" customWidth="1"/>
    <col min="1290" max="1290" width="19.54296875" style="26" bestFit="1" customWidth="1"/>
    <col min="1291" max="1291" width="7.453125" style="26" bestFit="1" customWidth="1"/>
    <col min="1292" max="1292" width="26.81640625" style="26" bestFit="1" customWidth="1"/>
    <col min="1293" max="1293" width="19.81640625" style="26" bestFit="1" customWidth="1"/>
    <col min="1294" max="1528" width="11.453125" style="26"/>
    <col min="1529" max="1529" width="2.453125" style="26" customWidth="1"/>
    <col min="1530" max="1530" width="49" style="26" customWidth="1"/>
    <col min="1531" max="1531" width="16.81640625" style="26" customWidth="1"/>
    <col min="1532" max="1532" width="1.1796875" style="26" customWidth="1"/>
    <col min="1533" max="1533" width="20.54296875" style="26" customWidth="1"/>
    <col min="1534" max="1534" width="17.54296875" style="26" customWidth="1"/>
    <col min="1535" max="1535" width="18.1796875" style="26" customWidth="1"/>
    <col min="1536" max="1536" width="17.1796875" style="26" customWidth="1"/>
    <col min="1537" max="1537" width="22.453125" style="26" bestFit="1" customWidth="1"/>
    <col min="1538" max="1538" width="22.1796875" style="26" customWidth="1"/>
    <col min="1539" max="1539" width="17.81640625" style="26" customWidth="1"/>
    <col min="1540" max="1540" width="22.453125" style="26" customWidth="1"/>
    <col min="1541" max="1541" width="10.1796875" style="26" bestFit="1" customWidth="1"/>
    <col min="1542" max="1542" width="13.453125" style="26" customWidth="1"/>
    <col min="1543" max="1543" width="7.453125" style="26" bestFit="1" customWidth="1"/>
    <col min="1544" max="1544" width="15.453125" style="26" bestFit="1" customWidth="1"/>
    <col min="1545" max="1545" width="7.453125" style="26" bestFit="1" customWidth="1"/>
    <col min="1546" max="1546" width="19.54296875" style="26" bestFit="1" customWidth="1"/>
    <col min="1547" max="1547" width="7.453125" style="26" bestFit="1" customWidth="1"/>
    <col min="1548" max="1548" width="26.81640625" style="26" bestFit="1" customWidth="1"/>
    <col min="1549" max="1549" width="19.81640625" style="26" bestFit="1" customWidth="1"/>
    <col min="1550" max="1784" width="11.453125" style="26"/>
    <col min="1785" max="1785" width="2.453125" style="26" customWidth="1"/>
    <col min="1786" max="1786" width="49" style="26" customWidth="1"/>
    <col min="1787" max="1787" width="16.81640625" style="26" customWidth="1"/>
    <col min="1788" max="1788" width="1.1796875" style="26" customWidth="1"/>
    <col min="1789" max="1789" width="20.54296875" style="26" customWidth="1"/>
    <col min="1790" max="1790" width="17.54296875" style="26" customWidth="1"/>
    <col min="1791" max="1791" width="18.1796875" style="26" customWidth="1"/>
    <col min="1792" max="1792" width="17.1796875" style="26" customWidth="1"/>
    <col min="1793" max="1793" width="22.453125" style="26" bestFit="1" customWidth="1"/>
    <col min="1794" max="1794" width="22.1796875" style="26" customWidth="1"/>
    <col min="1795" max="1795" width="17.81640625" style="26" customWidth="1"/>
    <col min="1796" max="1796" width="22.453125" style="26" customWidth="1"/>
    <col min="1797" max="1797" width="10.1796875" style="26" bestFit="1" customWidth="1"/>
    <col min="1798" max="1798" width="13.453125" style="26" customWidth="1"/>
    <col min="1799" max="1799" width="7.453125" style="26" bestFit="1" customWidth="1"/>
    <col min="1800" max="1800" width="15.453125" style="26" bestFit="1" customWidth="1"/>
    <col min="1801" max="1801" width="7.453125" style="26" bestFit="1" customWidth="1"/>
    <col min="1802" max="1802" width="19.54296875" style="26" bestFit="1" customWidth="1"/>
    <col min="1803" max="1803" width="7.453125" style="26" bestFit="1" customWidth="1"/>
    <col min="1804" max="1804" width="26.81640625" style="26" bestFit="1" customWidth="1"/>
    <col min="1805" max="1805" width="19.81640625" style="26" bestFit="1" customWidth="1"/>
    <col min="1806" max="2040" width="11.453125" style="26"/>
    <col min="2041" max="2041" width="2.453125" style="26" customWidth="1"/>
    <col min="2042" max="2042" width="49" style="26" customWidth="1"/>
    <col min="2043" max="2043" width="16.81640625" style="26" customWidth="1"/>
    <col min="2044" max="2044" width="1.1796875" style="26" customWidth="1"/>
    <col min="2045" max="2045" width="20.54296875" style="26" customWidth="1"/>
    <col min="2046" max="2046" width="17.54296875" style="26" customWidth="1"/>
    <col min="2047" max="2047" width="18.1796875" style="26" customWidth="1"/>
    <col min="2048" max="2048" width="17.1796875" style="26" customWidth="1"/>
    <col min="2049" max="2049" width="22.453125" style="26" bestFit="1" customWidth="1"/>
    <col min="2050" max="2050" width="22.1796875" style="26" customWidth="1"/>
    <col min="2051" max="2051" width="17.81640625" style="26" customWidth="1"/>
    <col min="2052" max="2052" width="22.453125" style="26" customWidth="1"/>
    <col min="2053" max="2053" width="10.1796875" style="26" bestFit="1" customWidth="1"/>
    <col min="2054" max="2054" width="13.453125" style="26" customWidth="1"/>
    <col min="2055" max="2055" width="7.453125" style="26" bestFit="1" customWidth="1"/>
    <col min="2056" max="2056" width="15.453125" style="26" bestFit="1" customWidth="1"/>
    <col min="2057" max="2057" width="7.453125" style="26" bestFit="1" customWidth="1"/>
    <col min="2058" max="2058" width="19.54296875" style="26" bestFit="1" customWidth="1"/>
    <col min="2059" max="2059" width="7.453125" style="26" bestFit="1" customWidth="1"/>
    <col min="2060" max="2060" width="26.81640625" style="26" bestFit="1" customWidth="1"/>
    <col min="2061" max="2061" width="19.81640625" style="26" bestFit="1" customWidth="1"/>
    <col min="2062" max="2296" width="11.453125" style="26"/>
    <col min="2297" max="2297" width="2.453125" style="26" customWidth="1"/>
    <col min="2298" max="2298" width="49" style="26" customWidth="1"/>
    <col min="2299" max="2299" width="16.81640625" style="26" customWidth="1"/>
    <col min="2300" max="2300" width="1.1796875" style="26" customWidth="1"/>
    <col min="2301" max="2301" width="20.54296875" style="26" customWidth="1"/>
    <col min="2302" max="2302" width="17.54296875" style="26" customWidth="1"/>
    <col min="2303" max="2303" width="18.1796875" style="26" customWidth="1"/>
    <col min="2304" max="2304" width="17.1796875" style="26" customWidth="1"/>
    <col min="2305" max="2305" width="22.453125" style="26" bestFit="1" customWidth="1"/>
    <col min="2306" max="2306" width="22.1796875" style="26" customWidth="1"/>
    <col min="2307" max="2307" width="17.81640625" style="26" customWidth="1"/>
    <col min="2308" max="2308" width="22.453125" style="26" customWidth="1"/>
    <col min="2309" max="2309" width="10.1796875" style="26" bestFit="1" customWidth="1"/>
    <col min="2310" max="2310" width="13.453125" style="26" customWidth="1"/>
    <col min="2311" max="2311" width="7.453125" style="26" bestFit="1" customWidth="1"/>
    <col min="2312" max="2312" width="15.453125" style="26" bestFit="1" customWidth="1"/>
    <col min="2313" max="2313" width="7.453125" style="26" bestFit="1" customWidth="1"/>
    <col min="2314" max="2314" width="19.54296875" style="26" bestFit="1" customWidth="1"/>
    <col min="2315" max="2315" width="7.453125" style="26" bestFit="1" customWidth="1"/>
    <col min="2316" max="2316" width="26.81640625" style="26" bestFit="1" customWidth="1"/>
    <col min="2317" max="2317" width="19.81640625" style="26" bestFit="1" customWidth="1"/>
    <col min="2318" max="2552" width="11.453125" style="26"/>
    <col min="2553" max="2553" width="2.453125" style="26" customWidth="1"/>
    <col min="2554" max="2554" width="49" style="26" customWidth="1"/>
    <col min="2555" max="2555" width="16.81640625" style="26" customWidth="1"/>
    <col min="2556" max="2556" width="1.1796875" style="26" customWidth="1"/>
    <col min="2557" max="2557" width="20.54296875" style="26" customWidth="1"/>
    <col min="2558" max="2558" width="17.54296875" style="26" customWidth="1"/>
    <col min="2559" max="2559" width="18.1796875" style="26" customWidth="1"/>
    <col min="2560" max="2560" width="17.1796875" style="26" customWidth="1"/>
    <col min="2561" max="2561" width="22.453125" style="26" bestFit="1" customWidth="1"/>
    <col min="2562" max="2562" width="22.1796875" style="26" customWidth="1"/>
    <col min="2563" max="2563" width="17.81640625" style="26" customWidth="1"/>
    <col min="2564" max="2564" width="22.453125" style="26" customWidth="1"/>
    <col min="2565" max="2565" width="10.1796875" style="26" bestFit="1" customWidth="1"/>
    <col min="2566" max="2566" width="13.453125" style="26" customWidth="1"/>
    <col min="2567" max="2567" width="7.453125" style="26" bestFit="1" customWidth="1"/>
    <col min="2568" max="2568" width="15.453125" style="26" bestFit="1" customWidth="1"/>
    <col min="2569" max="2569" width="7.453125" style="26" bestFit="1" customWidth="1"/>
    <col min="2570" max="2570" width="19.54296875" style="26" bestFit="1" customWidth="1"/>
    <col min="2571" max="2571" width="7.453125" style="26" bestFit="1" customWidth="1"/>
    <col min="2572" max="2572" width="26.81640625" style="26" bestFit="1" customWidth="1"/>
    <col min="2573" max="2573" width="19.81640625" style="26" bestFit="1" customWidth="1"/>
    <col min="2574" max="2808" width="11.453125" style="26"/>
    <col min="2809" max="2809" width="2.453125" style="26" customWidth="1"/>
    <col min="2810" max="2810" width="49" style="26" customWidth="1"/>
    <col min="2811" max="2811" width="16.81640625" style="26" customWidth="1"/>
    <col min="2812" max="2812" width="1.1796875" style="26" customWidth="1"/>
    <col min="2813" max="2813" width="20.54296875" style="26" customWidth="1"/>
    <col min="2814" max="2814" width="17.54296875" style="26" customWidth="1"/>
    <col min="2815" max="2815" width="18.1796875" style="26" customWidth="1"/>
    <col min="2816" max="2816" width="17.1796875" style="26" customWidth="1"/>
    <col min="2817" max="2817" width="22.453125" style="26" bestFit="1" customWidth="1"/>
    <col min="2818" max="2818" width="22.1796875" style="26" customWidth="1"/>
    <col min="2819" max="2819" width="17.81640625" style="26" customWidth="1"/>
    <col min="2820" max="2820" width="22.453125" style="26" customWidth="1"/>
    <col min="2821" max="2821" width="10.1796875" style="26" bestFit="1" customWidth="1"/>
    <col min="2822" max="2822" width="13.453125" style="26" customWidth="1"/>
    <col min="2823" max="2823" width="7.453125" style="26" bestFit="1" customWidth="1"/>
    <col min="2824" max="2824" width="15.453125" style="26" bestFit="1" customWidth="1"/>
    <col min="2825" max="2825" width="7.453125" style="26" bestFit="1" customWidth="1"/>
    <col min="2826" max="2826" width="19.54296875" style="26" bestFit="1" customWidth="1"/>
    <col min="2827" max="2827" width="7.453125" style="26" bestFit="1" customWidth="1"/>
    <col min="2828" max="2828" width="26.81640625" style="26" bestFit="1" customWidth="1"/>
    <col min="2829" max="2829" width="19.81640625" style="26" bestFit="1" customWidth="1"/>
    <col min="2830" max="3064" width="11.453125" style="26"/>
    <col min="3065" max="3065" width="2.453125" style="26" customWidth="1"/>
    <col min="3066" max="3066" width="49" style="26" customWidth="1"/>
    <col min="3067" max="3067" width="16.81640625" style="26" customWidth="1"/>
    <col min="3068" max="3068" width="1.1796875" style="26" customWidth="1"/>
    <col min="3069" max="3069" width="20.54296875" style="26" customWidth="1"/>
    <col min="3070" max="3070" width="17.54296875" style="26" customWidth="1"/>
    <col min="3071" max="3071" width="18.1796875" style="26" customWidth="1"/>
    <col min="3072" max="3072" width="17.1796875" style="26" customWidth="1"/>
    <col min="3073" max="3073" width="22.453125" style="26" bestFit="1" customWidth="1"/>
    <col min="3074" max="3074" width="22.1796875" style="26" customWidth="1"/>
    <col min="3075" max="3075" width="17.81640625" style="26" customWidth="1"/>
    <col min="3076" max="3076" width="22.453125" style="26" customWidth="1"/>
    <col min="3077" max="3077" width="10.1796875" style="26" bestFit="1" customWidth="1"/>
    <col min="3078" max="3078" width="13.453125" style="26" customWidth="1"/>
    <col min="3079" max="3079" width="7.453125" style="26" bestFit="1" customWidth="1"/>
    <col min="3080" max="3080" width="15.453125" style="26" bestFit="1" customWidth="1"/>
    <col min="3081" max="3081" width="7.453125" style="26" bestFit="1" customWidth="1"/>
    <col min="3082" max="3082" width="19.54296875" style="26" bestFit="1" customWidth="1"/>
    <col min="3083" max="3083" width="7.453125" style="26" bestFit="1" customWidth="1"/>
    <col min="3084" max="3084" width="26.81640625" style="26" bestFit="1" customWidth="1"/>
    <col min="3085" max="3085" width="19.81640625" style="26" bestFit="1" customWidth="1"/>
    <col min="3086" max="3320" width="11.453125" style="26"/>
    <col min="3321" max="3321" width="2.453125" style="26" customWidth="1"/>
    <col min="3322" max="3322" width="49" style="26" customWidth="1"/>
    <col min="3323" max="3323" width="16.81640625" style="26" customWidth="1"/>
    <col min="3324" max="3324" width="1.1796875" style="26" customWidth="1"/>
    <col min="3325" max="3325" width="20.54296875" style="26" customWidth="1"/>
    <col min="3326" max="3326" width="17.54296875" style="26" customWidth="1"/>
    <col min="3327" max="3327" width="18.1796875" style="26" customWidth="1"/>
    <col min="3328" max="3328" width="17.1796875" style="26" customWidth="1"/>
    <col min="3329" max="3329" width="22.453125" style="26" bestFit="1" customWidth="1"/>
    <col min="3330" max="3330" width="22.1796875" style="26" customWidth="1"/>
    <col min="3331" max="3331" width="17.81640625" style="26" customWidth="1"/>
    <col min="3332" max="3332" width="22.453125" style="26" customWidth="1"/>
    <col min="3333" max="3333" width="10.1796875" style="26" bestFit="1" customWidth="1"/>
    <col min="3334" max="3334" width="13.453125" style="26" customWidth="1"/>
    <col min="3335" max="3335" width="7.453125" style="26" bestFit="1" customWidth="1"/>
    <col min="3336" max="3336" width="15.453125" style="26" bestFit="1" customWidth="1"/>
    <col min="3337" max="3337" width="7.453125" style="26" bestFit="1" customWidth="1"/>
    <col min="3338" max="3338" width="19.54296875" style="26" bestFit="1" customWidth="1"/>
    <col min="3339" max="3339" width="7.453125" style="26" bestFit="1" customWidth="1"/>
    <col min="3340" max="3340" width="26.81640625" style="26" bestFit="1" customWidth="1"/>
    <col min="3341" max="3341" width="19.81640625" style="26" bestFit="1" customWidth="1"/>
    <col min="3342" max="3576" width="11.453125" style="26"/>
    <col min="3577" max="3577" width="2.453125" style="26" customWidth="1"/>
    <col min="3578" max="3578" width="49" style="26" customWidth="1"/>
    <col min="3579" max="3579" width="16.81640625" style="26" customWidth="1"/>
    <col min="3580" max="3580" width="1.1796875" style="26" customWidth="1"/>
    <col min="3581" max="3581" width="20.54296875" style="26" customWidth="1"/>
    <col min="3582" max="3582" width="17.54296875" style="26" customWidth="1"/>
    <col min="3583" max="3583" width="18.1796875" style="26" customWidth="1"/>
    <col min="3584" max="3584" width="17.1796875" style="26" customWidth="1"/>
    <col min="3585" max="3585" width="22.453125" style="26" bestFit="1" customWidth="1"/>
    <col min="3586" max="3586" width="22.1796875" style="26" customWidth="1"/>
    <col min="3587" max="3587" width="17.81640625" style="26" customWidth="1"/>
    <col min="3588" max="3588" width="22.453125" style="26" customWidth="1"/>
    <col min="3589" max="3589" width="10.1796875" style="26" bestFit="1" customWidth="1"/>
    <col min="3590" max="3590" width="13.453125" style="26" customWidth="1"/>
    <col min="3591" max="3591" width="7.453125" style="26" bestFit="1" customWidth="1"/>
    <col min="3592" max="3592" width="15.453125" style="26" bestFit="1" customWidth="1"/>
    <col min="3593" max="3593" width="7.453125" style="26" bestFit="1" customWidth="1"/>
    <col min="3594" max="3594" width="19.54296875" style="26" bestFit="1" customWidth="1"/>
    <col min="3595" max="3595" width="7.453125" style="26" bestFit="1" customWidth="1"/>
    <col min="3596" max="3596" width="26.81640625" style="26" bestFit="1" customWidth="1"/>
    <col min="3597" max="3597" width="19.81640625" style="26" bestFit="1" customWidth="1"/>
    <col min="3598" max="3832" width="11.453125" style="26"/>
    <col min="3833" max="3833" width="2.453125" style="26" customWidth="1"/>
    <col min="3834" max="3834" width="49" style="26" customWidth="1"/>
    <col min="3835" max="3835" width="16.81640625" style="26" customWidth="1"/>
    <col min="3836" max="3836" width="1.1796875" style="26" customWidth="1"/>
    <col min="3837" max="3837" width="20.54296875" style="26" customWidth="1"/>
    <col min="3838" max="3838" width="17.54296875" style="26" customWidth="1"/>
    <col min="3839" max="3839" width="18.1796875" style="26" customWidth="1"/>
    <col min="3840" max="3840" width="17.1796875" style="26" customWidth="1"/>
    <col min="3841" max="3841" width="22.453125" style="26" bestFit="1" customWidth="1"/>
    <col min="3842" max="3842" width="22.1796875" style="26" customWidth="1"/>
    <col min="3843" max="3843" width="17.81640625" style="26" customWidth="1"/>
    <col min="3844" max="3844" width="22.453125" style="26" customWidth="1"/>
    <col min="3845" max="3845" width="10.1796875" style="26" bestFit="1" customWidth="1"/>
    <col min="3846" max="3846" width="13.453125" style="26" customWidth="1"/>
    <col min="3847" max="3847" width="7.453125" style="26" bestFit="1" customWidth="1"/>
    <col min="3848" max="3848" width="15.453125" style="26" bestFit="1" customWidth="1"/>
    <col min="3849" max="3849" width="7.453125" style="26" bestFit="1" customWidth="1"/>
    <col min="3850" max="3850" width="19.54296875" style="26" bestFit="1" customWidth="1"/>
    <col min="3851" max="3851" width="7.453125" style="26" bestFit="1" customWidth="1"/>
    <col min="3852" max="3852" width="26.81640625" style="26" bestFit="1" customWidth="1"/>
    <col min="3853" max="3853" width="19.81640625" style="26" bestFit="1" customWidth="1"/>
    <col min="3854" max="4088" width="11.453125" style="26"/>
    <col min="4089" max="4089" width="2.453125" style="26" customWidth="1"/>
    <col min="4090" max="4090" width="49" style="26" customWidth="1"/>
    <col min="4091" max="4091" width="16.81640625" style="26" customWidth="1"/>
    <col min="4092" max="4092" width="1.1796875" style="26" customWidth="1"/>
    <col min="4093" max="4093" width="20.54296875" style="26" customWidth="1"/>
    <col min="4094" max="4094" width="17.54296875" style="26" customWidth="1"/>
    <col min="4095" max="4095" width="18.1796875" style="26" customWidth="1"/>
    <col min="4096" max="4096" width="17.1796875" style="26" customWidth="1"/>
    <col min="4097" max="4097" width="22.453125" style="26" bestFit="1" customWidth="1"/>
    <col min="4098" max="4098" width="22.1796875" style="26" customWidth="1"/>
    <col min="4099" max="4099" width="17.81640625" style="26" customWidth="1"/>
    <col min="4100" max="4100" width="22.453125" style="26" customWidth="1"/>
    <col min="4101" max="4101" width="10.1796875" style="26" bestFit="1" customWidth="1"/>
    <col min="4102" max="4102" width="13.453125" style="26" customWidth="1"/>
    <col min="4103" max="4103" width="7.453125" style="26" bestFit="1" customWidth="1"/>
    <col min="4104" max="4104" width="15.453125" style="26" bestFit="1" customWidth="1"/>
    <col min="4105" max="4105" width="7.453125" style="26" bestFit="1" customWidth="1"/>
    <col min="4106" max="4106" width="19.54296875" style="26" bestFit="1" customWidth="1"/>
    <col min="4107" max="4107" width="7.453125" style="26" bestFit="1" customWidth="1"/>
    <col min="4108" max="4108" width="26.81640625" style="26" bestFit="1" customWidth="1"/>
    <col min="4109" max="4109" width="19.81640625" style="26" bestFit="1" customWidth="1"/>
    <col min="4110" max="4344" width="11.453125" style="26"/>
    <col min="4345" max="4345" width="2.453125" style="26" customWidth="1"/>
    <col min="4346" max="4346" width="49" style="26" customWidth="1"/>
    <col min="4347" max="4347" width="16.81640625" style="26" customWidth="1"/>
    <col min="4348" max="4348" width="1.1796875" style="26" customWidth="1"/>
    <col min="4349" max="4349" width="20.54296875" style="26" customWidth="1"/>
    <col min="4350" max="4350" width="17.54296875" style="26" customWidth="1"/>
    <col min="4351" max="4351" width="18.1796875" style="26" customWidth="1"/>
    <col min="4352" max="4352" width="17.1796875" style="26" customWidth="1"/>
    <col min="4353" max="4353" width="22.453125" style="26" bestFit="1" customWidth="1"/>
    <col min="4354" max="4354" width="22.1796875" style="26" customWidth="1"/>
    <col min="4355" max="4355" width="17.81640625" style="26" customWidth="1"/>
    <col min="4356" max="4356" width="22.453125" style="26" customWidth="1"/>
    <col min="4357" max="4357" width="10.1796875" style="26" bestFit="1" customWidth="1"/>
    <col min="4358" max="4358" width="13.453125" style="26" customWidth="1"/>
    <col min="4359" max="4359" width="7.453125" style="26" bestFit="1" customWidth="1"/>
    <col min="4360" max="4360" width="15.453125" style="26" bestFit="1" customWidth="1"/>
    <col min="4361" max="4361" width="7.453125" style="26" bestFit="1" customWidth="1"/>
    <col min="4362" max="4362" width="19.54296875" style="26" bestFit="1" customWidth="1"/>
    <col min="4363" max="4363" width="7.453125" style="26" bestFit="1" customWidth="1"/>
    <col min="4364" max="4364" width="26.81640625" style="26" bestFit="1" customWidth="1"/>
    <col min="4365" max="4365" width="19.81640625" style="26" bestFit="1" customWidth="1"/>
    <col min="4366" max="4600" width="11.453125" style="26"/>
    <col min="4601" max="4601" width="2.453125" style="26" customWidth="1"/>
    <col min="4602" max="4602" width="49" style="26" customWidth="1"/>
    <col min="4603" max="4603" width="16.81640625" style="26" customWidth="1"/>
    <col min="4604" max="4604" width="1.1796875" style="26" customWidth="1"/>
    <col min="4605" max="4605" width="20.54296875" style="26" customWidth="1"/>
    <col min="4606" max="4606" width="17.54296875" style="26" customWidth="1"/>
    <col min="4607" max="4607" width="18.1796875" style="26" customWidth="1"/>
    <col min="4608" max="4608" width="17.1796875" style="26" customWidth="1"/>
    <col min="4609" max="4609" width="22.453125" style="26" bestFit="1" customWidth="1"/>
    <col min="4610" max="4610" width="22.1796875" style="26" customWidth="1"/>
    <col min="4611" max="4611" width="17.81640625" style="26" customWidth="1"/>
    <col min="4612" max="4612" width="22.453125" style="26" customWidth="1"/>
    <col min="4613" max="4613" width="10.1796875" style="26" bestFit="1" customWidth="1"/>
    <col min="4614" max="4614" width="13.453125" style="26" customWidth="1"/>
    <col min="4615" max="4615" width="7.453125" style="26" bestFit="1" customWidth="1"/>
    <col min="4616" max="4616" width="15.453125" style="26" bestFit="1" customWidth="1"/>
    <col min="4617" max="4617" width="7.453125" style="26" bestFit="1" customWidth="1"/>
    <col min="4618" max="4618" width="19.54296875" style="26" bestFit="1" customWidth="1"/>
    <col min="4619" max="4619" width="7.453125" style="26" bestFit="1" customWidth="1"/>
    <col min="4620" max="4620" width="26.81640625" style="26" bestFit="1" customWidth="1"/>
    <col min="4621" max="4621" width="19.81640625" style="26" bestFit="1" customWidth="1"/>
    <col min="4622" max="4856" width="11.453125" style="26"/>
    <col min="4857" max="4857" width="2.453125" style="26" customWidth="1"/>
    <col min="4858" max="4858" width="49" style="26" customWidth="1"/>
    <col min="4859" max="4859" width="16.81640625" style="26" customWidth="1"/>
    <col min="4860" max="4860" width="1.1796875" style="26" customWidth="1"/>
    <col min="4861" max="4861" width="20.54296875" style="26" customWidth="1"/>
    <col min="4862" max="4862" width="17.54296875" style="26" customWidth="1"/>
    <col min="4863" max="4863" width="18.1796875" style="26" customWidth="1"/>
    <col min="4864" max="4864" width="17.1796875" style="26" customWidth="1"/>
    <col min="4865" max="4865" width="22.453125" style="26" bestFit="1" customWidth="1"/>
    <col min="4866" max="4866" width="22.1796875" style="26" customWidth="1"/>
    <col min="4867" max="4867" width="17.81640625" style="26" customWidth="1"/>
    <col min="4868" max="4868" width="22.453125" style="26" customWidth="1"/>
    <col min="4869" max="4869" width="10.1796875" style="26" bestFit="1" customWidth="1"/>
    <col min="4870" max="4870" width="13.453125" style="26" customWidth="1"/>
    <col min="4871" max="4871" width="7.453125" style="26" bestFit="1" customWidth="1"/>
    <col min="4872" max="4872" width="15.453125" style="26" bestFit="1" customWidth="1"/>
    <col min="4873" max="4873" width="7.453125" style="26" bestFit="1" customWidth="1"/>
    <col min="4874" max="4874" width="19.54296875" style="26" bestFit="1" customWidth="1"/>
    <col min="4875" max="4875" width="7.453125" style="26" bestFit="1" customWidth="1"/>
    <col min="4876" max="4876" width="26.81640625" style="26" bestFit="1" customWidth="1"/>
    <col min="4877" max="4877" width="19.81640625" style="26" bestFit="1" customWidth="1"/>
    <col min="4878" max="5112" width="11.453125" style="26"/>
    <col min="5113" max="5113" width="2.453125" style="26" customWidth="1"/>
    <col min="5114" max="5114" width="49" style="26" customWidth="1"/>
    <col min="5115" max="5115" width="16.81640625" style="26" customWidth="1"/>
    <col min="5116" max="5116" width="1.1796875" style="26" customWidth="1"/>
    <col min="5117" max="5117" width="20.54296875" style="26" customWidth="1"/>
    <col min="5118" max="5118" width="17.54296875" style="26" customWidth="1"/>
    <col min="5119" max="5119" width="18.1796875" style="26" customWidth="1"/>
    <col min="5120" max="5120" width="17.1796875" style="26" customWidth="1"/>
    <col min="5121" max="5121" width="22.453125" style="26" bestFit="1" customWidth="1"/>
    <col min="5122" max="5122" width="22.1796875" style="26" customWidth="1"/>
    <col min="5123" max="5123" width="17.81640625" style="26" customWidth="1"/>
    <col min="5124" max="5124" width="22.453125" style="26" customWidth="1"/>
    <col min="5125" max="5125" width="10.1796875" style="26" bestFit="1" customWidth="1"/>
    <col min="5126" max="5126" width="13.453125" style="26" customWidth="1"/>
    <col min="5127" max="5127" width="7.453125" style="26" bestFit="1" customWidth="1"/>
    <col min="5128" max="5128" width="15.453125" style="26" bestFit="1" customWidth="1"/>
    <col min="5129" max="5129" width="7.453125" style="26" bestFit="1" customWidth="1"/>
    <col min="5130" max="5130" width="19.54296875" style="26" bestFit="1" customWidth="1"/>
    <col min="5131" max="5131" width="7.453125" style="26" bestFit="1" customWidth="1"/>
    <col min="5132" max="5132" width="26.81640625" style="26" bestFit="1" customWidth="1"/>
    <col min="5133" max="5133" width="19.81640625" style="26" bestFit="1" customWidth="1"/>
    <col min="5134" max="5368" width="11.453125" style="26"/>
    <col min="5369" max="5369" width="2.453125" style="26" customWidth="1"/>
    <col min="5370" max="5370" width="49" style="26" customWidth="1"/>
    <col min="5371" max="5371" width="16.81640625" style="26" customWidth="1"/>
    <col min="5372" max="5372" width="1.1796875" style="26" customWidth="1"/>
    <col min="5373" max="5373" width="20.54296875" style="26" customWidth="1"/>
    <col min="5374" max="5374" width="17.54296875" style="26" customWidth="1"/>
    <col min="5375" max="5375" width="18.1796875" style="26" customWidth="1"/>
    <col min="5376" max="5376" width="17.1796875" style="26" customWidth="1"/>
    <col min="5377" max="5377" width="22.453125" style="26" bestFit="1" customWidth="1"/>
    <col min="5378" max="5378" width="22.1796875" style="26" customWidth="1"/>
    <col min="5379" max="5379" width="17.81640625" style="26" customWidth="1"/>
    <col min="5380" max="5380" width="22.453125" style="26" customWidth="1"/>
    <col min="5381" max="5381" width="10.1796875" style="26" bestFit="1" customWidth="1"/>
    <col min="5382" max="5382" width="13.453125" style="26" customWidth="1"/>
    <col min="5383" max="5383" width="7.453125" style="26" bestFit="1" customWidth="1"/>
    <col min="5384" max="5384" width="15.453125" style="26" bestFit="1" customWidth="1"/>
    <col min="5385" max="5385" width="7.453125" style="26" bestFit="1" customWidth="1"/>
    <col min="5386" max="5386" width="19.54296875" style="26" bestFit="1" customWidth="1"/>
    <col min="5387" max="5387" width="7.453125" style="26" bestFit="1" customWidth="1"/>
    <col min="5388" max="5388" width="26.81640625" style="26" bestFit="1" customWidth="1"/>
    <col min="5389" max="5389" width="19.81640625" style="26" bestFit="1" customWidth="1"/>
    <col min="5390" max="5624" width="11.453125" style="26"/>
    <col min="5625" max="5625" width="2.453125" style="26" customWidth="1"/>
    <col min="5626" max="5626" width="49" style="26" customWidth="1"/>
    <col min="5627" max="5627" width="16.81640625" style="26" customWidth="1"/>
    <col min="5628" max="5628" width="1.1796875" style="26" customWidth="1"/>
    <col min="5629" max="5629" width="20.54296875" style="26" customWidth="1"/>
    <col min="5630" max="5630" width="17.54296875" style="26" customWidth="1"/>
    <col min="5631" max="5631" width="18.1796875" style="26" customWidth="1"/>
    <col min="5632" max="5632" width="17.1796875" style="26" customWidth="1"/>
    <col min="5633" max="5633" width="22.453125" style="26" bestFit="1" customWidth="1"/>
    <col min="5634" max="5634" width="22.1796875" style="26" customWidth="1"/>
    <col min="5635" max="5635" width="17.81640625" style="26" customWidth="1"/>
    <col min="5636" max="5636" width="22.453125" style="26" customWidth="1"/>
    <col min="5637" max="5637" width="10.1796875" style="26" bestFit="1" customWidth="1"/>
    <col min="5638" max="5638" width="13.453125" style="26" customWidth="1"/>
    <col min="5639" max="5639" width="7.453125" style="26" bestFit="1" customWidth="1"/>
    <col min="5640" max="5640" width="15.453125" style="26" bestFit="1" customWidth="1"/>
    <col min="5641" max="5641" width="7.453125" style="26" bestFit="1" customWidth="1"/>
    <col min="5642" max="5642" width="19.54296875" style="26" bestFit="1" customWidth="1"/>
    <col min="5643" max="5643" width="7.453125" style="26" bestFit="1" customWidth="1"/>
    <col min="5644" max="5644" width="26.81640625" style="26" bestFit="1" customWidth="1"/>
    <col min="5645" max="5645" width="19.81640625" style="26" bestFit="1" customWidth="1"/>
    <col min="5646" max="5880" width="11.453125" style="26"/>
    <col min="5881" max="5881" width="2.453125" style="26" customWidth="1"/>
    <col min="5882" max="5882" width="49" style="26" customWidth="1"/>
    <col min="5883" max="5883" width="16.81640625" style="26" customWidth="1"/>
    <col min="5884" max="5884" width="1.1796875" style="26" customWidth="1"/>
    <col min="5885" max="5885" width="20.54296875" style="26" customWidth="1"/>
    <col min="5886" max="5886" width="17.54296875" style="26" customWidth="1"/>
    <col min="5887" max="5887" width="18.1796875" style="26" customWidth="1"/>
    <col min="5888" max="5888" width="17.1796875" style="26" customWidth="1"/>
    <col min="5889" max="5889" width="22.453125" style="26" bestFit="1" customWidth="1"/>
    <col min="5890" max="5890" width="22.1796875" style="26" customWidth="1"/>
    <col min="5891" max="5891" width="17.81640625" style="26" customWidth="1"/>
    <col min="5892" max="5892" width="22.453125" style="26" customWidth="1"/>
    <col min="5893" max="5893" width="10.1796875" style="26" bestFit="1" customWidth="1"/>
    <col min="5894" max="5894" width="13.453125" style="26" customWidth="1"/>
    <col min="5895" max="5895" width="7.453125" style="26" bestFit="1" customWidth="1"/>
    <col min="5896" max="5896" width="15.453125" style="26" bestFit="1" customWidth="1"/>
    <col min="5897" max="5897" width="7.453125" style="26" bestFit="1" customWidth="1"/>
    <col min="5898" max="5898" width="19.54296875" style="26" bestFit="1" customWidth="1"/>
    <col min="5899" max="5899" width="7.453125" style="26" bestFit="1" customWidth="1"/>
    <col min="5900" max="5900" width="26.81640625" style="26" bestFit="1" customWidth="1"/>
    <col min="5901" max="5901" width="19.81640625" style="26" bestFit="1" customWidth="1"/>
    <col min="5902" max="6136" width="11.453125" style="26"/>
    <col min="6137" max="6137" width="2.453125" style="26" customWidth="1"/>
    <col min="6138" max="6138" width="49" style="26" customWidth="1"/>
    <col min="6139" max="6139" width="16.81640625" style="26" customWidth="1"/>
    <col min="6140" max="6140" width="1.1796875" style="26" customWidth="1"/>
    <col min="6141" max="6141" width="20.54296875" style="26" customWidth="1"/>
    <col min="6142" max="6142" width="17.54296875" style="26" customWidth="1"/>
    <col min="6143" max="6143" width="18.1796875" style="26" customWidth="1"/>
    <col min="6144" max="6144" width="17.1796875" style="26" customWidth="1"/>
    <col min="6145" max="6145" width="22.453125" style="26" bestFit="1" customWidth="1"/>
    <col min="6146" max="6146" width="22.1796875" style="26" customWidth="1"/>
    <col min="6147" max="6147" width="17.81640625" style="26" customWidth="1"/>
    <col min="6148" max="6148" width="22.453125" style="26" customWidth="1"/>
    <col min="6149" max="6149" width="10.1796875" style="26" bestFit="1" customWidth="1"/>
    <col min="6150" max="6150" width="13.453125" style="26" customWidth="1"/>
    <col min="6151" max="6151" width="7.453125" style="26" bestFit="1" customWidth="1"/>
    <col min="6152" max="6152" width="15.453125" style="26" bestFit="1" customWidth="1"/>
    <col min="6153" max="6153" width="7.453125" style="26" bestFit="1" customWidth="1"/>
    <col min="6154" max="6154" width="19.54296875" style="26" bestFit="1" customWidth="1"/>
    <col min="6155" max="6155" width="7.453125" style="26" bestFit="1" customWidth="1"/>
    <col min="6156" max="6156" width="26.81640625" style="26" bestFit="1" customWidth="1"/>
    <col min="6157" max="6157" width="19.81640625" style="26" bestFit="1" customWidth="1"/>
    <col min="6158" max="6392" width="11.453125" style="26"/>
    <col min="6393" max="6393" width="2.453125" style="26" customWidth="1"/>
    <col min="6394" max="6394" width="49" style="26" customWidth="1"/>
    <col min="6395" max="6395" width="16.81640625" style="26" customWidth="1"/>
    <col min="6396" max="6396" width="1.1796875" style="26" customWidth="1"/>
    <col min="6397" max="6397" width="20.54296875" style="26" customWidth="1"/>
    <col min="6398" max="6398" width="17.54296875" style="26" customWidth="1"/>
    <col min="6399" max="6399" width="18.1796875" style="26" customWidth="1"/>
    <col min="6400" max="6400" width="17.1796875" style="26" customWidth="1"/>
    <col min="6401" max="6401" width="22.453125" style="26" bestFit="1" customWidth="1"/>
    <col min="6402" max="6402" width="22.1796875" style="26" customWidth="1"/>
    <col min="6403" max="6403" width="17.81640625" style="26" customWidth="1"/>
    <col min="6404" max="6404" width="22.453125" style="26" customWidth="1"/>
    <col min="6405" max="6405" width="10.1796875" style="26" bestFit="1" customWidth="1"/>
    <col min="6406" max="6406" width="13.453125" style="26" customWidth="1"/>
    <col min="6407" max="6407" width="7.453125" style="26" bestFit="1" customWidth="1"/>
    <col min="6408" max="6408" width="15.453125" style="26" bestFit="1" customWidth="1"/>
    <col min="6409" max="6409" width="7.453125" style="26" bestFit="1" customWidth="1"/>
    <col min="6410" max="6410" width="19.54296875" style="26" bestFit="1" customWidth="1"/>
    <col min="6411" max="6411" width="7.453125" style="26" bestFit="1" customWidth="1"/>
    <col min="6412" max="6412" width="26.81640625" style="26" bestFit="1" customWidth="1"/>
    <col min="6413" max="6413" width="19.81640625" style="26" bestFit="1" customWidth="1"/>
    <col min="6414" max="6648" width="11.453125" style="26"/>
    <col min="6649" max="6649" width="2.453125" style="26" customWidth="1"/>
    <col min="6650" max="6650" width="49" style="26" customWidth="1"/>
    <col min="6651" max="6651" width="16.81640625" style="26" customWidth="1"/>
    <col min="6652" max="6652" width="1.1796875" style="26" customWidth="1"/>
    <col min="6653" max="6653" width="20.54296875" style="26" customWidth="1"/>
    <col min="6654" max="6654" width="17.54296875" style="26" customWidth="1"/>
    <col min="6655" max="6655" width="18.1796875" style="26" customWidth="1"/>
    <col min="6656" max="6656" width="17.1796875" style="26" customWidth="1"/>
    <col min="6657" max="6657" width="22.453125" style="26" bestFit="1" customWidth="1"/>
    <col min="6658" max="6658" width="22.1796875" style="26" customWidth="1"/>
    <col min="6659" max="6659" width="17.81640625" style="26" customWidth="1"/>
    <col min="6660" max="6660" width="22.453125" style="26" customWidth="1"/>
    <col min="6661" max="6661" width="10.1796875" style="26" bestFit="1" customWidth="1"/>
    <col min="6662" max="6662" width="13.453125" style="26" customWidth="1"/>
    <col min="6663" max="6663" width="7.453125" style="26" bestFit="1" customWidth="1"/>
    <col min="6664" max="6664" width="15.453125" style="26" bestFit="1" customWidth="1"/>
    <col min="6665" max="6665" width="7.453125" style="26" bestFit="1" customWidth="1"/>
    <col min="6666" max="6666" width="19.54296875" style="26" bestFit="1" customWidth="1"/>
    <col min="6667" max="6667" width="7.453125" style="26" bestFit="1" customWidth="1"/>
    <col min="6668" max="6668" width="26.81640625" style="26" bestFit="1" customWidth="1"/>
    <col min="6669" max="6669" width="19.81640625" style="26" bestFit="1" customWidth="1"/>
    <col min="6670" max="6904" width="11.453125" style="26"/>
    <col min="6905" max="6905" width="2.453125" style="26" customWidth="1"/>
    <col min="6906" max="6906" width="49" style="26" customWidth="1"/>
    <col min="6907" max="6907" width="16.81640625" style="26" customWidth="1"/>
    <col min="6908" max="6908" width="1.1796875" style="26" customWidth="1"/>
    <col min="6909" max="6909" width="20.54296875" style="26" customWidth="1"/>
    <col min="6910" max="6910" width="17.54296875" style="26" customWidth="1"/>
    <col min="6911" max="6911" width="18.1796875" style="26" customWidth="1"/>
    <col min="6912" max="6912" width="17.1796875" style="26" customWidth="1"/>
    <col min="6913" max="6913" width="22.453125" style="26" bestFit="1" customWidth="1"/>
    <col min="6914" max="6914" width="22.1796875" style="26" customWidth="1"/>
    <col min="6915" max="6915" width="17.81640625" style="26" customWidth="1"/>
    <col min="6916" max="6916" width="22.453125" style="26" customWidth="1"/>
    <col min="6917" max="6917" width="10.1796875" style="26" bestFit="1" customWidth="1"/>
    <col min="6918" max="6918" width="13.453125" style="26" customWidth="1"/>
    <col min="6919" max="6919" width="7.453125" style="26" bestFit="1" customWidth="1"/>
    <col min="6920" max="6920" width="15.453125" style="26" bestFit="1" customWidth="1"/>
    <col min="6921" max="6921" width="7.453125" style="26" bestFit="1" customWidth="1"/>
    <col min="6922" max="6922" width="19.54296875" style="26" bestFit="1" customWidth="1"/>
    <col min="6923" max="6923" width="7.453125" style="26" bestFit="1" customWidth="1"/>
    <col min="6924" max="6924" width="26.81640625" style="26" bestFit="1" customWidth="1"/>
    <col min="6925" max="6925" width="19.81640625" style="26" bestFit="1" customWidth="1"/>
    <col min="6926" max="7160" width="11.453125" style="26"/>
    <col min="7161" max="7161" width="2.453125" style="26" customWidth="1"/>
    <col min="7162" max="7162" width="49" style="26" customWidth="1"/>
    <col min="7163" max="7163" width="16.81640625" style="26" customWidth="1"/>
    <col min="7164" max="7164" width="1.1796875" style="26" customWidth="1"/>
    <col min="7165" max="7165" width="20.54296875" style="26" customWidth="1"/>
    <col min="7166" max="7166" width="17.54296875" style="26" customWidth="1"/>
    <col min="7167" max="7167" width="18.1796875" style="26" customWidth="1"/>
    <col min="7168" max="7168" width="17.1796875" style="26" customWidth="1"/>
    <col min="7169" max="7169" width="22.453125" style="26" bestFit="1" customWidth="1"/>
    <col min="7170" max="7170" width="22.1796875" style="26" customWidth="1"/>
    <col min="7171" max="7171" width="17.81640625" style="26" customWidth="1"/>
    <col min="7172" max="7172" width="22.453125" style="26" customWidth="1"/>
    <col min="7173" max="7173" width="10.1796875" style="26" bestFit="1" customWidth="1"/>
    <col min="7174" max="7174" width="13.453125" style="26" customWidth="1"/>
    <col min="7175" max="7175" width="7.453125" style="26" bestFit="1" customWidth="1"/>
    <col min="7176" max="7176" width="15.453125" style="26" bestFit="1" customWidth="1"/>
    <col min="7177" max="7177" width="7.453125" style="26" bestFit="1" customWidth="1"/>
    <col min="7178" max="7178" width="19.54296875" style="26" bestFit="1" customWidth="1"/>
    <col min="7179" max="7179" width="7.453125" style="26" bestFit="1" customWidth="1"/>
    <col min="7180" max="7180" width="26.81640625" style="26" bestFit="1" customWidth="1"/>
    <col min="7181" max="7181" width="19.81640625" style="26" bestFit="1" customWidth="1"/>
    <col min="7182" max="7416" width="11.453125" style="26"/>
    <col min="7417" max="7417" width="2.453125" style="26" customWidth="1"/>
    <col min="7418" max="7418" width="49" style="26" customWidth="1"/>
    <col min="7419" max="7419" width="16.81640625" style="26" customWidth="1"/>
    <col min="7420" max="7420" width="1.1796875" style="26" customWidth="1"/>
    <col min="7421" max="7421" width="20.54296875" style="26" customWidth="1"/>
    <col min="7422" max="7422" width="17.54296875" style="26" customWidth="1"/>
    <col min="7423" max="7423" width="18.1796875" style="26" customWidth="1"/>
    <col min="7424" max="7424" width="17.1796875" style="26" customWidth="1"/>
    <col min="7425" max="7425" width="22.453125" style="26" bestFit="1" customWidth="1"/>
    <col min="7426" max="7426" width="22.1796875" style="26" customWidth="1"/>
    <col min="7427" max="7427" width="17.81640625" style="26" customWidth="1"/>
    <col min="7428" max="7428" width="22.453125" style="26" customWidth="1"/>
    <col min="7429" max="7429" width="10.1796875" style="26" bestFit="1" customWidth="1"/>
    <col min="7430" max="7430" width="13.453125" style="26" customWidth="1"/>
    <col min="7431" max="7431" width="7.453125" style="26" bestFit="1" customWidth="1"/>
    <col min="7432" max="7432" width="15.453125" style="26" bestFit="1" customWidth="1"/>
    <col min="7433" max="7433" width="7.453125" style="26" bestFit="1" customWidth="1"/>
    <col min="7434" max="7434" width="19.54296875" style="26" bestFit="1" customWidth="1"/>
    <col min="7435" max="7435" width="7.453125" style="26" bestFit="1" customWidth="1"/>
    <col min="7436" max="7436" width="26.81640625" style="26" bestFit="1" customWidth="1"/>
    <col min="7437" max="7437" width="19.81640625" style="26" bestFit="1" customWidth="1"/>
    <col min="7438" max="7672" width="11.453125" style="26"/>
    <col min="7673" max="7673" width="2.453125" style="26" customWidth="1"/>
    <col min="7674" max="7674" width="49" style="26" customWidth="1"/>
    <col min="7675" max="7675" width="16.81640625" style="26" customWidth="1"/>
    <col min="7676" max="7676" width="1.1796875" style="26" customWidth="1"/>
    <col min="7677" max="7677" width="20.54296875" style="26" customWidth="1"/>
    <col min="7678" max="7678" width="17.54296875" style="26" customWidth="1"/>
    <col min="7679" max="7679" width="18.1796875" style="26" customWidth="1"/>
    <col min="7680" max="7680" width="17.1796875" style="26" customWidth="1"/>
    <col min="7681" max="7681" width="22.453125" style="26" bestFit="1" customWidth="1"/>
    <col min="7682" max="7682" width="22.1796875" style="26" customWidth="1"/>
    <col min="7683" max="7683" width="17.81640625" style="26" customWidth="1"/>
    <col min="7684" max="7684" width="22.453125" style="26" customWidth="1"/>
    <col min="7685" max="7685" width="10.1796875" style="26" bestFit="1" customWidth="1"/>
    <col min="7686" max="7686" width="13.453125" style="26" customWidth="1"/>
    <col min="7687" max="7687" width="7.453125" style="26" bestFit="1" customWidth="1"/>
    <col min="7688" max="7688" width="15.453125" style="26" bestFit="1" customWidth="1"/>
    <col min="7689" max="7689" width="7.453125" style="26" bestFit="1" customWidth="1"/>
    <col min="7690" max="7690" width="19.54296875" style="26" bestFit="1" customWidth="1"/>
    <col min="7691" max="7691" width="7.453125" style="26" bestFit="1" customWidth="1"/>
    <col min="7692" max="7692" width="26.81640625" style="26" bestFit="1" customWidth="1"/>
    <col min="7693" max="7693" width="19.81640625" style="26" bestFit="1" customWidth="1"/>
    <col min="7694" max="7928" width="11.453125" style="26"/>
    <col min="7929" max="7929" width="2.453125" style="26" customWidth="1"/>
    <col min="7930" max="7930" width="49" style="26" customWidth="1"/>
    <col min="7931" max="7931" width="16.81640625" style="26" customWidth="1"/>
    <col min="7932" max="7932" width="1.1796875" style="26" customWidth="1"/>
    <col min="7933" max="7933" width="20.54296875" style="26" customWidth="1"/>
    <col min="7934" max="7934" width="17.54296875" style="26" customWidth="1"/>
    <col min="7935" max="7935" width="18.1796875" style="26" customWidth="1"/>
    <col min="7936" max="7936" width="17.1796875" style="26" customWidth="1"/>
    <col min="7937" max="7937" width="22.453125" style="26" bestFit="1" customWidth="1"/>
    <col min="7938" max="7938" width="22.1796875" style="26" customWidth="1"/>
    <col min="7939" max="7939" width="17.81640625" style="26" customWidth="1"/>
    <col min="7940" max="7940" width="22.453125" style="26" customWidth="1"/>
    <col min="7941" max="7941" width="10.1796875" style="26" bestFit="1" customWidth="1"/>
    <col min="7942" max="7942" width="13.453125" style="26" customWidth="1"/>
    <col min="7943" max="7943" width="7.453125" style="26" bestFit="1" customWidth="1"/>
    <col min="7944" max="7944" width="15.453125" style="26" bestFit="1" customWidth="1"/>
    <col min="7945" max="7945" width="7.453125" style="26" bestFit="1" customWidth="1"/>
    <col min="7946" max="7946" width="19.54296875" style="26" bestFit="1" customWidth="1"/>
    <col min="7947" max="7947" width="7.453125" style="26" bestFit="1" customWidth="1"/>
    <col min="7948" max="7948" width="26.81640625" style="26" bestFit="1" customWidth="1"/>
    <col min="7949" max="7949" width="19.81640625" style="26" bestFit="1" customWidth="1"/>
    <col min="7950" max="8184" width="11.453125" style="26"/>
    <col min="8185" max="8185" width="2.453125" style="26" customWidth="1"/>
    <col min="8186" max="8186" width="49" style="26" customWidth="1"/>
    <col min="8187" max="8187" width="16.81640625" style="26" customWidth="1"/>
    <col min="8188" max="8188" width="1.1796875" style="26" customWidth="1"/>
    <col min="8189" max="8189" width="20.54296875" style="26" customWidth="1"/>
    <col min="8190" max="8190" width="17.54296875" style="26" customWidth="1"/>
    <col min="8191" max="8191" width="18.1796875" style="26" customWidth="1"/>
    <col min="8192" max="8192" width="17.1796875" style="26" customWidth="1"/>
    <col min="8193" max="8193" width="22.453125" style="26" bestFit="1" customWidth="1"/>
    <col min="8194" max="8194" width="22.1796875" style="26" customWidth="1"/>
    <col min="8195" max="8195" width="17.81640625" style="26" customWidth="1"/>
    <col min="8196" max="8196" width="22.453125" style="26" customWidth="1"/>
    <col min="8197" max="8197" width="10.1796875" style="26" bestFit="1" customWidth="1"/>
    <col min="8198" max="8198" width="13.453125" style="26" customWidth="1"/>
    <col min="8199" max="8199" width="7.453125" style="26" bestFit="1" customWidth="1"/>
    <col min="8200" max="8200" width="15.453125" style="26" bestFit="1" customWidth="1"/>
    <col min="8201" max="8201" width="7.453125" style="26" bestFit="1" customWidth="1"/>
    <col min="8202" max="8202" width="19.54296875" style="26" bestFit="1" customWidth="1"/>
    <col min="8203" max="8203" width="7.453125" style="26" bestFit="1" customWidth="1"/>
    <col min="8204" max="8204" width="26.81640625" style="26" bestFit="1" customWidth="1"/>
    <col min="8205" max="8205" width="19.81640625" style="26" bestFit="1" customWidth="1"/>
    <col min="8206" max="8440" width="11.453125" style="26"/>
    <col min="8441" max="8441" width="2.453125" style="26" customWidth="1"/>
    <col min="8442" max="8442" width="49" style="26" customWidth="1"/>
    <col min="8443" max="8443" width="16.81640625" style="26" customWidth="1"/>
    <col min="8444" max="8444" width="1.1796875" style="26" customWidth="1"/>
    <col min="8445" max="8445" width="20.54296875" style="26" customWidth="1"/>
    <col min="8446" max="8446" width="17.54296875" style="26" customWidth="1"/>
    <col min="8447" max="8447" width="18.1796875" style="26" customWidth="1"/>
    <col min="8448" max="8448" width="17.1796875" style="26" customWidth="1"/>
    <col min="8449" max="8449" width="22.453125" style="26" bestFit="1" customWidth="1"/>
    <col min="8450" max="8450" width="22.1796875" style="26" customWidth="1"/>
    <col min="8451" max="8451" width="17.81640625" style="26" customWidth="1"/>
    <col min="8452" max="8452" width="22.453125" style="26" customWidth="1"/>
    <col min="8453" max="8453" width="10.1796875" style="26" bestFit="1" customWidth="1"/>
    <col min="8454" max="8454" width="13.453125" style="26" customWidth="1"/>
    <col min="8455" max="8455" width="7.453125" style="26" bestFit="1" customWidth="1"/>
    <col min="8456" max="8456" width="15.453125" style="26" bestFit="1" customWidth="1"/>
    <col min="8457" max="8457" width="7.453125" style="26" bestFit="1" customWidth="1"/>
    <col min="8458" max="8458" width="19.54296875" style="26" bestFit="1" customWidth="1"/>
    <col min="8459" max="8459" width="7.453125" style="26" bestFit="1" customWidth="1"/>
    <col min="8460" max="8460" width="26.81640625" style="26" bestFit="1" customWidth="1"/>
    <col min="8461" max="8461" width="19.81640625" style="26" bestFit="1" customWidth="1"/>
    <col min="8462" max="8696" width="11.453125" style="26"/>
    <col min="8697" max="8697" width="2.453125" style="26" customWidth="1"/>
    <col min="8698" max="8698" width="49" style="26" customWidth="1"/>
    <col min="8699" max="8699" width="16.81640625" style="26" customWidth="1"/>
    <col min="8700" max="8700" width="1.1796875" style="26" customWidth="1"/>
    <col min="8701" max="8701" width="20.54296875" style="26" customWidth="1"/>
    <col min="8702" max="8702" width="17.54296875" style="26" customWidth="1"/>
    <col min="8703" max="8703" width="18.1796875" style="26" customWidth="1"/>
    <col min="8704" max="8704" width="17.1796875" style="26" customWidth="1"/>
    <col min="8705" max="8705" width="22.453125" style="26" bestFit="1" customWidth="1"/>
    <col min="8706" max="8706" width="22.1796875" style="26" customWidth="1"/>
    <col min="8707" max="8707" width="17.81640625" style="26" customWidth="1"/>
    <col min="8708" max="8708" width="22.453125" style="26" customWidth="1"/>
    <col min="8709" max="8709" width="10.1796875" style="26" bestFit="1" customWidth="1"/>
    <col min="8710" max="8710" width="13.453125" style="26" customWidth="1"/>
    <col min="8711" max="8711" width="7.453125" style="26" bestFit="1" customWidth="1"/>
    <col min="8712" max="8712" width="15.453125" style="26" bestFit="1" customWidth="1"/>
    <col min="8713" max="8713" width="7.453125" style="26" bestFit="1" customWidth="1"/>
    <col min="8714" max="8714" width="19.54296875" style="26" bestFit="1" customWidth="1"/>
    <col min="8715" max="8715" width="7.453125" style="26" bestFit="1" customWidth="1"/>
    <col min="8716" max="8716" width="26.81640625" style="26" bestFit="1" customWidth="1"/>
    <col min="8717" max="8717" width="19.81640625" style="26" bestFit="1" customWidth="1"/>
    <col min="8718" max="8952" width="11.453125" style="26"/>
    <col min="8953" max="8953" width="2.453125" style="26" customWidth="1"/>
    <col min="8954" max="8954" width="49" style="26" customWidth="1"/>
    <col min="8955" max="8955" width="16.81640625" style="26" customWidth="1"/>
    <col min="8956" max="8956" width="1.1796875" style="26" customWidth="1"/>
    <col min="8957" max="8957" width="20.54296875" style="26" customWidth="1"/>
    <col min="8958" max="8958" width="17.54296875" style="26" customWidth="1"/>
    <col min="8959" max="8959" width="18.1796875" style="26" customWidth="1"/>
    <col min="8960" max="8960" width="17.1796875" style="26" customWidth="1"/>
    <col min="8961" max="8961" width="22.453125" style="26" bestFit="1" customWidth="1"/>
    <col min="8962" max="8962" width="22.1796875" style="26" customWidth="1"/>
    <col min="8963" max="8963" width="17.81640625" style="26" customWidth="1"/>
    <col min="8964" max="8964" width="22.453125" style="26" customWidth="1"/>
    <col min="8965" max="8965" width="10.1796875" style="26" bestFit="1" customWidth="1"/>
    <col min="8966" max="8966" width="13.453125" style="26" customWidth="1"/>
    <col min="8967" max="8967" width="7.453125" style="26" bestFit="1" customWidth="1"/>
    <col min="8968" max="8968" width="15.453125" style="26" bestFit="1" customWidth="1"/>
    <col min="8969" max="8969" width="7.453125" style="26" bestFit="1" customWidth="1"/>
    <col min="8970" max="8970" width="19.54296875" style="26" bestFit="1" customWidth="1"/>
    <col min="8971" max="8971" width="7.453125" style="26" bestFit="1" customWidth="1"/>
    <col min="8972" max="8972" width="26.81640625" style="26" bestFit="1" customWidth="1"/>
    <col min="8973" max="8973" width="19.81640625" style="26" bestFit="1" customWidth="1"/>
    <col min="8974" max="9208" width="11.453125" style="26"/>
    <col min="9209" max="9209" width="2.453125" style="26" customWidth="1"/>
    <col min="9210" max="9210" width="49" style="26" customWidth="1"/>
    <col min="9211" max="9211" width="16.81640625" style="26" customWidth="1"/>
    <col min="9212" max="9212" width="1.1796875" style="26" customWidth="1"/>
    <col min="9213" max="9213" width="20.54296875" style="26" customWidth="1"/>
    <col min="9214" max="9214" width="17.54296875" style="26" customWidth="1"/>
    <col min="9215" max="9215" width="18.1796875" style="26" customWidth="1"/>
    <col min="9216" max="9216" width="17.1796875" style="26" customWidth="1"/>
    <col min="9217" max="9217" width="22.453125" style="26" bestFit="1" customWidth="1"/>
    <col min="9218" max="9218" width="22.1796875" style="26" customWidth="1"/>
    <col min="9219" max="9219" width="17.81640625" style="26" customWidth="1"/>
    <col min="9220" max="9220" width="22.453125" style="26" customWidth="1"/>
    <col min="9221" max="9221" width="10.1796875" style="26" bestFit="1" customWidth="1"/>
    <col min="9222" max="9222" width="13.453125" style="26" customWidth="1"/>
    <col min="9223" max="9223" width="7.453125" style="26" bestFit="1" customWidth="1"/>
    <col min="9224" max="9224" width="15.453125" style="26" bestFit="1" customWidth="1"/>
    <col min="9225" max="9225" width="7.453125" style="26" bestFit="1" customWidth="1"/>
    <col min="9226" max="9226" width="19.54296875" style="26" bestFit="1" customWidth="1"/>
    <col min="9227" max="9227" width="7.453125" style="26" bestFit="1" customWidth="1"/>
    <col min="9228" max="9228" width="26.81640625" style="26" bestFit="1" customWidth="1"/>
    <col min="9229" max="9229" width="19.81640625" style="26" bestFit="1" customWidth="1"/>
    <col min="9230" max="9464" width="11.453125" style="26"/>
    <col min="9465" max="9465" width="2.453125" style="26" customWidth="1"/>
    <col min="9466" max="9466" width="49" style="26" customWidth="1"/>
    <col min="9467" max="9467" width="16.81640625" style="26" customWidth="1"/>
    <col min="9468" max="9468" width="1.1796875" style="26" customWidth="1"/>
    <col min="9469" max="9469" width="20.54296875" style="26" customWidth="1"/>
    <col min="9470" max="9470" width="17.54296875" style="26" customWidth="1"/>
    <col min="9471" max="9471" width="18.1796875" style="26" customWidth="1"/>
    <col min="9472" max="9472" width="17.1796875" style="26" customWidth="1"/>
    <col min="9473" max="9473" width="22.453125" style="26" bestFit="1" customWidth="1"/>
    <col min="9474" max="9474" width="22.1796875" style="26" customWidth="1"/>
    <col min="9475" max="9475" width="17.81640625" style="26" customWidth="1"/>
    <col min="9476" max="9476" width="22.453125" style="26" customWidth="1"/>
    <col min="9477" max="9477" width="10.1796875" style="26" bestFit="1" customWidth="1"/>
    <col min="9478" max="9478" width="13.453125" style="26" customWidth="1"/>
    <col min="9479" max="9479" width="7.453125" style="26" bestFit="1" customWidth="1"/>
    <col min="9480" max="9480" width="15.453125" style="26" bestFit="1" customWidth="1"/>
    <col min="9481" max="9481" width="7.453125" style="26" bestFit="1" customWidth="1"/>
    <col min="9482" max="9482" width="19.54296875" style="26" bestFit="1" customWidth="1"/>
    <col min="9483" max="9483" width="7.453125" style="26" bestFit="1" customWidth="1"/>
    <col min="9484" max="9484" width="26.81640625" style="26" bestFit="1" customWidth="1"/>
    <col min="9485" max="9485" width="19.81640625" style="26" bestFit="1" customWidth="1"/>
    <col min="9486" max="9720" width="11.453125" style="26"/>
    <col min="9721" max="9721" width="2.453125" style="26" customWidth="1"/>
    <col min="9722" max="9722" width="49" style="26" customWidth="1"/>
    <col min="9723" max="9723" width="16.81640625" style="26" customWidth="1"/>
    <col min="9724" max="9724" width="1.1796875" style="26" customWidth="1"/>
    <col min="9725" max="9725" width="20.54296875" style="26" customWidth="1"/>
    <col min="9726" max="9726" width="17.54296875" style="26" customWidth="1"/>
    <col min="9727" max="9727" width="18.1796875" style="26" customWidth="1"/>
    <col min="9728" max="9728" width="17.1796875" style="26" customWidth="1"/>
    <col min="9729" max="9729" width="22.453125" style="26" bestFit="1" customWidth="1"/>
    <col min="9730" max="9730" width="22.1796875" style="26" customWidth="1"/>
    <col min="9731" max="9731" width="17.81640625" style="26" customWidth="1"/>
    <col min="9732" max="9732" width="22.453125" style="26" customWidth="1"/>
    <col min="9733" max="9733" width="10.1796875" style="26" bestFit="1" customWidth="1"/>
    <col min="9734" max="9734" width="13.453125" style="26" customWidth="1"/>
    <col min="9735" max="9735" width="7.453125" style="26" bestFit="1" customWidth="1"/>
    <col min="9736" max="9736" width="15.453125" style="26" bestFit="1" customWidth="1"/>
    <col min="9737" max="9737" width="7.453125" style="26" bestFit="1" customWidth="1"/>
    <col min="9738" max="9738" width="19.54296875" style="26" bestFit="1" customWidth="1"/>
    <col min="9739" max="9739" width="7.453125" style="26" bestFit="1" customWidth="1"/>
    <col min="9740" max="9740" width="26.81640625" style="26" bestFit="1" customWidth="1"/>
    <col min="9741" max="9741" width="19.81640625" style="26" bestFit="1" customWidth="1"/>
    <col min="9742" max="9976" width="11.453125" style="26"/>
    <col min="9977" max="9977" width="2.453125" style="26" customWidth="1"/>
    <col min="9978" max="9978" width="49" style="26" customWidth="1"/>
    <col min="9979" max="9979" width="16.81640625" style="26" customWidth="1"/>
    <col min="9980" max="9980" width="1.1796875" style="26" customWidth="1"/>
    <col min="9981" max="9981" width="20.54296875" style="26" customWidth="1"/>
    <col min="9982" max="9982" width="17.54296875" style="26" customWidth="1"/>
    <col min="9983" max="9983" width="18.1796875" style="26" customWidth="1"/>
    <col min="9984" max="9984" width="17.1796875" style="26" customWidth="1"/>
    <col min="9985" max="9985" width="22.453125" style="26" bestFit="1" customWidth="1"/>
    <col min="9986" max="9986" width="22.1796875" style="26" customWidth="1"/>
    <col min="9987" max="9987" width="17.81640625" style="26" customWidth="1"/>
    <col min="9988" max="9988" width="22.453125" style="26" customWidth="1"/>
    <col min="9989" max="9989" width="10.1796875" style="26" bestFit="1" customWidth="1"/>
    <col min="9990" max="9990" width="13.453125" style="26" customWidth="1"/>
    <col min="9991" max="9991" width="7.453125" style="26" bestFit="1" customWidth="1"/>
    <col min="9992" max="9992" width="15.453125" style="26" bestFit="1" customWidth="1"/>
    <col min="9993" max="9993" width="7.453125" style="26" bestFit="1" customWidth="1"/>
    <col min="9994" max="9994" width="19.54296875" style="26" bestFit="1" customWidth="1"/>
    <col min="9995" max="9995" width="7.453125" style="26" bestFit="1" customWidth="1"/>
    <col min="9996" max="9996" width="26.81640625" style="26" bestFit="1" customWidth="1"/>
    <col min="9997" max="9997" width="19.81640625" style="26" bestFit="1" customWidth="1"/>
    <col min="9998" max="10232" width="11.453125" style="26"/>
    <col min="10233" max="10233" width="2.453125" style="26" customWidth="1"/>
    <col min="10234" max="10234" width="49" style="26" customWidth="1"/>
    <col min="10235" max="10235" width="16.81640625" style="26" customWidth="1"/>
    <col min="10236" max="10236" width="1.1796875" style="26" customWidth="1"/>
    <col min="10237" max="10237" width="20.54296875" style="26" customWidth="1"/>
    <col min="10238" max="10238" width="17.54296875" style="26" customWidth="1"/>
    <col min="10239" max="10239" width="18.1796875" style="26" customWidth="1"/>
    <col min="10240" max="10240" width="17.1796875" style="26" customWidth="1"/>
    <col min="10241" max="10241" width="22.453125" style="26" bestFit="1" customWidth="1"/>
    <col min="10242" max="10242" width="22.1796875" style="26" customWidth="1"/>
    <col min="10243" max="10243" width="17.81640625" style="26" customWidth="1"/>
    <col min="10244" max="10244" width="22.453125" style="26" customWidth="1"/>
    <col min="10245" max="10245" width="10.1796875" style="26" bestFit="1" customWidth="1"/>
    <col min="10246" max="10246" width="13.453125" style="26" customWidth="1"/>
    <col min="10247" max="10247" width="7.453125" style="26" bestFit="1" customWidth="1"/>
    <col min="10248" max="10248" width="15.453125" style="26" bestFit="1" customWidth="1"/>
    <col min="10249" max="10249" width="7.453125" style="26" bestFit="1" customWidth="1"/>
    <col min="10250" max="10250" width="19.54296875" style="26" bestFit="1" customWidth="1"/>
    <col min="10251" max="10251" width="7.453125" style="26" bestFit="1" customWidth="1"/>
    <col min="10252" max="10252" width="26.81640625" style="26" bestFit="1" customWidth="1"/>
    <col min="10253" max="10253" width="19.81640625" style="26" bestFit="1" customWidth="1"/>
    <col min="10254" max="10488" width="11.453125" style="26"/>
    <col min="10489" max="10489" width="2.453125" style="26" customWidth="1"/>
    <col min="10490" max="10490" width="49" style="26" customWidth="1"/>
    <col min="10491" max="10491" width="16.81640625" style="26" customWidth="1"/>
    <col min="10492" max="10492" width="1.1796875" style="26" customWidth="1"/>
    <col min="10493" max="10493" width="20.54296875" style="26" customWidth="1"/>
    <col min="10494" max="10494" width="17.54296875" style="26" customWidth="1"/>
    <col min="10495" max="10495" width="18.1796875" style="26" customWidth="1"/>
    <col min="10496" max="10496" width="17.1796875" style="26" customWidth="1"/>
    <col min="10497" max="10497" width="22.453125" style="26" bestFit="1" customWidth="1"/>
    <col min="10498" max="10498" width="22.1796875" style="26" customWidth="1"/>
    <col min="10499" max="10499" width="17.81640625" style="26" customWidth="1"/>
    <col min="10500" max="10500" width="22.453125" style="26" customWidth="1"/>
    <col min="10501" max="10501" width="10.1796875" style="26" bestFit="1" customWidth="1"/>
    <col min="10502" max="10502" width="13.453125" style="26" customWidth="1"/>
    <col min="10503" max="10503" width="7.453125" style="26" bestFit="1" customWidth="1"/>
    <col min="10504" max="10504" width="15.453125" style="26" bestFit="1" customWidth="1"/>
    <col min="10505" max="10505" width="7.453125" style="26" bestFit="1" customWidth="1"/>
    <col min="10506" max="10506" width="19.54296875" style="26" bestFit="1" customWidth="1"/>
    <col min="10507" max="10507" width="7.453125" style="26" bestFit="1" customWidth="1"/>
    <col min="10508" max="10508" width="26.81640625" style="26" bestFit="1" customWidth="1"/>
    <col min="10509" max="10509" width="19.81640625" style="26" bestFit="1" customWidth="1"/>
    <col min="10510" max="10744" width="11.453125" style="26"/>
    <col min="10745" max="10745" width="2.453125" style="26" customWidth="1"/>
    <col min="10746" max="10746" width="49" style="26" customWidth="1"/>
    <col min="10747" max="10747" width="16.81640625" style="26" customWidth="1"/>
    <col min="10748" max="10748" width="1.1796875" style="26" customWidth="1"/>
    <col min="10749" max="10749" width="20.54296875" style="26" customWidth="1"/>
    <col min="10750" max="10750" width="17.54296875" style="26" customWidth="1"/>
    <col min="10751" max="10751" width="18.1796875" style="26" customWidth="1"/>
    <col min="10752" max="10752" width="17.1796875" style="26" customWidth="1"/>
    <col min="10753" max="10753" width="22.453125" style="26" bestFit="1" customWidth="1"/>
    <col min="10754" max="10754" width="22.1796875" style="26" customWidth="1"/>
    <col min="10755" max="10755" width="17.81640625" style="26" customWidth="1"/>
    <col min="10756" max="10756" width="22.453125" style="26" customWidth="1"/>
    <col min="10757" max="10757" width="10.1796875" style="26" bestFit="1" customWidth="1"/>
    <col min="10758" max="10758" width="13.453125" style="26" customWidth="1"/>
    <col min="10759" max="10759" width="7.453125" style="26" bestFit="1" customWidth="1"/>
    <col min="10760" max="10760" width="15.453125" style="26" bestFit="1" customWidth="1"/>
    <col min="10761" max="10761" width="7.453125" style="26" bestFit="1" customWidth="1"/>
    <col min="10762" max="10762" width="19.54296875" style="26" bestFit="1" customWidth="1"/>
    <col min="10763" max="10763" width="7.453125" style="26" bestFit="1" customWidth="1"/>
    <col min="10764" max="10764" width="26.81640625" style="26" bestFit="1" customWidth="1"/>
    <col min="10765" max="10765" width="19.81640625" style="26" bestFit="1" customWidth="1"/>
    <col min="10766" max="11000" width="11.453125" style="26"/>
    <col min="11001" max="11001" width="2.453125" style="26" customWidth="1"/>
    <col min="11002" max="11002" width="49" style="26" customWidth="1"/>
    <col min="11003" max="11003" width="16.81640625" style="26" customWidth="1"/>
    <col min="11004" max="11004" width="1.1796875" style="26" customWidth="1"/>
    <col min="11005" max="11005" width="20.54296875" style="26" customWidth="1"/>
    <col min="11006" max="11006" width="17.54296875" style="26" customWidth="1"/>
    <col min="11007" max="11007" width="18.1796875" style="26" customWidth="1"/>
    <col min="11008" max="11008" width="17.1796875" style="26" customWidth="1"/>
    <col min="11009" max="11009" width="22.453125" style="26" bestFit="1" customWidth="1"/>
    <col min="11010" max="11010" width="22.1796875" style="26" customWidth="1"/>
    <col min="11011" max="11011" width="17.81640625" style="26" customWidth="1"/>
    <col min="11012" max="11012" width="22.453125" style="26" customWidth="1"/>
    <col min="11013" max="11013" width="10.1796875" style="26" bestFit="1" customWidth="1"/>
    <col min="11014" max="11014" width="13.453125" style="26" customWidth="1"/>
    <col min="11015" max="11015" width="7.453125" style="26" bestFit="1" customWidth="1"/>
    <col min="11016" max="11016" width="15.453125" style="26" bestFit="1" customWidth="1"/>
    <col min="11017" max="11017" width="7.453125" style="26" bestFit="1" customWidth="1"/>
    <col min="11018" max="11018" width="19.54296875" style="26" bestFit="1" customWidth="1"/>
    <col min="11019" max="11019" width="7.453125" style="26" bestFit="1" customWidth="1"/>
    <col min="11020" max="11020" width="26.81640625" style="26" bestFit="1" customWidth="1"/>
    <col min="11021" max="11021" width="19.81640625" style="26" bestFit="1" customWidth="1"/>
    <col min="11022" max="11256" width="11.453125" style="26"/>
    <col min="11257" max="11257" width="2.453125" style="26" customWidth="1"/>
    <col min="11258" max="11258" width="49" style="26" customWidth="1"/>
    <col min="11259" max="11259" width="16.81640625" style="26" customWidth="1"/>
    <col min="11260" max="11260" width="1.1796875" style="26" customWidth="1"/>
    <col min="11261" max="11261" width="20.54296875" style="26" customWidth="1"/>
    <col min="11262" max="11262" width="17.54296875" style="26" customWidth="1"/>
    <col min="11263" max="11263" width="18.1796875" style="26" customWidth="1"/>
    <col min="11264" max="11264" width="17.1796875" style="26" customWidth="1"/>
    <col min="11265" max="11265" width="22.453125" style="26" bestFit="1" customWidth="1"/>
    <col min="11266" max="11266" width="22.1796875" style="26" customWidth="1"/>
    <col min="11267" max="11267" width="17.81640625" style="26" customWidth="1"/>
    <col min="11268" max="11268" width="22.453125" style="26" customWidth="1"/>
    <col min="11269" max="11269" width="10.1796875" style="26" bestFit="1" customWidth="1"/>
    <col min="11270" max="11270" width="13.453125" style="26" customWidth="1"/>
    <col min="11271" max="11271" width="7.453125" style="26" bestFit="1" customWidth="1"/>
    <col min="11272" max="11272" width="15.453125" style="26" bestFit="1" customWidth="1"/>
    <col min="11273" max="11273" width="7.453125" style="26" bestFit="1" customWidth="1"/>
    <col min="11274" max="11274" width="19.54296875" style="26" bestFit="1" customWidth="1"/>
    <col min="11275" max="11275" width="7.453125" style="26" bestFit="1" customWidth="1"/>
    <col min="11276" max="11276" width="26.81640625" style="26" bestFit="1" customWidth="1"/>
    <col min="11277" max="11277" width="19.81640625" style="26" bestFit="1" customWidth="1"/>
    <col min="11278" max="11512" width="11.453125" style="26"/>
    <col min="11513" max="11513" width="2.453125" style="26" customWidth="1"/>
    <col min="11514" max="11514" width="49" style="26" customWidth="1"/>
    <col min="11515" max="11515" width="16.81640625" style="26" customWidth="1"/>
    <col min="11516" max="11516" width="1.1796875" style="26" customWidth="1"/>
    <col min="11517" max="11517" width="20.54296875" style="26" customWidth="1"/>
    <col min="11518" max="11518" width="17.54296875" style="26" customWidth="1"/>
    <col min="11519" max="11519" width="18.1796875" style="26" customWidth="1"/>
    <col min="11520" max="11520" width="17.1796875" style="26" customWidth="1"/>
    <col min="11521" max="11521" width="22.453125" style="26" bestFit="1" customWidth="1"/>
    <col min="11522" max="11522" width="22.1796875" style="26" customWidth="1"/>
    <col min="11523" max="11523" width="17.81640625" style="26" customWidth="1"/>
    <col min="11524" max="11524" width="22.453125" style="26" customWidth="1"/>
    <col min="11525" max="11525" width="10.1796875" style="26" bestFit="1" customWidth="1"/>
    <col min="11526" max="11526" width="13.453125" style="26" customWidth="1"/>
    <col min="11527" max="11527" width="7.453125" style="26" bestFit="1" customWidth="1"/>
    <col min="11528" max="11528" width="15.453125" style="26" bestFit="1" customWidth="1"/>
    <col min="11529" max="11529" width="7.453125" style="26" bestFit="1" customWidth="1"/>
    <col min="11530" max="11530" width="19.54296875" style="26" bestFit="1" customWidth="1"/>
    <col min="11531" max="11531" width="7.453125" style="26" bestFit="1" customWidth="1"/>
    <col min="11532" max="11532" width="26.81640625" style="26" bestFit="1" customWidth="1"/>
    <col min="11533" max="11533" width="19.81640625" style="26" bestFit="1" customWidth="1"/>
    <col min="11534" max="11768" width="11.453125" style="26"/>
    <col min="11769" max="11769" width="2.453125" style="26" customWidth="1"/>
    <col min="11770" max="11770" width="49" style="26" customWidth="1"/>
    <col min="11771" max="11771" width="16.81640625" style="26" customWidth="1"/>
    <col min="11772" max="11772" width="1.1796875" style="26" customWidth="1"/>
    <col min="11773" max="11773" width="20.54296875" style="26" customWidth="1"/>
    <col min="11774" max="11774" width="17.54296875" style="26" customWidth="1"/>
    <col min="11775" max="11775" width="18.1796875" style="26" customWidth="1"/>
    <col min="11776" max="11776" width="17.1796875" style="26" customWidth="1"/>
    <col min="11777" max="11777" width="22.453125" style="26" bestFit="1" customWidth="1"/>
    <col min="11778" max="11778" width="22.1796875" style="26" customWidth="1"/>
    <col min="11779" max="11779" width="17.81640625" style="26" customWidth="1"/>
    <col min="11780" max="11780" width="22.453125" style="26" customWidth="1"/>
    <col min="11781" max="11781" width="10.1796875" style="26" bestFit="1" customWidth="1"/>
    <col min="11782" max="11782" width="13.453125" style="26" customWidth="1"/>
    <col min="11783" max="11783" width="7.453125" style="26" bestFit="1" customWidth="1"/>
    <col min="11784" max="11784" width="15.453125" style="26" bestFit="1" customWidth="1"/>
    <col min="11785" max="11785" width="7.453125" style="26" bestFit="1" customWidth="1"/>
    <col min="11786" max="11786" width="19.54296875" style="26" bestFit="1" customWidth="1"/>
    <col min="11787" max="11787" width="7.453125" style="26" bestFit="1" customWidth="1"/>
    <col min="11788" max="11788" width="26.81640625" style="26" bestFit="1" customWidth="1"/>
    <col min="11789" max="11789" width="19.81640625" style="26" bestFit="1" customWidth="1"/>
    <col min="11790" max="12024" width="11.453125" style="26"/>
    <col min="12025" max="12025" width="2.453125" style="26" customWidth="1"/>
    <col min="12026" max="12026" width="49" style="26" customWidth="1"/>
    <col min="12027" max="12027" width="16.81640625" style="26" customWidth="1"/>
    <col min="12028" max="12028" width="1.1796875" style="26" customWidth="1"/>
    <col min="12029" max="12029" width="20.54296875" style="26" customWidth="1"/>
    <col min="12030" max="12030" width="17.54296875" style="26" customWidth="1"/>
    <col min="12031" max="12031" width="18.1796875" style="26" customWidth="1"/>
    <col min="12032" max="12032" width="17.1796875" style="26" customWidth="1"/>
    <col min="12033" max="12033" width="22.453125" style="26" bestFit="1" customWidth="1"/>
    <col min="12034" max="12034" width="22.1796875" style="26" customWidth="1"/>
    <col min="12035" max="12035" width="17.81640625" style="26" customWidth="1"/>
    <col min="12036" max="12036" width="22.453125" style="26" customWidth="1"/>
    <col min="12037" max="12037" width="10.1796875" style="26" bestFit="1" customWidth="1"/>
    <col min="12038" max="12038" width="13.453125" style="26" customWidth="1"/>
    <col min="12039" max="12039" width="7.453125" style="26" bestFit="1" customWidth="1"/>
    <col min="12040" max="12040" width="15.453125" style="26" bestFit="1" customWidth="1"/>
    <col min="12041" max="12041" width="7.453125" style="26" bestFit="1" customWidth="1"/>
    <col min="12042" max="12042" width="19.54296875" style="26" bestFit="1" customWidth="1"/>
    <col min="12043" max="12043" width="7.453125" style="26" bestFit="1" customWidth="1"/>
    <col min="12044" max="12044" width="26.81640625" style="26" bestFit="1" customWidth="1"/>
    <col min="12045" max="12045" width="19.81640625" style="26" bestFit="1" customWidth="1"/>
    <col min="12046" max="12280" width="11.453125" style="26"/>
    <col min="12281" max="12281" width="2.453125" style="26" customWidth="1"/>
    <col min="12282" max="12282" width="49" style="26" customWidth="1"/>
    <col min="12283" max="12283" width="16.81640625" style="26" customWidth="1"/>
    <col min="12284" max="12284" width="1.1796875" style="26" customWidth="1"/>
    <col min="12285" max="12285" width="20.54296875" style="26" customWidth="1"/>
    <col min="12286" max="12286" width="17.54296875" style="26" customWidth="1"/>
    <col min="12287" max="12287" width="18.1796875" style="26" customWidth="1"/>
    <col min="12288" max="12288" width="17.1796875" style="26" customWidth="1"/>
    <col min="12289" max="12289" width="22.453125" style="26" bestFit="1" customWidth="1"/>
    <col min="12290" max="12290" width="22.1796875" style="26" customWidth="1"/>
    <col min="12291" max="12291" width="17.81640625" style="26" customWidth="1"/>
    <col min="12292" max="12292" width="22.453125" style="26" customWidth="1"/>
    <col min="12293" max="12293" width="10.1796875" style="26" bestFit="1" customWidth="1"/>
    <col min="12294" max="12294" width="13.453125" style="26" customWidth="1"/>
    <col min="12295" max="12295" width="7.453125" style="26" bestFit="1" customWidth="1"/>
    <col min="12296" max="12296" width="15.453125" style="26" bestFit="1" customWidth="1"/>
    <col min="12297" max="12297" width="7.453125" style="26" bestFit="1" customWidth="1"/>
    <col min="12298" max="12298" width="19.54296875" style="26" bestFit="1" customWidth="1"/>
    <col min="12299" max="12299" width="7.453125" style="26" bestFit="1" customWidth="1"/>
    <col min="12300" max="12300" width="26.81640625" style="26" bestFit="1" customWidth="1"/>
    <col min="12301" max="12301" width="19.81640625" style="26" bestFit="1" customWidth="1"/>
    <col min="12302" max="12536" width="11.453125" style="26"/>
    <col min="12537" max="12537" width="2.453125" style="26" customWidth="1"/>
    <col min="12538" max="12538" width="49" style="26" customWidth="1"/>
    <col min="12539" max="12539" width="16.81640625" style="26" customWidth="1"/>
    <col min="12540" max="12540" width="1.1796875" style="26" customWidth="1"/>
    <col min="12541" max="12541" width="20.54296875" style="26" customWidth="1"/>
    <col min="12542" max="12542" width="17.54296875" style="26" customWidth="1"/>
    <col min="12543" max="12543" width="18.1796875" style="26" customWidth="1"/>
    <col min="12544" max="12544" width="17.1796875" style="26" customWidth="1"/>
    <col min="12545" max="12545" width="22.453125" style="26" bestFit="1" customWidth="1"/>
    <col min="12546" max="12546" width="22.1796875" style="26" customWidth="1"/>
    <col min="12547" max="12547" width="17.81640625" style="26" customWidth="1"/>
    <col min="12548" max="12548" width="22.453125" style="26" customWidth="1"/>
    <col min="12549" max="12549" width="10.1796875" style="26" bestFit="1" customWidth="1"/>
    <col min="12550" max="12550" width="13.453125" style="26" customWidth="1"/>
    <col min="12551" max="12551" width="7.453125" style="26" bestFit="1" customWidth="1"/>
    <col min="12552" max="12552" width="15.453125" style="26" bestFit="1" customWidth="1"/>
    <col min="12553" max="12553" width="7.453125" style="26" bestFit="1" customWidth="1"/>
    <col min="12554" max="12554" width="19.54296875" style="26" bestFit="1" customWidth="1"/>
    <col min="12555" max="12555" width="7.453125" style="26" bestFit="1" customWidth="1"/>
    <col min="12556" max="12556" width="26.81640625" style="26" bestFit="1" customWidth="1"/>
    <col min="12557" max="12557" width="19.81640625" style="26" bestFit="1" customWidth="1"/>
    <col min="12558" max="12792" width="11.453125" style="26"/>
    <col min="12793" max="12793" width="2.453125" style="26" customWidth="1"/>
    <col min="12794" max="12794" width="49" style="26" customWidth="1"/>
    <col min="12795" max="12795" width="16.81640625" style="26" customWidth="1"/>
    <col min="12796" max="12796" width="1.1796875" style="26" customWidth="1"/>
    <col min="12797" max="12797" width="20.54296875" style="26" customWidth="1"/>
    <col min="12798" max="12798" width="17.54296875" style="26" customWidth="1"/>
    <col min="12799" max="12799" width="18.1796875" style="26" customWidth="1"/>
    <col min="12800" max="12800" width="17.1796875" style="26" customWidth="1"/>
    <col min="12801" max="12801" width="22.453125" style="26" bestFit="1" customWidth="1"/>
    <col min="12802" max="12802" width="22.1796875" style="26" customWidth="1"/>
    <col min="12803" max="12803" width="17.81640625" style="26" customWidth="1"/>
    <col min="12804" max="12804" width="22.453125" style="26" customWidth="1"/>
    <col min="12805" max="12805" width="10.1796875" style="26" bestFit="1" customWidth="1"/>
    <col min="12806" max="12806" width="13.453125" style="26" customWidth="1"/>
    <col min="12807" max="12807" width="7.453125" style="26" bestFit="1" customWidth="1"/>
    <col min="12808" max="12808" width="15.453125" style="26" bestFit="1" customWidth="1"/>
    <col min="12809" max="12809" width="7.453125" style="26" bestFit="1" customWidth="1"/>
    <col min="12810" max="12810" width="19.54296875" style="26" bestFit="1" customWidth="1"/>
    <col min="12811" max="12811" width="7.453125" style="26" bestFit="1" customWidth="1"/>
    <col min="12812" max="12812" width="26.81640625" style="26" bestFit="1" customWidth="1"/>
    <col min="12813" max="12813" width="19.81640625" style="26" bestFit="1" customWidth="1"/>
    <col min="12814" max="13048" width="11.453125" style="26"/>
    <col min="13049" max="13049" width="2.453125" style="26" customWidth="1"/>
    <col min="13050" max="13050" width="49" style="26" customWidth="1"/>
    <col min="13051" max="13051" width="16.81640625" style="26" customWidth="1"/>
    <col min="13052" max="13052" width="1.1796875" style="26" customWidth="1"/>
    <col min="13053" max="13053" width="20.54296875" style="26" customWidth="1"/>
    <col min="13054" max="13054" width="17.54296875" style="26" customWidth="1"/>
    <col min="13055" max="13055" width="18.1796875" style="26" customWidth="1"/>
    <col min="13056" max="13056" width="17.1796875" style="26" customWidth="1"/>
    <col min="13057" max="13057" width="22.453125" style="26" bestFit="1" customWidth="1"/>
    <col min="13058" max="13058" width="22.1796875" style="26" customWidth="1"/>
    <col min="13059" max="13059" width="17.81640625" style="26" customWidth="1"/>
    <col min="13060" max="13060" width="22.453125" style="26" customWidth="1"/>
    <col min="13061" max="13061" width="10.1796875" style="26" bestFit="1" customWidth="1"/>
    <col min="13062" max="13062" width="13.453125" style="26" customWidth="1"/>
    <col min="13063" max="13063" width="7.453125" style="26" bestFit="1" customWidth="1"/>
    <col min="13064" max="13064" width="15.453125" style="26" bestFit="1" customWidth="1"/>
    <col min="13065" max="13065" width="7.453125" style="26" bestFit="1" customWidth="1"/>
    <col min="13066" max="13066" width="19.54296875" style="26" bestFit="1" customWidth="1"/>
    <col min="13067" max="13067" width="7.453125" style="26" bestFit="1" customWidth="1"/>
    <col min="13068" max="13068" width="26.81640625" style="26" bestFit="1" customWidth="1"/>
    <col min="13069" max="13069" width="19.81640625" style="26" bestFit="1" customWidth="1"/>
    <col min="13070" max="13304" width="11.453125" style="26"/>
    <col min="13305" max="13305" width="2.453125" style="26" customWidth="1"/>
    <col min="13306" max="13306" width="49" style="26" customWidth="1"/>
    <col min="13307" max="13307" width="16.81640625" style="26" customWidth="1"/>
    <col min="13308" max="13308" width="1.1796875" style="26" customWidth="1"/>
    <col min="13309" max="13309" width="20.54296875" style="26" customWidth="1"/>
    <col min="13310" max="13310" width="17.54296875" style="26" customWidth="1"/>
    <col min="13311" max="13311" width="18.1796875" style="26" customWidth="1"/>
    <col min="13312" max="13312" width="17.1796875" style="26" customWidth="1"/>
    <col min="13313" max="13313" width="22.453125" style="26" bestFit="1" customWidth="1"/>
    <col min="13314" max="13314" width="22.1796875" style="26" customWidth="1"/>
    <col min="13315" max="13315" width="17.81640625" style="26" customWidth="1"/>
    <col min="13316" max="13316" width="22.453125" style="26" customWidth="1"/>
    <col min="13317" max="13317" width="10.1796875" style="26" bestFit="1" customWidth="1"/>
    <col min="13318" max="13318" width="13.453125" style="26" customWidth="1"/>
    <col min="13319" max="13319" width="7.453125" style="26" bestFit="1" customWidth="1"/>
    <col min="13320" max="13320" width="15.453125" style="26" bestFit="1" customWidth="1"/>
    <col min="13321" max="13321" width="7.453125" style="26" bestFit="1" customWidth="1"/>
    <col min="13322" max="13322" width="19.54296875" style="26" bestFit="1" customWidth="1"/>
    <col min="13323" max="13323" width="7.453125" style="26" bestFit="1" customWidth="1"/>
    <col min="13324" max="13324" width="26.81640625" style="26" bestFit="1" customWidth="1"/>
    <col min="13325" max="13325" width="19.81640625" style="26" bestFit="1" customWidth="1"/>
    <col min="13326" max="13560" width="11.453125" style="26"/>
    <col min="13561" max="13561" width="2.453125" style="26" customWidth="1"/>
    <col min="13562" max="13562" width="49" style="26" customWidth="1"/>
    <col min="13563" max="13563" width="16.81640625" style="26" customWidth="1"/>
    <col min="13564" max="13564" width="1.1796875" style="26" customWidth="1"/>
    <col min="13565" max="13565" width="20.54296875" style="26" customWidth="1"/>
    <col min="13566" max="13566" width="17.54296875" style="26" customWidth="1"/>
    <col min="13567" max="13567" width="18.1796875" style="26" customWidth="1"/>
    <col min="13568" max="13568" width="17.1796875" style="26" customWidth="1"/>
    <col min="13569" max="13569" width="22.453125" style="26" bestFit="1" customWidth="1"/>
    <col min="13570" max="13570" width="22.1796875" style="26" customWidth="1"/>
    <col min="13571" max="13571" width="17.81640625" style="26" customWidth="1"/>
    <col min="13572" max="13572" width="22.453125" style="26" customWidth="1"/>
    <col min="13573" max="13573" width="10.1796875" style="26" bestFit="1" customWidth="1"/>
    <col min="13574" max="13574" width="13.453125" style="26" customWidth="1"/>
    <col min="13575" max="13575" width="7.453125" style="26" bestFit="1" customWidth="1"/>
    <col min="13576" max="13576" width="15.453125" style="26" bestFit="1" customWidth="1"/>
    <col min="13577" max="13577" width="7.453125" style="26" bestFit="1" customWidth="1"/>
    <col min="13578" max="13578" width="19.54296875" style="26" bestFit="1" customWidth="1"/>
    <col min="13579" max="13579" width="7.453125" style="26" bestFit="1" customWidth="1"/>
    <col min="13580" max="13580" width="26.81640625" style="26" bestFit="1" customWidth="1"/>
    <col min="13581" max="13581" width="19.81640625" style="26" bestFit="1" customWidth="1"/>
    <col min="13582" max="13816" width="11.453125" style="26"/>
    <col min="13817" max="13817" width="2.453125" style="26" customWidth="1"/>
    <col min="13818" max="13818" width="49" style="26" customWidth="1"/>
    <col min="13819" max="13819" width="16.81640625" style="26" customWidth="1"/>
    <col min="13820" max="13820" width="1.1796875" style="26" customWidth="1"/>
    <col min="13821" max="13821" width="20.54296875" style="26" customWidth="1"/>
    <col min="13822" max="13822" width="17.54296875" style="26" customWidth="1"/>
    <col min="13823" max="13823" width="18.1796875" style="26" customWidth="1"/>
    <col min="13824" max="13824" width="17.1796875" style="26" customWidth="1"/>
    <col min="13825" max="13825" width="22.453125" style="26" bestFit="1" customWidth="1"/>
    <col min="13826" max="13826" width="22.1796875" style="26" customWidth="1"/>
    <col min="13827" max="13827" width="17.81640625" style="26" customWidth="1"/>
    <col min="13828" max="13828" width="22.453125" style="26" customWidth="1"/>
    <col min="13829" max="13829" width="10.1796875" style="26" bestFit="1" customWidth="1"/>
    <col min="13830" max="13830" width="13.453125" style="26" customWidth="1"/>
    <col min="13831" max="13831" width="7.453125" style="26" bestFit="1" customWidth="1"/>
    <col min="13832" max="13832" width="15.453125" style="26" bestFit="1" customWidth="1"/>
    <col min="13833" max="13833" width="7.453125" style="26" bestFit="1" customWidth="1"/>
    <col min="13834" max="13834" width="19.54296875" style="26" bestFit="1" customWidth="1"/>
    <col min="13835" max="13835" width="7.453125" style="26" bestFit="1" customWidth="1"/>
    <col min="13836" max="13836" width="26.81640625" style="26" bestFit="1" customWidth="1"/>
    <col min="13837" max="13837" width="19.81640625" style="26" bestFit="1" customWidth="1"/>
    <col min="13838" max="14072" width="11.453125" style="26"/>
    <col min="14073" max="14073" width="2.453125" style="26" customWidth="1"/>
    <col min="14074" max="14074" width="49" style="26" customWidth="1"/>
    <col min="14075" max="14075" width="16.81640625" style="26" customWidth="1"/>
    <col min="14076" max="14076" width="1.1796875" style="26" customWidth="1"/>
    <col min="14077" max="14077" width="20.54296875" style="26" customWidth="1"/>
    <col min="14078" max="14078" width="17.54296875" style="26" customWidth="1"/>
    <col min="14079" max="14079" width="18.1796875" style="26" customWidth="1"/>
    <col min="14080" max="14080" width="17.1796875" style="26" customWidth="1"/>
    <col min="14081" max="14081" width="22.453125" style="26" bestFit="1" customWidth="1"/>
    <col min="14082" max="14082" width="22.1796875" style="26" customWidth="1"/>
    <col min="14083" max="14083" width="17.81640625" style="26" customWidth="1"/>
    <col min="14084" max="14084" width="22.453125" style="26" customWidth="1"/>
    <col min="14085" max="14085" width="10.1796875" style="26" bestFit="1" customWidth="1"/>
    <col min="14086" max="14086" width="13.453125" style="26" customWidth="1"/>
    <col min="14087" max="14087" width="7.453125" style="26" bestFit="1" customWidth="1"/>
    <col min="14088" max="14088" width="15.453125" style="26" bestFit="1" customWidth="1"/>
    <col min="14089" max="14089" width="7.453125" style="26" bestFit="1" customWidth="1"/>
    <col min="14090" max="14090" width="19.54296875" style="26" bestFit="1" customWidth="1"/>
    <col min="14091" max="14091" width="7.453125" style="26" bestFit="1" customWidth="1"/>
    <col min="14092" max="14092" width="26.81640625" style="26" bestFit="1" customWidth="1"/>
    <col min="14093" max="14093" width="19.81640625" style="26" bestFit="1" customWidth="1"/>
    <col min="14094" max="14328" width="11.453125" style="26"/>
    <col min="14329" max="14329" width="2.453125" style="26" customWidth="1"/>
    <col min="14330" max="14330" width="49" style="26" customWidth="1"/>
    <col min="14331" max="14331" width="16.81640625" style="26" customWidth="1"/>
    <col min="14332" max="14332" width="1.1796875" style="26" customWidth="1"/>
    <col min="14333" max="14333" width="20.54296875" style="26" customWidth="1"/>
    <col min="14334" max="14334" width="17.54296875" style="26" customWidth="1"/>
    <col min="14335" max="14335" width="18.1796875" style="26" customWidth="1"/>
    <col min="14336" max="14336" width="17.1796875" style="26" customWidth="1"/>
    <col min="14337" max="14337" width="22.453125" style="26" bestFit="1" customWidth="1"/>
    <col min="14338" max="14338" width="22.1796875" style="26" customWidth="1"/>
    <col min="14339" max="14339" width="17.81640625" style="26" customWidth="1"/>
    <col min="14340" max="14340" width="22.453125" style="26" customWidth="1"/>
    <col min="14341" max="14341" width="10.1796875" style="26" bestFit="1" customWidth="1"/>
    <col min="14342" max="14342" width="13.453125" style="26" customWidth="1"/>
    <col min="14343" max="14343" width="7.453125" style="26" bestFit="1" customWidth="1"/>
    <col min="14344" max="14344" width="15.453125" style="26" bestFit="1" customWidth="1"/>
    <col min="14345" max="14345" width="7.453125" style="26" bestFit="1" customWidth="1"/>
    <col min="14346" max="14346" width="19.54296875" style="26" bestFit="1" customWidth="1"/>
    <col min="14347" max="14347" width="7.453125" style="26" bestFit="1" customWidth="1"/>
    <col min="14348" max="14348" width="26.81640625" style="26" bestFit="1" customWidth="1"/>
    <col min="14349" max="14349" width="19.81640625" style="26" bestFit="1" customWidth="1"/>
    <col min="14350" max="14584" width="11.453125" style="26"/>
    <col min="14585" max="14585" width="2.453125" style="26" customWidth="1"/>
    <col min="14586" max="14586" width="49" style="26" customWidth="1"/>
    <col min="14587" max="14587" width="16.81640625" style="26" customWidth="1"/>
    <col min="14588" max="14588" width="1.1796875" style="26" customWidth="1"/>
    <col min="14589" max="14589" width="20.54296875" style="26" customWidth="1"/>
    <col min="14590" max="14590" width="17.54296875" style="26" customWidth="1"/>
    <col min="14591" max="14591" width="18.1796875" style="26" customWidth="1"/>
    <col min="14592" max="14592" width="17.1796875" style="26" customWidth="1"/>
    <col min="14593" max="14593" width="22.453125" style="26" bestFit="1" customWidth="1"/>
    <col min="14594" max="14594" width="22.1796875" style="26" customWidth="1"/>
    <col min="14595" max="14595" width="17.81640625" style="26" customWidth="1"/>
    <col min="14596" max="14596" width="22.453125" style="26" customWidth="1"/>
    <col min="14597" max="14597" width="10.1796875" style="26" bestFit="1" customWidth="1"/>
    <col min="14598" max="14598" width="13.453125" style="26" customWidth="1"/>
    <col min="14599" max="14599" width="7.453125" style="26" bestFit="1" customWidth="1"/>
    <col min="14600" max="14600" width="15.453125" style="26" bestFit="1" customWidth="1"/>
    <col min="14601" max="14601" width="7.453125" style="26" bestFit="1" customWidth="1"/>
    <col min="14602" max="14602" width="19.54296875" style="26" bestFit="1" customWidth="1"/>
    <col min="14603" max="14603" width="7.453125" style="26" bestFit="1" customWidth="1"/>
    <col min="14604" max="14604" width="26.81640625" style="26" bestFit="1" customWidth="1"/>
    <col min="14605" max="14605" width="19.81640625" style="26" bestFit="1" customWidth="1"/>
    <col min="14606" max="14840" width="11.453125" style="26"/>
    <col min="14841" max="14841" width="2.453125" style="26" customWidth="1"/>
    <col min="14842" max="14842" width="49" style="26" customWidth="1"/>
    <col min="14843" max="14843" width="16.81640625" style="26" customWidth="1"/>
    <col min="14844" max="14844" width="1.1796875" style="26" customWidth="1"/>
    <col min="14845" max="14845" width="20.54296875" style="26" customWidth="1"/>
    <col min="14846" max="14846" width="17.54296875" style="26" customWidth="1"/>
    <col min="14847" max="14847" width="18.1796875" style="26" customWidth="1"/>
    <col min="14848" max="14848" width="17.1796875" style="26" customWidth="1"/>
    <col min="14849" max="14849" width="22.453125" style="26" bestFit="1" customWidth="1"/>
    <col min="14850" max="14850" width="22.1796875" style="26" customWidth="1"/>
    <col min="14851" max="14851" width="17.81640625" style="26" customWidth="1"/>
    <col min="14852" max="14852" width="22.453125" style="26" customWidth="1"/>
    <col min="14853" max="14853" width="10.1796875" style="26" bestFit="1" customWidth="1"/>
    <col min="14854" max="14854" width="13.453125" style="26" customWidth="1"/>
    <col min="14855" max="14855" width="7.453125" style="26" bestFit="1" customWidth="1"/>
    <col min="14856" max="14856" width="15.453125" style="26" bestFit="1" customWidth="1"/>
    <col min="14857" max="14857" width="7.453125" style="26" bestFit="1" customWidth="1"/>
    <col min="14858" max="14858" width="19.54296875" style="26" bestFit="1" customWidth="1"/>
    <col min="14859" max="14859" width="7.453125" style="26" bestFit="1" customWidth="1"/>
    <col min="14860" max="14860" width="26.81640625" style="26" bestFit="1" customWidth="1"/>
    <col min="14861" max="14861" width="19.81640625" style="26" bestFit="1" customWidth="1"/>
    <col min="14862" max="15096" width="11.453125" style="26"/>
    <col min="15097" max="15097" width="2.453125" style="26" customWidth="1"/>
    <col min="15098" max="15098" width="49" style="26" customWidth="1"/>
    <col min="15099" max="15099" width="16.81640625" style="26" customWidth="1"/>
    <col min="15100" max="15100" width="1.1796875" style="26" customWidth="1"/>
    <col min="15101" max="15101" width="20.54296875" style="26" customWidth="1"/>
    <col min="15102" max="15102" width="17.54296875" style="26" customWidth="1"/>
    <col min="15103" max="15103" width="18.1796875" style="26" customWidth="1"/>
    <col min="15104" max="15104" width="17.1796875" style="26" customWidth="1"/>
    <col min="15105" max="15105" width="22.453125" style="26" bestFit="1" customWidth="1"/>
    <col min="15106" max="15106" width="22.1796875" style="26" customWidth="1"/>
    <col min="15107" max="15107" width="17.81640625" style="26" customWidth="1"/>
    <col min="15108" max="15108" width="22.453125" style="26" customWidth="1"/>
    <col min="15109" max="15109" width="10.1796875" style="26" bestFit="1" customWidth="1"/>
    <col min="15110" max="15110" width="13.453125" style="26" customWidth="1"/>
    <col min="15111" max="15111" width="7.453125" style="26" bestFit="1" customWidth="1"/>
    <col min="15112" max="15112" width="15.453125" style="26" bestFit="1" customWidth="1"/>
    <col min="15113" max="15113" width="7.453125" style="26" bestFit="1" customWidth="1"/>
    <col min="15114" max="15114" width="19.54296875" style="26" bestFit="1" customWidth="1"/>
    <col min="15115" max="15115" width="7.453125" style="26" bestFit="1" customWidth="1"/>
    <col min="15116" max="15116" width="26.81640625" style="26" bestFit="1" customWidth="1"/>
    <col min="15117" max="15117" width="19.81640625" style="26" bestFit="1" customWidth="1"/>
    <col min="15118" max="15352" width="11.453125" style="26"/>
    <col min="15353" max="15353" width="2.453125" style="26" customWidth="1"/>
    <col min="15354" max="15354" width="49" style="26" customWidth="1"/>
    <col min="15355" max="15355" width="16.81640625" style="26" customWidth="1"/>
    <col min="15356" max="15356" width="1.1796875" style="26" customWidth="1"/>
    <col min="15357" max="15357" width="20.54296875" style="26" customWidth="1"/>
    <col min="15358" max="15358" width="17.54296875" style="26" customWidth="1"/>
    <col min="15359" max="15359" width="18.1796875" style="26" customWidth="1"/>
    <col min="15360" max="15360" width="17.1796875" style="26" customWidth="1"/>
    <col min="15361" max="15361" width="22.453125" style="26" bestFit="1" customWidth="1"/>
    <col min="15362" max="15362" width="22.1796875" style="26" customWidth="1"/>
    <col min="15363" max="15363" width="17.81640625" style="26" customWidth="1"/>
    <col min="15364" max="15364" width="22.453125" style="26" customWidth="1"/>
    <col min="15365" max="15365" width="10.1796875" style="26" bestFit="1" customWidth="1"/>
    <col min="15366" max="15366" width="13.453125" style="26" customWidth="1"/>
    <col min="15367" max="15367" width="7.453125" style="26" bestFit="1" customWidth="1"/>
    <col min="15368" max="15368" width="15.453125" style="26" bestFit="1" customWidth="1"/>
    <col min="15369" max="15369" width="7.453125" style="26" bestFit="1" customWidth="1"/>
    <col min="15370" max="15370" width="19.54296875" style="26" bestFit="1" customWidth="1"/>
    <col min="15371" max="15371" width="7.453125" style="26" bestFit="1" customWidth="1"/>
    <col min="15372" max="15372" width="26.81640625" style="26" bestFit="1" customWidth="1"/>
    <col min="15373" max="15373" width="19.81640625" style="26" bestFit="1" customWidth="1"/>
    <col min="15374" max="15608" width="11.453125" style="26"/>
    <col min="15609" max="15609" width="2.453125" style="26" customWidth="1"/>
    <col min="15610" max="15610" width="49" style="26" customWidth="1"/>
    <col min="15611" max="15611" width="16.81640625" style="26" customWidth="1"/>
    <col min="15612" max="15612" width="1.1796875" style="26" customWidth="1"/>
    <col min="15613" max="15613" width="20.54296875" style="26" customWidth="1"/>
    <col min="15614" max="15614" width="17.54296875" style="26" customWidth="1"/>
    <col min="15615" max="15615" width="18.1796875" style="26" customWidth="1"/>
    <col min="15616" max="15616" width="17.1796875" style="26" customWidth="1"/>
    <col min="15617" max="15617" width="22.453125" style="26" bestFit="1" customWidth="1"/>
    <col min="15618" max="15618" width="22.1796875" style="26" customWidth="1"/>
    <col min="15619" max="15619" width="17.81640625" style="26" customWidth="1"/>
    <col min="15620" max="15620" width="22.453125" style="26" customWidth="1"/>
    <col min="15621" max="15621" width="10.1796875" style="26" bestFit="1" customWidth="1"/>
    <col min="15622" max="15622" width="13.453125" style="26" customWidth="1"/>
    <col min="15623" max="15623" width="7.453125" style="26" bestFit="1" customWidth="1"/>
    <col min="15624" max="15624" width="15.453125" style="26" bestFit="1" customWidth="1"/>
    <col min="15625" max="15625" width="7.453125" style="26" bestFit="1" customWidth="1"/>
    <col min="15626" max="15626" width="19.54296875" style="26" bestFit="1" customWidth="1"/>
    <col min="15627" max="15627" width="7.453125" style="26" bestFit="1" customWidth="1"/>
    <col min="15628" max="15628" width="26.81640625" style="26" bestFit="1" customWidth="1"/>
    <col min="15629" max="15629" width="19.81640625" style="26" bestFit="1" customWidth="1"/>
    <col min="15630" max="15864" width="11.453125" style="26"/>
    <col min="15865" max="15865" width="2.453125" style="26" customWidth="1"/>
    <col min="15866" max="15866" width="49" style="26" customWidth="1"/>
    <col min="15867" max="15867" width="16.81640625" style="26" customWidth="1"/>
    <col min="15868" max="15868" width="1.1796875" style="26" customWidth="1"/>
    <col min="15869" max="15869" width="20.54296875" style="26" customWidth="1"/>
    <col min="15870" max="15870" width="17.54296875" style="26" customWidth="1"/>
    <col min="15871" max="15871" width="18.1796875" style="26" customWidth="1"/>
    <col min="15872" max="15872" width="17.1796875" style="26" customWidth="1"/>
    <col min="15873" max="15873" width="22.453125" style="26" bestFit="1" customWidth="1"/>
    <col min="15874" max="15874" width="22.1796875" style="26" customWidth="1"/>
    <col min="15875" max="15875" width="17.81640625" style="26" customWidth="1"/>
    <col min="15876" max="15876" width="22.453125" style="26" customWidth="1"/>
    <col min="15877" max="15877" width="10.1796875" style="26" bestFit="1" customWidth="1"/>
    <col min="15878" max="15878" width="13.453125" style="26" customWidth="1"/>
    <col min="15879" max="15879" width="7.453125" style="26" bestFit="1" customWidth="1"/>
    <col min="15880" max="15880" width="15.453125" style="26" bestFit="1" customWidth="1"/>
    <col min="15881" max="15881" width="7.453125" style="26" bestFit="1" customWidth="1"/>
    <col min="15882" max="15882" width="19.54296875" style="26" bestFit="1" customWidth="1"/>
    <col min="15883" max="15883" width="7.453125" style="26" bestFit="1" customWidth="1"/>
    <col min="15884" max="15884" width="26.81640625" style="26" bestFit="1" customWidth="1"/>
    <col min="15885" max="15885" width="19.81640625" style="26" bestFit="1" customWidth="1"/>
    <col min="15886" max="16120" width="11.453125" style="26"/>
    <col min="16121" max="16121" width="2.453125" style="26" customWidth="1"/>
    <col min="16122" max="16122" width="49" style="26" customWidth="1"/>
    <col min="16123" max="16123" width="16.81640625" style="26" customWidth="1"/>
    <col min="16124" max="16124" width="1.1796875" style="26" customWidth="1"/>
    <col min="16125" max="16125" width="20.54296875" style="26" customWidth="1"/>
    <col min="16126" max="16126" width="17.54296875" style="26" customWidth="1"/>
    <col min="16127" max="16127" width="18.1796875" style="26" customWidth="1"/>
    <col min="16128" max="16128" width="17.1796875" style="26" customWidth="1"/>
    <col min="16129" max="16129" width="22.453125" style="26" bestFit="1" customWidth="1"/>
    <col min="16130" max="16130" width="22.1796875" style="26" customWidth="1"/>
    <col min="16131" max="16131" width="17.81640625" style="26" customWidth="1"/>
    <col min="16132" max="16132" width="22.453125" style="26" customWidth="1"/>
    <col min="16133" max="16133" width="10.1796875" style="26" bestFit="1" customWidth="1"/>
    <col min="16134" max="16134" width="13.453125" style="26" customWidth="1"/>
    <col min="16135" max="16135" width="7.453125" style="26" bestFit="1" customWidth="1"/>
    <col min="16136" max="16136" width="15.453125" style="26" bestFit="1" customWidth="1"/>
    <col min="16137" max="16137" width="7.453125" style="26" bestFit="1" customWidth="1"/>
    <col min="16138" max="16138" width="19.54296875" style="26" bestFit="1" customWidth="1"/>
    <col min="16139" max="16139" width="7.453125" style="26" bestFit="1" customWidth="1"/>
    <col min="16140" max="16140" width="26.81640625" style="26" bestFit="1" customWidth="1"/>
    <col min="16141" max="16141" width="19.81640625" style="26" bestFit="1" customWidth="1"/>
    <col min="16142" max="16384" width="11.453125" style="26"/>
  </cols>
  <sheetData>
    <row r="3" spans="3:15" s="27" customFormat="1" ht="13.5" customHeight="1" x14ac:dyDescent="0.25">
      <c r="C3" s="148"/>
      <c r="D3" s="148"/>
      <c r="E3" s="148"/>
      <c r="F3" s="148"/>
      <c r="G3" s="148"/>
      <c r="H3" s="148"/>
      <c r="I3" s="101" t="s">
        <v>4</v>
      </c>
      <c r="K3" s="101" t="e">
        <f>#REF!</f>
        <v>#REF!</v>
      </c>
      <c r="O3" s="180"/>
    </row>
    <row r="4" spans="3:15" s="27" customFormat="1" ht="13" x14ac:dyDescent="0.25">
      <c r="I4" s="101" t="s">
        <v>23</v>
      </c>
      <c r="K4" s="101" t="e">
        <f>EOMONTH(K3,-1)</f>
        <v>#REF!</v>
      </c>
      <c r="O4" s="180"/>
    </row>
    <row r="5" spans="3:15" s="27" customFormat="1" ht="13" x14ac:dyDescent="0.25">
      <c r="I5" s="101" t="s">
        <v>0</v>
      </c>
      <c r="K5" s="217" t="e">
        <f>'00 - Cover'!#REF!</f>
        <v>#REF!</v>
      </c>
      <c r="L5" s="218"/>
    </row>
    <row r="6" spans="3:15" s="27" customFormat="1" x14ac:dyDescent="0.25"/>
    <row r="7" spans="3:15" s="27" customFormat="1" ht="13.5" customHeight="1" x14ac:dyDescent="0.25"/>
    <row r="8" spans="3:15" ht="15.5" x14ac:dyDescent="0.25">
      <c r="C8" s="1261" t="s">
        <v>24</v>
      </c>
      <c r="D8" s="1262"/>
      <c r="E8" s="1262"/>
      <c r="F8" s="1262"/>
      <c r="G8" s="1262"/>
      <c r="H8" s="1262"/>
      <c r="I8" s="1262"/>
      <c r="J8" s="1262"/>
      <c r="K8" s="1262"/>
    </row>
    <row r="9" spans="3:15" ht="9.75" customHeight="1" x14ac:dyDescent="0.25">
      <c r="M9" s="35"/>
    </row>
    <row r="10" spans="3:15" s="38" customFormat="1" x14ac:dyDescent="0.25">
      <c r="C10" s="26"/>
      <c r="D10" s="26"/>
      <c r="E10" s="26"/>
      <c r="F10" s="26"/>
      <c r="G10" s="26"/>
      <c r="H10" s="26"/>
      <c r="I10" s="26"/>
      <c r="J10" s="26"/>
      <c r="K10" s="26"/>
    </row>
    <row r="11" spans="3:15" s="38" customFormat="1" ht="15.65" customHeight="1" x14ac:dyDescent="0.25">
      <c r="C11" s="219" t="s">
        <v>25</v>
      </c>
      <c r="D11" s="219" t="s">
        <v>26</v>
      </c>
      <c r="E11" s="220" t="s">
        <v>27</v>
      </c>
      <c r="F11" s="256" t="s">
        <v>85</v>
      </c>
      <c r="G11" s="219" t="s">
        <v>3</v>
      </c>
      <c r="H11" s="219" t="s">
        <v>28</v>
      </c>
      <c r="I11" s="219" t="s">
        <v>29</v>
      </c>
      <c r="J11" s="221"/>
      <c r="K11" s="221" t="s">
        <v>30</v>
      </c>
    </row>
    <row r="12" spans="3:15" ht="15.65" customHeight="1" x14ac:dyDescent="0.3">
      <c r="C12" s="223" t="e">
        <f>IF(D12="BQ",$K$5,$K$3)</f>
        <v>#REF!</v>
      </c>
      <c r="D12" s="224" t="s">
        <v>31</v>
      </c>
      <c r="E12" s="225" t="s">
        <v>32</v>
      </c>
      <c r="F12" s="225"/>
      <c r="G12" s="226" t="s">
        <v>33</v>
      </c>
      <c r="H12" s="227" t="e">
        <f>VLOOKUP($K$3,#REF!,#REF!,FALSE)</f>
        <v>#REF!</v>
      </c>
      <c r="I12" s="227"/>
      <c r="K12" s="165" t="e">
        <f>IF(H58=I58,"OK",H58-I58)</f>
        <v>#REF!</v>
      </c>
      <c r="M12" s="38"/>
    </row>
    <row r="13" spans="3:15" ht="15.65" customHeight="1" x14ac:dyDescent="0.3">
      <c r="C13" s="223" t="e">
        <f>IF(D13="BQ",$K$5,$K$3)</f>
        <v>#REF!</v>
      </c>
      <c r="D13" s="224" t="s">
        <v>31</v>
      </c>
      <c r="E13" s="225" t="s">
        <v>36</v>
      </c>
      <c r="F13" s="225"/>
      <c r="G13" s="226" t="s">
        <v>33</v>
      </c>
      <c r="H13" s="227"/>
      <c r="I13" s="227" t="e">
        <f>VLOOKUP($K$3,#REF!,#REF!,FALSE)</f>
        <v>#REF!</v>
      </c>
      <c r="K13" s="46"/>
      <c r="M13" s="38"/>
    </row>
    <row r="14" spans="3:15" ht="15.65" customHeight="1" x14ac:dyDescent="0.3">
      <c r="C14" s="233"/>
      <c r="D14" s="234"/>
      <c r="E14" s="235"/>
      <c r="F14" s="235"/>
      <c r="G14" s="236"/>
      <c r="H14" s="237"/>
      <c r="I14" s="237"/>
      <c r="K14" s="46"/>
      <c r="M14" s="38"/>
    </row>
    <row r="15" spans="3:15" ht="15.65" customHeight="1" x14ac:dyDescent="0.3">
      <c r="C15" s="223" t="e">
        <f t="shared" ref="C15" si="0">IF(D15="BQ",$K$5,$K$3)</f>
        <v>#REF!</v>
      </c>
      <c r="D15" s="224" t="s">
        <v>31</v>
      </c>
      <c r="E15" s="225" t="s">
        <v>34</v>
      </c>
      <c r="F15" s="225"/>
      <c r="G15" s="226" t="s">
        <v>35</v>
      </c>
      <c r="H15" s="227" t="e">
        <f>VLOOKUP($K$3,#REF!,#REF!,FALSE)</f>
        <v>#REF!</v>
      </c>
      <c r="I15" s="227"/>
      <c r="M15" s="38"/>
    </row>
    <row r="16" spans="3:15" ht="15.65" customHeight="1" x14ac:dyDescent="0.3">
      <c r="C16" s="223" t="e">
        <f>IF(D16="BQ",$K$5,$K$3)</f>
        <v>#REF!</v>
      </c>
      <c r="D16" s="224" t="s">
        <v>31</v>
      </c>
      <c r="E16" s="225" t="s">
        <v>38</v>
      </c>
      <c r="F16" s="225"/>
      <c r="G16" s="226" t="s">
        <v>35</v>
      </c>
      <c r="H16" s="227"/>
      <c r="I16" s="227" t="e">
        <f>VLOOKUP($K$3,#REF!,#REF!,FALSE)+VLOOKUP($K$3,#REF!,#REF!,FALSE)</f>
        <v>#REF!</v>
      </c>
      <c r="M16" s="38"/>
    </row>
    <row r="17" spans="3:13" ht="15.65" customHeight="1" x14ac:dyDescent="0.3">
      <c r="C17" s="233"/>
      <c r="D17" s="234"/>
      <c r="E17" s="235"/>
      <c r="F17" s="235"/>
      <c r="G17" s="236"/>
      <c r="H17" s="237"/>
      <c r="I17" s="237"/>
      <c r="M17" s="38"/>
    </row>
    <row r="18" spans="3:13" ht="15.65" customHeight="1" x14ac:dyDescent="0.3">
      <c r="C18" s="223" t="e">
        <f>IF(D18="BQ",$K$5,$K$3)</f>
        <v>#REF!</v>
      </c>
      <c r="D18" s="224" t="s">
        <v>31</v>
      </c>
      <c r="E18" s="225" t="s">
        <v>39</v>
      </c>
      <c r="F18" s="225"/>
      <c r="G18" s="226" t="s">
        <v>40</v>
      </c>
      <c r="H18" s="227"/>
      <c r="I18" s="227" t="e">
        <f>VLOOKUP($K$3,#REF!,#REF!,FALSE)</f>
        <v>#REF!</v>
      </c>
    </row>
    <row r="19" spans="3:13" ht="15.65" customHeight="1" x14ac:dyDescent="0.3">
      <c r="C19" s="223" t="e">
        <f>IF(D19="BQ",$K$5,$K$3)</f>
        <v>#REF!</v>
      </c>
      <c r="D19" s="224" t="s">
        <v>31</v>
      </c>
      <c r="E19" s="225" t="s">
        <v>72</v>
      </c>
      <c r="F19" s="225"/>
      <c r="G19" s="226" t="s">
        <v>73</v>
      </c>
      <c r="H19" s="227" t="e">
        <f>VLOOKUP($K$3,#REF!,#REF!,FALSE)</f>
        <v>#REF!</v>
      </c>
      <c r="I19" s="227"/>
    </row>
    <row r="20" spans="3:13" ht="15.65" customHeight="1" x14ac:dyDescent="0.3">
      <c r="C20" s="233"/>
      <c r="D20" s="234"/>
      <c r="E20" s="235"/>
      <c r="F20" s="235"/>
      <c r="G20" s="236"/>
      <c r="H20" s="237"/>
      <c r="I20" s="237"/>
    </row>
    <row r="21" spans="3:13" ht="15.65" customHeight="1" x14ac:dyDescent="0.3">
      <c r="C21" s="223" t="e">
        <f>IF(D21="BQ",$K$5,$K$3)</f>
        <v>#REF!</v>
      </c>
      <c r="D21" s="224" t="s">
        <v>31</v>
      </c>
      <c r="E21" s="225" t="s">
        <v>41</v>
      </c>
      <c r="F21" s="225"/>
      <c r="G21" s="226" t="s">
        <v>42</v>
      </c>
      <c r="H21" s="227"/>
      <c r="I21" s="227" t="e">
        <f>VLOOKUP($K$3,#REF!,#REF!,FALSE)</f>
        <v>#REF!</v>
      </c>
    </row>
    <row r="22" spans="3:13" ht="15.65" customHeight="1" x14ac:dyDescent="0.3">
      <c r="C22" s="223" t="e">
        <f>IF(D22="BQ",$K$5,$K$3)</f>
        <v>#REF!</v>
      </c>
      <c r="D22" s="224" t="s">
        <v>31</v>
      </c>
      <c r="E22" s="225" t="s">
        <v>76</v>
      </c>
      <c r="F22" s="225"/>
      <c r="G22" s="226" t="s">
        <v>77</v>
      </c>
      <c r="H22" s="227" t="e">
        <f>VLOOKUP($K$3,#REF!,#REF!,FALSE)</f>
        <v>#REF!</v>
      </c>
      <c r="I22" s="227"/>
    </row>
    <row r="23" spans="3:13" ht="15.65" customHeight="1" x14ac:dyDescent="0.3">
      <c r="C23" s="233"/>
      <c r="D23" s="234"/>
      <c r="E23" s="235"/>
      <c r="F23" s="235"/>
      <c r="G23" s="236"/>
      <c r="H23" s="237"/>
      <c r="I23" s="237"/>
    </row>
    <row r="24" spans="3:13" ht="15.65" customHeight="1" x14ac:dyDescent="0.3">
      <c r="C24" s="228" t="e">
        <f t="shared" ref="C24:C29" si="1">IF(D24="BQ",$K$5,$K$3)</f>
        <v>#REF!</v>
      </c>
      <c r="D24" s="229" t="s">
        <v>31</v>
      </c>
      <c r="E24" s="230" t="s">
        <v>53</v>
      </c>
      <c r="F24" s="230"/>
      <c r="G24" s="231" t="s">
        <v>54</v>
      </c>
      <c r="H24" s="232"/>
      <c r="I24" s="232" t="e">
        <f>VLOOKUP($K$3,#REF!,#REF!,FALSE)+VLOOKUP($K$3,#REF!,#REF!,FALSE)+VLOOKUP($K$3,#REF!,#REF!,FALSE)+VLOOKUP($K$3,#REF!,#REF!,FALSE)</f>
        <v>#REF!</v>
      </c>
    </row>
    <row r="25" spans="3:13" ht="15.65" customHeight="1" x14ac:dyDescent="0.3">
      <c r="C25" s="228" t="e">
        <f t="shared" si="1"/>
        <v>#REF!</v>
      </c>
      <c r="D25" s="229" t="s">
        <v>31</v>
      </c>
      <c r="E25" s="230" t="s">
        <v>61</v>
      </c>
      <c r="F25" s="230"/>
      <c r="G25" s="231" t="s">
        <v>62</v>
      </c>
      <c r="H25" s="232" t="e">
        <f>VLOOKUP($K$3,#REF!,#REF!,FALSE)</f>
        <v>#REF!</v>
      </c>
      <c r="I25" s="232"/>
    </row>
    <row r="26" spans="3:13" ht="15.65" customHeight="1" x14ac:dyDescent="0.3">
      <c r="C26" s="228" t="e">
        <f t="shared" si="1"/>
        <v>#REF!</v>
      </c>
      <c r="D26" s="229" t="s">
        <v>31</v>
      </c>
      <c r="E26" s="230" t="s">
        <v>63</v>
      </c>
      <c r="F26" s="230"/>
      <c r="G26" s="231" t="s">
        <v>64</v>
      </c>
      <c r="H26" s="232" t="e">
        <f>VLOOKUP($K$3,#REF!,#REF!,FALSE)</f>
        <v>#REF!</v>
      </c>
      <c r="I26" s="232"/>
    </row>
    <row r="27" spans="3:13" ht="15.65" customHeight="1" x14ac:dyDescent="0.3">
      <c r="C27" s="228" t="e">
        <f t="shared" si="1"/>
        <v>#REF!</v>
      </c>
      <c r="D27" s="229" t="s">
        <v>31</v>
      </c>
      <c r="E27" s="230" t="s">
        <v>65</v>
      </c>
      <c r="F27" s="230"/>
      <c r="G27" s="231" t="s">
        <v>66</v>
      </c>
      <c r="H27" s="232" t="e">
        <f>VLOOKUP($K$3,#REF!,#REF!,FALSE)</f>
        <v>#REF!</v>
      </c>
      <c r="I27" s="232"/>
    </row>
    <row r="28" spans="3:13" ht="15.65" customHeight="1" x14ac:dyDescent="0.3">
      <c r="C28" s="228" t="e">
        <f t="shared" si="1"/>
        <v>#REF!</v>
      </c>
      <c r="D28" s="229" t="s">
        <v>31</v>
      </c>
      <c r="E28" s="230" t="s">
        <v>70</v>
      </c>
      <c r="F28" s="230"/>
      <c r="G28" s="231" t="s">
        <v>71</v>
      </c>
      <c r="H28" s="232" t="e">
        <f>VLOOKUP($K$3,#REF!,#REF!,FALSE)</f>
        <v>#REF!</v>
      </c>
      <c r="I28" s="232"/>
    </row>
    <row r="29" spans="3:13" ht="15.65" customHeight="1" x14ac:dyDescent="0.3">
      <c r="C29" s="241" t="e">
        <f t="shared" si="1"/>
        <v>#REF!</v>
      </c>
      <c r="D29" s="242" t="s">
        <v>31</v>
      </c>
      <c r="E29" s="243" t="s">
        <v>67</v>
      </c>
      <c r="F29" s="243"/>
      <c r="G29" s="244" t="s">
        <v>68</v>
      </c>
      <c r="H29" s="245" t="e">
        <f>VLOOKUP($K$3,#REF!,#REF!,FALSE)</f>
        <v>#REF!</v>
      </c>
      <c r="I29" s="245"/>
      <c r="J29" s="246"/>
      <c r="K29" s="246" t="e">
        <f>SUM(H24:H29)</f>
        <v>#REF!</v>
      </c>
      <c r="L29" s="246" t="e">
        <f>SUM(I24:I29)</f>
        <v>#REF!</v>
      </c>
      <c r="M29" s="247" t="e">
        <f>L29=K29</f>
        <v>#REF!</v>
      </c>
    </row>
    <row r="30" spans="3:13" ht="15.65" customHeight="1" x14ac:dyDescent="0.3">
      <c r="C30" s="233"/>
      <c r="D30" s="234"/>
      <c r="E30" s="235"/>
      <c r="F30" s="235"/>
      <c r="G30" s="236"/>
      <c r="H30" s="237"/>
      <c r="I30" s="237"/>
      <c r="M30" s="240"/>
    </row>
    <row r="31" spans="3:13" ht="15.65" customHeight="1" x14ac:dyDescent="0.3">
      <c r="C31" s="223" t="e">
        <f>IF(D31="BQ",$K$5,$K$3)</f>
        <v>#REF!</v>
      </c>
      <c r="D31" s="224" t="s">
        <v>31</v>
      </c>
      <c r="E31" s="225" t="s">
        <v>51</v>
      </c>
      <c r="F31" s="225"/>
      <c r="G31" s="226" t="s">
        <v>52</v>
      </c>
      <c r="H31" s="227"/>
      <c r="I31" s="227" t="e">
        <f>VLOOKUP($K$3,#REF!,#REF!,FALSE)</f>
        <v>#REF!</v>
      </c>
    </row>
    <row r="32" spans="3:13" ht="15.65" customHeight="1" x14ac:dyDescent="0.3">
      <c r="C32" s="223" t="e">
        <f>IF(D32="BQ",$K$5,$K$3)</f>
        <v>#REF!</v>
      </c>
      <c r="D32" s="224" t="s">
        <v>31</v>
      </c>
      <c r="E32" s="225" t="s">
        <v>69</v>
      </c>
      <c r="F32" s="225"/>
      <c r="G32" s="226" t="s">
        <v>52</v>
      </c>
      <c r="H32" s="227" t="e">
        <f>VLOOKUP($K$3,#REF!,#REF!,FALSE)</f>
        <v>#REF!</v>
      </c>
      <c r="I32" s="227"/>
    </row>
    <row r="33" spans="3:14" ht="15.65" customHeight="1" x14ac:dyDescent="0.3">
      <c r="C33" s="233"/>
      <c r="D33" s="234"/>
      <c r="E33" s="235"/>
      <c r="F33" s="235"/>
      <c r="G33" s="236"/>
      <c r="H33" s="237"/>
      <c r="I33" s="237"/>
    </row>
    <row r="34" spans="3:14" ht="15.65" customHeight="1" x14ac:dyDescent="0.3">
      <c r="C34" s="223" t="e">
        <f>IF(D34="BQ",$K$5,$K$3)</f>
        <v>#REF!</v>
      </c>
      <c r="D34" s="224" t="s">
        <v>31</v>
      </c>
      <c r="E34" s="225" t="s">
        <v>78</v>
      </c>
      <c r="F34" s="225"/>
      <c r="G34" s="226" t="s">
        <v>50</v>
      </c>
      <c r="H34" s="227"/>
      <c r="I34" s="227" t="e">
        <f>VLOOKUP($K$3,#REF!,#REF!,FALSE)</f>
        <v>#REF!</v>
      </c>
    </row>
    <row r="35" spans="3:14" ht="15.65" customHeight="1" x14ac:dyDescent="0.3">
      <c r="C35" s="223" t="e">
        <f>IF(D35="BQ",$K$5,$K$3)</f>
        <v>#REF!</v>
      </c>
      <c r="D35" s="224" t="s">
        <v>31</v>
      </c>
      <c r="E35" s="225" t="s">
        <v>49</v>
      </c>
      <c r="F35" s="225"/>
      <c r="G35" s="226" t="s">
        <v>50</v>
      </c>
      <c r="H35" s="227" t="e">
        <f>VLOOKUP($K$3,#REF!,#REF!,FALSE)</f>
        <v>#REF!</v>
      </c>
      <c r="I35" s="227"/>
    </row>
    <row r="36" spans="3:14" ht="15.65" customHeight="1" x14ac:dyDescent="0.3">
      <c r="C36" s="233"/>
      <c r="D36" s="234"/>
      <c r="E36" s="235"/>
      <c r="F36" s="235"/>
      <c r="G36" s="236"/>
      <c r="H36" s="237"/>
      <c r="I36" s="237"/>
    </row>
    <row r="37" spans="3:14" ht="15.65" customHeight="1" x14ac:dyDescent="0.3">
      <c r="C37" s="228" t="e">
        <f t="shared" ref="C37:C44" si="2">IF(D37="BQ",$K$5,$K$3)</f>
        <v>#REF!</v>
      </c>
      <c r="D37" s="229" t="s">
        <v>31</v>
      </c>
      <c r="E37" s="230" t="s">
        <v>43</v>
      </c>
      <c r="F37" s="230"/>
      <c r="G37" s="231" t="s">
        <v>44</v>
      </c>
      <c r="H37" s="232"/>
      <c r="I37" s="238" t="e">
        <f>IF(K3&gt;=DATE(2021,4,30),VLOOKUP($K$3,#REF!,#REF!,FALSE)-VLOOKUP($K$3,#REF!,#REF!,FALSE),VLOOKUP($K$3,#REF!,#REF!,FALSE)+VLOOKUP($K$3,#REF!,#REF!,FALSE))</f>
        <v>#REF!</v>
      </c>
    </row>
    <row r="38" spans="3:14" ht="15.65" customHeight="1" x14ac:dyDescent="0.3">
      <c r="C38" s="228" t="e">
        <f t="shared" si="2"/>
        <v>#REF!</v>
      </c>
      <c r="D38" s="229" t="s">
        <v>31</v>
      </c>
      <c r="E38" s="230" t="s">
        <v>45</v>
      </c>
      <c r="F38" s="230"/>
      <c r="G38" s="231" t="s">
        <v>46</v>
      </c>
      <c r="H38" s="232"/>
      <c r="I38" s="238" t="e">
        <f>VLOOKUP($K$3,#REF!,#REF!,FALSE)</f>
        <v>#REF!</v>
      </c>
    </row>
    <row r="39" spans="3:14" ht="15.65" customHeight="1" x14ac:dyDescent="0.3">
      <c r="C39" s="228" t="e">
        <f t="shared" si="2"/>
        <v>#REF!</v>
      </c>
      <c r="D39" s="229" t="s">
        <v>31</v>
      </c>
      <c r="E39" s="230" t="s">
        <v>47</v>
      </c>
      <c r="F39" s="230"/>
      <c r="G39" s="231" t="s">
        <v>48</v>
      </c>
      <c r="H39" s="238"/>
      <c r="I39" s="238" t="e">
        <f>VLOOKUP($K$3,#REF!,#REF!,FALSE)+VLOOKUP($K$3,#REF!,#REF!,FALSE)+VLOOKUP($K$3,#REF!,#REF!,FALSE)</f>
        <v>#REF!</v>
      </c>
    </row>
    <row r="40" spans="3:14" ht="15.65" customHeight="1" x14ac:dyDescent="0.3">
      <c r="C40" s="228" t="e">
        <f t="shared" si="2"/>
        <v>#REF!</v>
      </c>
      <c r="D40" s="229" t="s">
        <v>31</v>
      </c>
      <c r="E40" s="230" t="s">
        <v>81</v>
      </c>
      <c r="F40" s="230"/>
      <c r="G40" s="231" t="s">
        <v>82</v>
      </c>
      <c r="H40" s="232"/>
      <c r="I40" s="238" t="e">
        <f>VLOOKUP($K$3,#REF!,#REF!,FALSE)</f>
        <v>#REF!</v>
      </c>
    </row>
    <row r="41" spans="3:14" ht="15.65" customHeight="1" x14ac:dyDescent="0.3">
      <c r="C41" s="228" t="e">
        <f t="shared" si="2"/>
        <v>#REF!</v>
      </c>
      <c r="D41" s="229" t="s">
        <v>31</v>
      </c>
      <c r="E41" s="230" t="s">
        <v>83</v>
      </c>
      <c r="F41" s="230"/>
      <c r="G41" s="231" t="s">
        <v>84</v>
      </c>
      <c r="H41" s="232"/>
      <c r="I41" s="232" t="e">
        <f>VLOOKUP($K$3,#REF!,#REF!,FALSE)</f>
        <v>#REF!</v>
      </c>
    </row>
    <row r="42" spans="3:14" ht="15.65" customHeight="1" x14ac:dyDescent="0.3">
      <c r="C42" s="228" t="e">
        <f t="shared" si="2"/>
        <v>#REF!</v>
      </c>
      <c r="D42" s="229" t="s">
        <v>31</v>
      </c>
      <c r="E42" s="230" t="s">
        <v>47</v>
      </c>
      <c r="F42" s="230"/>
      <c r="G42" s="231" t="s">
        <v>48</v>
      </c>
      <c r="H42" s="238" t="e">
        <f>VLOOKUP($K$3,#REF!,#REF!,FALSE)</f>
        <v>#REF!</v>
      </c>
      <c r="I42" s="238"/>
    </row>
    <row r="43" spans="3:14" ht="15.65" customHeight="1" x14ac:dyDescent="0.3">
      <c r="C43" s="228" t="e">
        <f t="shared" si="2"/>
        <v>#REF!</v>
      </c>
      <c r="D43" s="229" t="s">
        <v>31</v>
      </c>
      <c r="E43" s="230" t="s">
        <v>55</v>
      </c>
      <c r="F43" s="230"/>
      <c r="G43" s="231" t="s">
        <v>56</v>
      </c>
      <c r="H43" s="238" t="e">
        <f>VLOOKUP($K$3,#REF!,#REF!,FALSE)</f>
        <v>#REF!</v>
      </c>
      <c r="I43" s="238"/>
    </row>
    <row r="44" spans="3:14" ht="15.65" customHeight="1" x14ac:dyDescent="0.3">
      <c r="C44" s="241" t="e">
        <f t="shared" si="2"/>
        <v>#REF!</v>
      </c>
      <c r="D44" s="242" t="s">
        <v>31</v>
      </c>
      <c r="E44" s="243" t="s">
        <v>74</v>
      </c>
      <c r="F44" s="243"/>
      <c r="G44" s="244" t="s">
        <v>75</v>
      </c>
      <c r="H44" s="248" t="e">
        <f>VLOOKUP($K$3,#REF!,#REF!,FALSE)</f>
        <v>#REF!</v>
      </c>
      <c r="I44" s="248"/>
      <c r="J44" s="246"/>
      <c r="K44" s="246" t="e">
        <f>SUM(H37:H44)</f>
        <v>#REF!</v>
      </c>
      <c r="L44" s="246" t="e">
        <f>SUM(I37:I44)</f>
        <v>#REF!</v>
      </c>
      <c r="M44" s="247" t="e">
        <f>IF(ABS(L44-K44)&lt;0.01,"TRUE","NOT TRUE")</f>
        <v>#REF!</v>
      </c>
    </row>
    <row r="45" spans="3:14" ht="15.65" customHeight="1" x14ac:dyDescent="0.3">
      <c r="C45" s="233"/>
      <c r="D45" s="234"/>
      <c r="E45" s="235"/>
      <c r="F45" s="235"/>
      <c r="G45" s="236"/>
      <c r="H45" s="237"/>
      <c r="I45" s="237"/>
      <c r="M45" s="240"/>
    </row>
    <row r="46" spans="3:14" ht="15.65" customHeight="1" x14ac:dyDescent="0.3">
      <c r="C46" s="223" t="e">
        <f>IF(D46="BQ",$K$5,$K$3)</f>
        <v>#REF!</v>
      </c>
      <c r="D46" s="224" t="s">
        <v>31</v>
      </c>
      <c r="E46" s="225" t="s">
        <v>57</v>
      </c>
      <c r="F46" s="225"/>
      <c r="G46" s="226" t="s">
        <v>58</v>
      </c>
      <c r="H46" s="227" t="e">
        <f>VLOOKUP($K$3,#REF!,#REF!,FALSE)</f>
        <v>#REF!</v>
      </c>
      <c r="I46" s="239"/>
    </row>
    <row r="47" spans="3:14" ht="15.65" customHeight="1" x14ac:dyDescent="0.3">
      <c r="C47" s="223" t="e">
        <f>IF(D47="BQ",$K$5,$K$3)</f>
        <v>#REF!</v>
      </c>
      <c r="D47" s="224" t="s">
        <v>31</v>
      </c>
      <c r="E47" s="225" t="s">
        <v>79</v>
      </c>
      <c r="F47" s="225"/>
      <c r="G47" s="226" t="s">
        <v>80</v>
      </c>
      <c r="H47" s="227"/>
      <c r="I47" s="227" t="e">
        <f>VLOOKUP($K$3,#REF!,#REF!,FALSE)</f>
        <v>#REF!</v>
      </c>
      <c r="L47" s="96"/>
      <c r="M47" s="93"/>
      <c r="N47" s="100"/>
    </row>
    <row r="48" spans="3:14" ht="15.65" customHeight="1" x14ac:dyDescent="0.3">
      <c r="C48" s="233"/>
      <c r="D48" s="234"/>
      <c r="E48" s="235"/>
      <c r="F48" s="235"/>
      <c r="G48" s="236"/>
      <c r="H48" s="237"/>
      <c r="I48" s="237"/>
      <c r="L48" s="96"/>
      <c r="M48" s="93"/>
      <c r="N48" s="100"/>
    </row>
    <row r="49" spans="3:14" ht="15.65" customHeight="1" x14ac:dyDescent="0.3">
      <c r="C49" s="223" t="e">
        <f>IF(D49="BQ",$K$5,$K$3)</f>
        <v>#REF!</v>
      </c>
      <c r="D49" s="224" t="s">
        <v>37</v>
      </c>
      <c r="E49" s="225" t="s">
        <v>59</v>
      </c>
      <c r="F49" s="225"/>
      <c r="G49" s="226" t="s">
        <v>60</v>
      </c>
      <c r="H49" s="227" t="e">
        <f>VLOOKUP($K$4,#REF!,#REF!,FALSE)</f>
        <v>#REF!</v>
      </c>
      <c r="I49" s="239"/>
      <c r="L49" s="96"/>
      <c r="M49" s="93"/>
      <c r="N49" s="100"/>
    </row>
    <row r="50" spans="3:14" ht="15.65" customHeight="1" x14ac:dyDescent="0.3">
      <c r="C50" s="223" t="e">
        <f>IF(D50="BQ",$K$5,$K$3)</f>
        <v>#REF!</v>
      </c>
      <c r="D50" s="224" t="s">
        <v>37</v>
      </c>
      <c r="E50" s="225" t="s">
        <v>55</v>
      </c>
      <c r="F50" s="225"/>
      <c r="G50" s="226" t="s">
        <v>56</v>
      </c>
      <c r="H50" s="227"/>
      <c r="I50" s="227" t="e">
        <f>VLOOKUP($K$4,#REF!,#REF!,FALSE)</f>
        <v>#REF!</v>
      </c>
      <c r="L50" s="96"/>
      <c r="M50" s="93"/>
      <c r="N50" s="100"/>
    </row>
    <row r="51" spans="3:14" ht="15.65" customHeight="1" x14ac:dyDescent="0.3">
      <c r="C51" s="233"/>
      <c r="D51" s="234"/>
      <c r="E51" s="235"/>
      <c r="F51" s="235"/>
      <c r="G51" s="236"/>
      <c r="H51" s="237"/>
      <c r="I51" s="237"/>
      <c r="L51" s="96"/>
      <c r="M51" s="93"/>
      <c r="N51" s="100"/>
    </row>
    <row r="52" spans="3:14" ht="15.65" customHeight="1" x14ac:dyDescent="0.3">
      <c r="C52" s="228" t="e">
        <f>IF(D52="BQ",$K$5,$K$3)</f>
        <v>#REF!</v>
      </c>
      <c r="D52" s="229" t="s">
        <v>37</v>
      </c>
      <c r="E52" s="230" t="s">
        <v>36</v>
      </c>
      <c r="F52" s="230"/>
      <c r="G52" s="231" t="s">
        <v>33</v>
      </c>
      <c r="H52" s="232" t="e">
        <f>VLOOKUP($K$4,#REF!,#REF!,FALSE)</f>
        <v>#REF!</v>
      </c>
      <c r="I52" s="238"/>
      <c r="L52" s="96"/>
      <c r="M52" s="93"/>
      <c r="N52" s="100"/>
    </row>
    <row r="53" spans="3:14" ht="15.65" customHeight="1" x14ac:dyDescent="0.3">
      <c r="C53" s="228" t="e">
        <f>IF(D53="BQ",$K$5,$K$3)</f>
        <v>#REF!</v>
      </c>
      <c r="D53" s="229" t="s">
        <v>37</v>
      </c>
      <c r="E53" s="230" t="s">
        <v>38</v>
      </c>
      <c r="F53" s="230"/>
      <c r="G53" s="231" t="s">
        <v>35</v>
      </c>
      <c r="H53" s="232" t="e">
        <f>VLOOKUP($K$4,#REF!,#REF!,FALSE)+VLOOKUP($K$4,#REF!,#REF!,FALSE)</f>
        <v>#REF!</v>
      </c>
      <c r="I53" s="238"/>
      <c r="L53" s="96"/>
      <c r="M53" s="93"/>
      <c r="N53" s="100"/>
    </row>
    <row r="54" spans="3:14" ht="15.65" customHeight="1" x14ac:dyDescent="0.3">
      <c r="C54" s="228" t="e">
        <f>IF(D54="BQ",$K$5,$K$3)</f>
        <v>#REF!</v>
      </c>
      <c r="D54" s="229" t="s">
        <v>37</v>
      </c>
      <c r="E54" s="230" t="s">
        <v>39</v>
      </c>
      <c r="F54" s="230"/>
      <c r="G54" s="231" t="s">
        <v>40</v>
      </c>
      <c r="H54" s="238" t="e">
        <f>VLOOKUP($K$4,#REF!,#REF!,FALSE)</f>
        <v>#REF!</v>
      </c>
      <c r="I54" s="238"/>
      <c r="L54" s="96"/>
      <c r="M54" s="93"/>
      <c r="N54" s="100"/>
    </row>
    <row r="55" spans="3:14" ht="15.65" customHeight="1" x14ac:dyDescent="0.3">
      <c r="C55" s="228" t="e">
        <f>IF(D55="BQ",$K$5,$K$3)</f>
        <v>#REF!</v>
      </c>
      <c r="D55" s="229" t="s">
        <v>37</v>
      </c>
      <c r="E55" s="230" t="s">
        <v>41</v>
      </c>
      <c r="F55" s="230"/>
      <c r="G55" s="231" t="s">
        <v>42</v>
      </c>
      <c r="H55" s="238" t="e">
        <f>VLOOKUP($K$4,#REF!,#REF!,FALSE)</f>
        <v>#REF!</v>
      </c>
      <c r="I55" s="232"/>
      <c r="L55" s="96"/>
      <c r="M55" s="93"/>
      <c r="N55" s="100"/>
    </row>
    <row r="56" spans="3:14" ht="15.65" customHeight="1" x14ac:dyDescent="0.3">
      <c r="C56" s="228" t="e">
        <f>IF(D56="BQ",$K$5,$K$3)</f>
        <v>#REF!</v>
      </c>
      <c r="D56" s="229" t="s">
        <v>37</v>
      </c>
      <c r="E56" s="230" t="s">
        <v>53</v>
      </c>
      <c r="F56" s="230"/>
      <c r="G56" s="231" t="s">
        <v>54</v>
      </c>
      <c r="H56" s="238" t="e">
        <f>VLOOKUP($K$4,#REF!,#REF!,FALSE)+VLOOKUP($K$4,#REF!,#REF!,FALSE)+VLOOKUP($K$4,#REF!,#REF!,FALSE)+VLOOKUP($K$4,#REF!,#REF!,FALSE)+VLOOKUP($K$4,#REF!,#REF!,FALSE)</f>
        <v>#REF!</v>
      </c>
      <c r="I56" s="238"/>
      <c r="L56" s="96"/>
      <c r="M56" s="93"/>
      <c r="N56" s="100"/>
    </row>
    <row r="57" spans="3:14" ht="15.65" customHeight="1" x14ac:dyDescent="0.3">
      <c r="C57" s="241" t="e">
        <f t="shared" ref="C57" si="3">IF(D57="BQ",$K$5,$K$3)</f>
        <v>#REF!</v>
      </c>
      <c r="D57" s="242" t="s">
        <v>37</v>
      </c>
      <c r="E57" s="243" t="s">
        <v>59</v>
      </c>
      <c r="F57" s="243"/>
      <c r="G57" s="244" t="s">
        <v>60</v>
      </c>
      <c r="H57" s="245"/>
      <c r="I57" s="245" t="e">
        <f>VLOOKUP($K$4,#REF!,#REF!,FALSE)+VLOOKUP($K$3,#REF!,#REF!,FALSE)+VLOOKUP($K$4,#REF!,#REF!,FALSE)+VLOOKUP($K$4,#REF!,#REF!,FALSE)+VLOOKUP($K$4,#REF!,#REF!,FALSE)+VLOOKUP($K$4,#REF!,#REF!,FALSE)+VLOOKUP($K$4,#REF!,#REF!,FALSE)+VLOOKUP($K$4,#REF!,#REF!,FALSE)+VLOOKUP($K$4,#REF!,#REF!,FALSE)</f>
        <v>#REF!</v>
      </c>
      <c r="J57" s="246"/>
      <c r="K57" s="246" t="e">
        <f>SUM(H52:H57)</f>
        <v>#REF!</v>
      </c>
      <c r="L57" s="246" t="e">
        <f>SUM(I52:I57)</f>
        <v>#REF!</v>
      </c>
      <c r="M57" s="247" t="e">
        <f>L57=K57</f>
        <v>#REF!</v>
      </c>
      <c r="N57" s="100"/>
    </row>
    <row r="58" spans="3:14" ht="15.65" customHeight="1" x14ac:dyDescent="0.3">
      <c r="C58"/>
      <c r="D58"/>
      <c r="E58" s="222"/>
      <c r="F58" s="222"/>
      <c r="G58"/>
      <c r="H58" s="249" t="e">
        <f>SUM(H12:H57)</f>
        <v>#REF!</v>
      </c>
      <c r="I58" s="249" t="e">
        <f>SUM(I12:I57)</f>
        <v>#REF!</v>
      </c>
      <c r="M58" s="93"/>
      <c r="N58" s="100"/>
    </row>
    <row r="59" spans="3:14" ht="15.65" customHeight="1" x14ac:dyDescent="0.25">
      <c r="L59" s="96"/>
      <c r="M59" s="93"/>
      <c r="N59" s="100"/>
    </row>
    <row r="60" spans="3:14" ht="15.65" customHeight="1" x14ac:dyDescent="0.25">
      <c r="L60" s="96"/>
      <c r="M60" s="93"/>
      <c r="N60" s="100"/>
    </row>
    <row r="61" spans="3:14" x14ac:dyDescent="0.25">
      <c r="L61" s="96"/>
      <c r="M61" s="93"/>
      <c r="N61" s="100"/>
    </row>
    <row r="62" spans="3:14" x14ac:dyDescent="0.25">
      <c r="L62" s="96"/>
      <c r="M62" s="93"/>
      <c r="N62" s="100"/>
    </row>
    <row r="63" spans="3:14" x14ac:dyDescent="0.25">
      <c r="L63" s="96"/>
      <c r="M63" s="93"/>
      <c r="N63" s="100"/>
    </row>
    <row r="64" spans="3:14" x14ac:dyDescent="0.25">
      <c r="L64" s="96"/>
      <c r="M64" s="93"/>
      <c r="N64" s="100"/>
    </row>
    <row r="65" spans="3:14" x14ac:dyDescent="0.25">
      <c r="L65" s="96"/>
      <c r="M65" s="93"/>
      <c r="N65" s="100"/>
    </row>
    <row r="66" spans="3:14" x14ac:dyDescent="0.25">
      <c r="L66" s="96"/>
    </row>
    <row r="67" spans="3:14" x14ac:dyDescent="0.25">
      <c r="L67" s="96"/>
    </row>
    <row r="68" spans="3:14" x14ac:dyDescent="0.25">
      <c r="L68" s="96"/>
    </row>
    <row r="69" spans="3:14" x14ac:dyDescent="0.25">
      <c r="L69" s="96"/>
    </row>
    <row r="70" spans="3:14" x14ac:dyDescent="0.25">
      <c r="L70" s="96"/>
    </row>
    <row r="71" spans="3:14" x14ac:dyDescent="0.25">
      <c r="L71" s="96"/>
    </row>
    <row r="72" spans="3:14" x14ac:dyDescent="0.25">
      <c r="L72" s="96"/>
    </row>
    <row r="73" spans="3:14" x14ac:dyDescent="0.25">
      <c r="L73" s="96"/>
    </row>
    <row r="74" spans="3:14" x14ac:dyDescent="0.25">
      <c r="L74" s="96"/>
    </row>
    <row r="75" spans="3:14" x14ac:dyDescent="0.25">
      <c r="L75" s="96"/>
    </row>
    <row r="76" spans="3:14" x14ac:dyDescent="0.25">
      <c r="L76" s="96"/>
    </row>
    <row r="77" spans="3:14" ht="13" x14ac:dyDescent="0.3">
      <c r="C77" s="250"/>
      <c r="D77" s="216"/>
      <c r="E77" s="251"/>
      <c r="F77" s="251"/>
      <c r="G77" s="252"/>
      <c r="H77" s="253"/>
      <c r="I77" s="253"/>
    </row>
    <row r="78" spans="3:14" ht="13" x14ac:dyDescent="0.3">
      <c r="C78" s="250"/>
      <c r="D78" s="216"/>
      <c r="E78" s="251"/>
      <c r="F78" s="251"/>
      <c r="G78" s="252"/>
      <c r="H78" s="253"/>
      <c r="I78" s="253"/>
    </row>
    <row r="79" spans="3:14" ht="13" x14ac:dyDescent="0.3">
      <c r="C79" s="250"/>
      <c r="D79" s="216"/>
      <c r="E79" s="251"/>
      <c r="F79" s="251"/>
      <c r="G79" s="252"/>
      <c r="H79" s="253"/>
      <c r="I79" s="253"/>
    </row>
    <row r="80" spans="3:14" ht="13" x14ac:dyDescent="0.3">
      <c r="C80" s="250"/>
      <c r="D80" s="216"/>
      <c r="E80" s="251"/>
      <c r="F80" s="251"/>
      <c r="G80" s="252"/>
      <c r="H80" s="253"/>
      <c r="I80" s="253"/>
    </row>
    <row r="81" spans="3:12" ht="13" x14ac:dyDescent="0.3">
      <c r="C81" s="250"/>
      <c r="D81" s="216"/>
      <c r="E81" s="251"/>
      <c r="F81" s="251"/>
      <c r="G81" s="252"/>
      <c r="H81" s="253"/>
      <c r="I81" s="253"/>
    </row>
    <row r="82" spans="3:12" ht="13" x14ac:dyDescent="0.3">
      <c r="C82" s="250"/>
      <c r="D82" s="216"/>
      <c r="E82" s="251"/>
      <c r="F82" s="251"/>
      <c r="G82" s="252"/>
      <c r="H82" s="253"/>
      <c r="I82" s="253"/>
    </row>
    <row r="83" spans="3:12" ht="13" x14ac:dyDescent="0.3">
      <c r="C83" s="250"/>
      <c r="D83" s="216"/>
      <c r="E83" s="251"/>
      <c r="F83" s="251"/>
      <c r="G83" s="252"/>
      <c r="H83" s="253"/>
      <c r="I83" s="253"/>
    </row>
    <row r="84" spans="3:12" ht="13" x14ac:dyDescent="0.3">
      <c r="C84" s="250"/>
      <c r="D84" s="216"/>
      <c r="E84" s="251"/>
      <c r="F84" s="251"/>
      <c r="G84" s="252"/>
      <c r="H84" s="253"/>
    </row>
    <row r="85" spans="3:12" ht="13" x14ac:dyDescent="0.3">
      <c r="C85" s="250"/>
      <c r="D85" s="216"/>
      <c r="E85" s="251"/>
      <c r="F85" s="251"/>
      <c r="G85" s="252"/>
      <c r="H85" s="253"/>
      <c r="L85" s="254"/>
    </row>
    <row r="86" spans="3:12" ht="13" x14ac:dyDescent="0.3">
      <c r="C86" s="250"/>
      <c r="D86" s="216"/>
      <c r="E86" s="251"/>
      <c r="F86" s="251"/>
      <c r="G86" s="252"/>
      <c r="L86" s="254"/>
    </row>
    <row r="87" spans="3:12" ht="13" x14ac:dyDescent="0.3">
      <c r="C87" s="250"/>
      <c r="D87" s="216"/>
      <c r="E87" s="251"/>
      <c r="F87" s="251"/>
      <c r="G87" s="252"/>
      <c r="I87" s="253"/>
      <c r="L87" s="254"/>
    </row>
    <row r="88" spans="3:12" ht="13" x14ac:dyDescent="0.3">
      <c r="C88" s="250"/>
      <c r="D88" s="216"/>
      <c r="E88" s="251"/>
      <c r="F88" s="251"/>
      <c r="G88" s="252"/>
      <c r="H88" s="253"/>
      <c r="L88" s="254"/>
    </row>
    <row r="89" spans="3:12" ht="13" x14ac:dyDescent="0.3">
      <c r="C89" s="250"/>
      <c r="D89" s="216"/>
      <c r="E89" s="251"/>
      <c r="F89" s="251"/>
      <c r="G89" s="252"/>
      <c r="H89" s="253"/>
      <c r="I89" s="253"/>
      <c r="L89" s="255"/>
    </row>
    <row r="90" spans="3:12" ht="13" x14ac:dyDescent="0.3">
      <c r="C90" s="250"/>
      <c r="D90" s="216"/>
      <c r="E90" s="251"/>
      <c r="F90" s="251"/>
      <c r="G90" s="252"/>
      <c r="I90" s="253"/>
    </row>
    <row r="91" spans="3:12" ht="13" x14ac:dyDescent="0.3">
      <c r="C91" s="250"/>
      <c r="D91" s="216"/>
      <c r="E91" s="251"/>
      <c r="F91" s="251"/>
      <c r="G91" s="252"/>
      <c r="L91" s="254"/>
    </row>
    <row r="92" spans="3:12" ht="13" x14ac:dyDescent="0.3">
      <c r="C92" s="250"/>
      <c r="D92" s="216"/>
      <c r="E92" s="251"/>
      <c r="F92" s="251"/>
      <c r="G92" s="252"/>
      <c r="H92" s="253"/>
      <c r="L92" s="254"/>
    </row>
    <row r="93" spans="3:12" ht="13" x14ac:dyDescent="0.3">
      <c r="C93" s="250"/>
      <c r="D93" s="216"/>
      <c r="E93" s="251"/>
      <c r="F93" s="251"/>
      <c r="G93" s="252"/>
      <c r="I93" s="253"/>
      <c r="L93" s="254"/>
    </row>
    <row r="94" spans="3:12" ht="13" x14ac:dyDescent="0.3">
      <c r="C94" s="250"/>
      <c r="D94" s="216"/>
      <c r="E94" s="251"/>
      <c r="F94" s="251"/>
      <c r="G94" s="252"/>
      <c r="L94" s="255"/>
    </row>
    <row r="95" spans="3:12" ht="13" x14ac:dyDescent="0.3">
      <c r="C95" s="250"/>
      <c r="D95" s="216"/>
      <c r="E95" s="251"/>
      <c r="F95" s="251"/>
      <c r="G95" s="252"/>
      <c r="H95" s="253"/>
      <c r="I95" s="253"/>
      <c r="L95" s="254"/>
    </row>
    <row r="96" spans="3:12" ht="13" x14ac:dyDescent="0.3">
      <c r="C96" s="250"/>
      <c r="D96" s="216"/>
      <c r="E96" s="251"/>
      <c r="F96" s="251"/>
      <c r="G96" s="252"/>
      <c r="H96" s="253"/>
      <c r="I96" s="253"/>
      <c r="L96" s="254"/>
    </row>
    <row r="97" spans="3:12" ht="13" x14ac:dyDescent="0.3">
      <c r="C97" s="250"/>
      <c r="D97" s="216"/>
      <c r="E97" s="251"/>
      <c r="F97" s="251"/>
      <c r="G97" s="252"/>
      <c r="H97" s="253"/>
      <c r="I97" s="253"/>
      <c r="L97" s="254"/>
    </row>
    <row r="98" spans="3:12" ht="13" x14ac:dyDescent="0.3">
      <c r="C98" s="250"/>
      <c r="D98" s="216"/>
      <c r="E98" s="251"/>
      <c r="F98" s="251"/>
      <c r="G98" s="252"/>
      <c r="I98" s="253"/>
      <c r="L98" s="254"/>
    </row>
    <row r="99" spans="3:12" ht="13" x14ac:dyDescent="0.3">
      <c r="C99" s="250"/>
      <c r="D99" s="216"/>
      <c r="E99" s="251"/>
      <c r="F99" s="251"/>
      <c r="G99" s="252"/>
      <c r="I99" s="253"/>
      <c r="L99" s="254"/>
    </row>
    <row r="100" spans="3:12" ht="13" x14ac:dyDescent="0.3">
      <c r="C100" s="250"/>
      <c r="D100" s="216"/>
      <c r="E100" s="251"/>
      <c r="F100" s="251"/>
      <c r="G100" s="252"/>
      <c r="H100" s="253"/>
      <c r="I100" s="253"/>
      <c r="L100" s="254"/>
    </row>
    <row r="101" spans="3:12" ht="13" x14ac:dyDescent="0.3">
      <c r="C101" s="250"/>
      <c r="D101" s="216"/>
      <c r="E101" s="251"/>
      <c r="F101" s="251"/>
      <c r="G101" s="252"/>
      <c r="I101" s="253"/>
      <c r="L101" s="254"/>
    </row>
    <row r="102" spans="3:12" ht="13" x14ac:dyDescent="0.3">
      <c r="C102" s="250"/>
      <c r="D102" s="216"/>
      <c r="E102" s="251"/>
      <c r="F102" s="251"/>
      <c r="G102" s="252"/>
      <c r="I102" s="253"/>
      <c r="L102" s="254"/>
    </row>
    <row r="103" spans="3:12" ht="13" x14ac:dyDescent="0.3">
      <c r="C103" s="250"/>
      <c r="D103" s="216"/>
      <c r="E103" s="251"/>
      <c r="F103" s="251"/>
      <c r="G103" s="252"/>
      <c r="I103" s="253"/>
      <c r="L103" s="254"/>
    </row>
    <row r="104" spans="3:12" ht="13" x14ac:dyDescent="0.3">
      <c r="C104" s="250"/>
      <c r="D104" s="216"/>
      <c r="E104" s="251"/>
      <c r="F104" s="251"/>
      <c r="G104" s="252"/>
      <c r="H104" s="253"/>
      <c r="L104" s="254"/>
    </row>
    <row r="105" spans="3:12" ht="13" x14ac:dyDescent="0.3">
      <c r="C105" s="250"/>
      <c r="D105" s="216"/>
      <c r="E105" s="251"/>
      <c r="F105" s="251"/>
      <c r="G105" s="252"/>
      <c r="H105" s="253"/>
      <c r="I105" s="253"/>
      <c r="L105" s="254"/>
    </row>
    <row r="106" spans="3:12" ht="13" x14ac:dyDescent="0.3">
      <c r="C106" s="250"/>
      <c r="D106" s="216"/>
      <c r="E106" s="251"/>
      <c r="F106" s="251"/>
      <c r="G106" s="252"/>
      <c r="I106" s="253"/>
      <c r="L106" s="254"/>
    </row>
    <row r="107" spans="3:12" ht="13" x14ac:dyDescent="0.3">
      <c r="C107" s="250"/>
      <c r="D107" s="216"/>
      <c r="E107" s="251"/>
      <c r="F107" s="251"/>
      <c r="G107" s="252"/>
      <c r="I107" s="253"/>
      <c r="L107" s="254"/>
    </row>
    <row r="108" spans="3:12" ht="13" x14ac:dyDescent="0.3">
      <c r="C108"/>
      <c r="D108"/>
      <c r="E108" s="251"/>
      <c r="F108" s="251"/>
      <c r="G108" s="252"/>
      <c r="H108" s="253"/>
      <c r="I108" s="253"/>
      <c r="L108" s="254"/>
    </row>
    <row r="109" spans="3:12" ht="13" x14ac:dyDescent="0.3">
      <c r="E109" s="251"/>
      <c r="F109" s="251"/>
      <c r="G109" s="252"/>
      <c r="I109" s="253"/>
      <c r="L109" s="254"/>
    </row>
    <row r="110" spans="3:12" ht="13" x14ac:dyDescent="0.3">
      <c r="E110" s="251"/>
      <c r="F110" s="251"/>
      <c r="G110" s="252"/>
      <c r="I110" s="253"/>
    </row>
  </sheetData>
  <autoFilter ref="C11:I60" xr:uid="{28E58B19-721C-4A96-B85A-CC1384CE08CD}"/>
  <mergeCells count="1">
    <mergeCell ref="C8:K8"/>
  </mergeCells>
  <phoneticPr fontId="111" type="noConversion"/>
  <pageMargins left="0.7" right="0.7" top="0.75" bottom="0.75" header="0.3" footer="0.3"/>
  <pageSetup scale="3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0" tint="-0.249977111117893"/>
  </sheetPr>
  <dimension ref="C3:O77"/>
  <sheetViews>
    <sheetView workbookViewId="0"/>
  </sheetViews>
  <sheetFormatPr defaultColWidth="11.453125" defaultRowHeight="12.5" x14ac:dyDescent="0.25"/>
  <cols>
    <col min="1" max="1" width="3.54296875" style="26" customWidth="1"/>
    <col min="2" max="2" width="2.453125" style="26" customWidth="1"/>
    <col min="3" max="3" width="66.81640625" style="26" customWidth="1"/>
    <col min="4" max="4" width="5" style="26" customWidth="1"/>
    <col min="5" max="5" width="5.1796875" style="26" customWidth="1"/>
    <col min="6" max="6" width="29.54296875" style="26" customWidth="1"/>
    <col min="7" max="7" width="1.453125" style="26" customWidth="1"/>
    <col min="8" max="8" width="31.453125" style="26" customWidth="1"/>
    <col min="9" max="9" width="4.81640625" style="26" customWidth="1"/>
    <col min="10" max="10" width="4.54296875" style="26" customWidth="1"/>
    <col min="11" max="11" width="12.453125" style="26" bestFit="1" customWidth="1"/>
    <col min="12" max="12" width="13.453125" style="26" customWidth="1"/>
    <col min="13" max="13" width="7.453125" style="26" bestFit="1" customWidth="1"/>
    <col min="14" max="14" width="19.81640625" style="26" bestFit="1" customWidth="1"/>
    <col min="15" max="249" width="11.453125" style="26"/>
    <col min="250" max="250" width="2.453125" style="26" customWidth="1"/>
    <col min="251" max="251" width="49" style="26" customWidth="1"/>
    <col min="252" max="252" width="16.81640625" style="26" customWidth="1"/>
    <col min="253" max="253" width="1.1796875" style="26" customWidth="1"/>
    <col min="254" max="254" width="20.54296875" style="26" customWidth="1"/>
    <col min="255" max="255" width="17.54296875" style="26" customWidth="1"/>
    <col min="256" max="256" width="18.1796875" style="26" customWidth="1"/>
    <col min="257" max="257" width="17.1796875" style="26" customWidth="1"/>
    <col min="258" max="258" width="22.453125" style="26" bestFit="1" customWidth="1"/>
    <col min="259" max="259" width="22.1796875" style="26" customWidth="1"/>
    <col min="260" max="260" width="17.81640625" style="26" customWidth="1"/>
    <col min="261" max="261" width="22.453125" style="26" customWidth="1"/>
    <col min="262" max="262" width="10.1796875" style="26" bestFit="1" customWidth="1"/>
    <col min="263" max="263" width="13.453125" style="26" customWidth="1"/>
    <col min="264" max="264" width="7.453125" style="26" bestFit="1" customWidth="1"/>
    <col min="265" max="265" width="15.453125" style="26" bestFit="1" customWidth="1"/>
    <col min="266" max="266" width="7.453125" style="26" bestFit="1" customWidth="1"/>
    <col min="267" max="267" width="19.54296875" style="26" bestFit="1" customWidth="1"/>
    <col min="268" max="268" width="7.453125" style="26" bestFit="1" customWidth="1"/>
    <col min="269" max="269" width="26.81640625" style="26" bestFit="1" customWidth="1"/>
    <col min="270" max="270" width="19.81640625" style="26" bestFit="1" customWidth="1"/>
    <col min="271" max="505" width="11.453125" style="26"/>
    <col min="506" max="506" width="2.453125" style="26" customWidth="1"/>
    <col min="507" max="507" width="49" style="26" customWidth="1"/>
    <col min="508" max="508" width="16.81640625" style="26" customWidth="1"/>
    <col min="509" max="509" width="1.1796875" style="26" customWidth="1"/>
    <col min="510" max="510" width="20.54296875" style="26" customWidth="1"/>
    <col min="511" max="511" width="17.54296875" style="26" customWidth="1"/>
    <col min="512" max="512" width="18.1796875" style="26" customWidth="1"/>
    <col min="513" max="513" width="17.1796875" style="26" customWidth="1"/>
    <col min="514" max="514" width="22.453125" style="26" bestFit="1" customWidth="1"/>
    <col min="515" max="515" width="22.1796875" style="26" customWidth="1"/>
    <col min="516" max="516" width="17.81640625" style="26" customWidth="1"/>
    <col min="517" max="517" width="22.453125" style="26" customWidth="1"/>
    <col min="518" max="518" width="10.1796875" style="26" bestFit="1" customWidth="1"/>
    <col min="519" max="519" width="13.453125" style="26" customWidth="1"/>
    <col min="520" max="520" width="7.453125" style="26" bestFit="1" customWidth="1"/>
    <col min="521" max="521" width="15.453125" style="26" bestFit="1" customWidth="1"/>
    <col min="522" max="522" width="7.453125" style="26" bestFit="1" customWidth="1"/>
    <col min="523" max="523" width="19.54296875" style="26" bestFit="1" customWidth="1"/>
    <col min="524" max="524" width="7.453125" style="26" bestFit="1" customWidth="1"/>
    <col min="525" max="525" width="26.81640625" style="26" bestFit="1" customWidth="1"/>
    <col min="526" max="526" width="19.81640625" style="26" bestFit="1" customWidth="1"/>
    <col min="527" max="761" width="11.453125" style="26"/>
    <col min="762" max="762" width="2.453125" style="26" customWidth="1"/>
    <col min="763" max="763" width="49" style="26" customWidth="1"/>
    <col min="764" max="764" width="16.81640625" style="26" customWidth="1"/>
    <col min="765" max="765" width="1.1796875" style="26" customWidth="1"/>
    <col min="766" max="766" width="20.54296875" style="26" customWidth="1"/>
    <col min="767" max="767" width="17.54296875" style="26" customWidth="1"/>
    <col min="768" max="768" width="18.1796875" style="26" customWidth="1"/>
    <col min="769" max="769" width="17.1796875" style="26" customWidth="1"/>
    <col min="770" max="770" width="22.453125" style="26" bestFit="1" customWidth="1"/>
    <col min="771" max="771" width="22.1796875" style="26" customWidth="1"/>
    <col min="772" max="772" width="17.81640625" style="26" customWidth="1"/>
    <col min="773" max="773" width="22.453125" style="26" customWidth="1"/>
    <col min="774" max="774" width="10.1796875" style="26" bestFit="1" customWidth="1"/>
    <col min="775" max="775" width="13.453125" style="26" customWidth="1"/>
    <col min="776" max="776" width="7.453125" style="26" bestFit="1" customWidth="1"/>
    <col min="777" max="777" width="15.453125" style="26" bestFit="1" customWidth="1"/>
    <col min="778" max="778" width="7.453125" style="26" bestFit="1" customWidth="1"/>
    <col min="779" max="779" width="19.54296875" style="26" bestFit="1" customWidth="1"/>
    <col min="780" max="780" width="7.453125" style="26" bestFit="1" customWidth="1"/>
    <col min="781" max="781" width="26.81640625" style="26" bestFit="1" customWidth="1"/>
    <col min="782" max="782" width="19.81640625" style="26" bestFit="1" customWidth="1"/>
    <col min="783" max="1017" width="11.453125" style="26"/>
    <col min="1018" max="1018" width="2.453125" style="26" customWidth="1"/>
    <col min="1019" max="1019" width="49" style="26" customWidth="1"/>
    <col min="1020" max="1020" width="16.81640625" style="26" customWidth="1"/>
    <col min="1021" max="1021" width="1.1796875" style="26" customWidth="1"/>
    <col min="1022" max="1022" width="20.54296875" style="26" customWidth="1"/>
    <col min="1023" max="1023" width="17.54296875" style="26" customWidth="1"/>
    <col min="1024" max="1024" width="18.1796875" style="26" customWidth="1"/>
    <col min="1025" max="1025" width="17.1796875" style="26" customWidth="1"/>
    <col min="1026" max="1026" width="22.453125" style="26" bestFit="1" customWidth="1"/>
    <col min="1027" max="1027" width="22.1796875" style="26" customWidth="1"/>
    <col min="1028" max="1028" width="17.81640625" style="26" customWidth="1"/>
    <col min="1029" max="1029" width="22.453125" style="26" customWidth="1"/>
    <col min="1030" max="1030" width="10.1796875" style="26" bestFit="1" customWidth="1"/>
    <col min="1031" max="1031" width="13.453125" style="26" customWidth="1"/>
    <col min="1032" max="1032" width="7.453125" style="26" bestFit="1" customWidth="1"/>
    <col min="1033" max="1033" width="15.453125" style="26" bestFit="1" customWidth="1"/>
    <col min="1034" max="1034" width="7.453125" style="26" bestFit="1" customWidth="1"/>
    <col min="1035" max="1035" width="19.54296875" style="26" bestFit="1" customWidth="1"/>
    <col min="1036" max="1036" width="7.453125" style="26" bestFit="1" customWidth="1"/>
    <col min="1037" max="1037" width="26.81640625" style="26" bestFit="1" customWidth="1"/>
    <col min="1038" max="1038" width="19.81640625" style="26" bestFit="1" customWidth="1"/>
    <col min="1039" max="1273" width="11.453125" style="26"/>
    <col min="1274" max="1274" width="2.453125" style="26" customWidth="1"/>
    <col min="1275" max="1275" width="49" style="26" customWidth="1"/>
    <col min="1276" max="1276" width="16.81640625" style="26" customWidth="1"/>
    <col min="1277" max="1277" width="1.1796875" style="26" customWidth="1"/>
    <col min="1278" max="1278" width="20.54296875" style="26" customWidth="1"/>
    <col min="1279" max="1279" width="17.54296875" style="26" customWidth="1"/>
    <col min="1280" max="1280" width="18.1796875" style="26" customWidth="1"/>
    <col min="1281" max="1281" width="17.1796875" style="26" customWidth="1"/>
    <col min="1282" max="1282" width="22.453125" style="26" bestFit="1" customWidth="1"/>
    <col min="1283" max="1283" width="22.1796875" style="26" customWidth="1"/>
    <col min="1284" max="1284" width="17.81640625" style="26" customWidth="1"/>
    <col min="1285" max="1285" width="22.453125" style="26" customWidth="1"/>
    <col min="1286" max="1286" width="10.1796875" style="26" bestFit="1" customWidth="1"/>
    <col min="1287" max="1287" width="13.453125" style="26" customWidth="1"/>
    <col min="1288" max="1288" width="7.453125" style="26" bestFit="1" customWidth="1"/>
    <col min="1289" max="1289" width="15.453125" style="26" bestFit="1" customWidth="1"/>
    <col min="1290" max="1290" width="7.453125" style="26" bestFit="1" customWidth="1"/>
    <col min="1291" max="1291" width="19.54296875" style="26" bestFit="1" customWidth="1"/>
    <col min="1292" max="1292" width="7.453125" style="26" bestFit="1" customWidth="1"/>
    <col min="1293" max="1293" width="26.81640625" style="26" bestFit="1" customWidth="1"/>
    <col min="1294" max="1294" width="19.81640625" style="26" bestFit="1" customWidth="1"/>
    <col min="1295" max="1529" width="11.453125" style="26"/>
    <col min="1530" max="1530" width="2.453125" style="26" customWidth="1"/>
    <col min="1531" max="1531" width="49" style="26" customWidth="1"/>
    <col min="1532" max="1532" width="16.81640625" style="26" customWidth="1"/>
    <col min="1533" max="1533" width="1.1796875" style="26" customWidth="1"/>
    <col min="1534" max="1534" width="20.54296875" style="26" customWidth="1"/>
    <col min="1535" max="1535" width="17.54296875" style="26" customWidth="1"/>
    <col min="1536" max="1536" width="18.1796875" style="26" customWidth="1"/>
    <col min="1537" max="1537" width="17.1796875" style="26" customWidth="1"/>
    <col min="1538" max="1538" width="22.453125" style="26" bestFit="1" customWidth="1"/>
    <col min="1539" max="1539" width="22.1796875" style="26" customWidth="1"/>
    <col min="1540" max="1540" width="17.81640625" style="26" customWidth="1"/>
    <col min="1541" max="1541" width="22.453125" style="26" customWidth="1"/>
    <col min="1542" max="1542" width="10.1796875" style="26" bestFit="1" customWidth="1"/>
    <col min="1543" max="1543" width="13.453125" style="26" customWidth="1"/>
    <col min="1544" max="1544" width="7.453125" style="26" bestFit="1" customWidth="1"/>
    <col min="1545" max="1545" width="15.453125" style="26" bestFit="1" customWidth="1"/>
    <col min="1546" max="1546" width="7.453125" style="26" bestFit="1" customWidth="1"/>
    <col min="1547" max="1547" width="19.54296875" style="26" bestFit="1" customWidth="1"/>
    <col min="1548" max="1548" width="7.453125" style="26" bestFit="1" customWidth="1"/>
    <col min="1549" max="1549" width="26.81640625" style="26" bestFit="1" customWidth="1"/>
    <col min="1550" max="1550" width="19.81640625" style="26" bestFit="1" customWidth="1"/>
    <col min="1551" max="1785" width="11.453125" style="26"/>
    <col min="1786" max="1786" width="2.453125" style="26" customWidth="1"/>
    <col min="1787" max="1787" width="49" style="26" customWidth="1"/>
    <col min="1788" max="1788" width="16.81640625" style="26" customWidth="1"/>
    <col min="1789" max="1789" width="1.1796875" style="26" customWidth="1"/>
    <col min="1790" max="1790" width="20.54296875" style="26" customWidth="1"/>
    <col min="1791" max="1791" width="17.54296875" style="26" customWidth="1"/>
    <col min="1792" max="1792" width="18.1796875" style="26" customWidth="1"/>
    <col min="1793" max="1793" width="17.1796875" style="26" customWidth="1"/>
    <col min="1794" max="1794" width="22.453125" style="26" bestFit="1" customWidth="1"/>
    <col min="1795" max="1795" width="22.1796875" style="26" customWidth="1"/>
    <col min="1796" max="1796" width="17.81640625" style="26" customWidth="1"/>
    <col min="1797" max="1797" width="22.453125" style="26" customWidth="1"/>
    <col min="1798" max="1798" width="10.1796875" style="26" bestFit="1" customWidth="1"/>
    <col min="1799" max="1799" width="13.453125" style="26" customWidth="1"/>
    <col min="1800" max="1800" width="7.453125" style="26" bestFit="1" customWidth="1"/>
    <col min="1801" max="1801" width="15.453125" style="26" bestFit="1" customWidth="1"/>
    <col min="1802" max="1802" width="7.453125" style="26" bestFit="1" customWidth="1"/>
    <col min="1803" max="1803" width="19.54296875" style="26" bestFit="1" customWidth="1"/>
    <col min="1804" max="1804" width="7.453125" style="26" bestFit="1" customWidth="1"/>
    <col min="1805" max="1805" width="26.81640625" style="26" bestFit="1" customWidth="1"/>
    <col min="1806" max="1806" width="19.81640625" style="26" bestFit="1" customWidth="1"/>
    <col min="1807" max="2041" width="11.453125" style="26"/>
    <col min="2042" max="2042" width="2.453125" style="26" customWidth="1"/>
    <col min="2043" max="2043" width="49" style="26" customWidth="1"/>
    <col min="2044" max="2044" width="16.81640625" style="26" customWidth="1"/>
    <col min="2045" max="2045" width="1.1796875" style="26" customWidth="1"/>
    <col min="2046" max="2046" width="20.54296875" style="26" customWidth="1"/>
    <col min="2047" max="2047" width="17.54296875" style="26" customWidth="1"/>
    <col min="2048" max="2048" width="18.1796875" style="26" customWidth="1"/>
    <col min="2049" max="2049" width="17.1796875" style="26" customWidth="1"/>
    <col min="2050" max="2050" width="22.453125" style="26" bestFit="1" customWidth="1"/>
    <col min="2051" max="2051" width="22.1796875" style="26" customWidth="1"/>
    <col min="2052" max="2052" width="17.81640625" style="26" customWidth="1"/>
    <col min="2053" max="2053" width="22.453125" style="26" customWidth="1"/>
    <col min="2054" max="2054" width="10.1796875" style="26" bestFit="1" customWidth="1"/>
    <col min="2055" max="2055" width="13.453125" style="26" customWidth="1"/>
    <col min="2056" max="2056" width="7.453125" style="26" bestFit="1" customWidth="1"/>
    <col min="2057" max="2057" width="15.453125" style="26" bestFit="1" customWidth="1"/>
    <col min="2058" max="2058" width="7.453125" style="26" bestFit="1" customWidth="1"/>
    <col min="2059" max="2059" width="19.54296875" style="26" bestFit="1" customWidth="1"/>
    <col min="2060" max="2060" width="7.453125" style="26" bestFit="1" customWidth="1"/>
    <col min="2061" max="2061" width="26.81640625" style="26" bestFit="1" customWidth="1"/>
    <col min="2062" max="2062" width="19.81640625" style="26" bestFit="1" customWidth="1"/>
    <col min="2063" max="2297" width="11.453125" style="26"/>
    <col min="2298" max="2298" width="2.453125" style="26" customWidth="1"/>
    <col min="2299" max="2299" width="49" style="26" customWidth="1"/>
    <col min="2300" max="2300" width="16.81640625" style="26" customWidth="1"/>
    <col min="2301" max="2301" width="1.1796875" style="26" customWidth="1"/>
    <col min="2302" max="2302" width="20.54296875" style="26" customWidth="1"/>
    <col min="2303" max="2303" width="17.54296875" style="26" customWidth="1"/>
    <col min="2304" max="2304" width="18.1796875" style="26" customWidth="1"/>
    <col min="2305" max="2305" width="17.1796875" style="26" customWidth="1"/>
    <col min="2306" max="2306" width="22.453125" style="26" bestFit="1" customWidth="1"/>
    <col min="2307" max="2307" width="22.1796875" style="26" customWidth="1"/>
    <col min="2308" max="2308" width="17.81640625" style="26" customWidth="1"/>
    <col min="2309" max="2309" width="22.453125" style="26" customWidth="1"/>
    <col min="2310" max="2310" width="10.1796875" style="26" bestFit="1" customWidth="1"/>
    <col min="2311" max="2311" width="13.453125" style="26" customWidth="1"/>
    <col min="2312" max="2312" width="7.453125" style="26" bestFit="1" customWidth="1"/>
    <col min="2313" max="2313" width="15.453125" style="26" bestFit="1" customWidth="1"/>
    <col min="2314" max="2314" width="7.453125" style="26" bestFit="1" customWidth="1"/>
    <col min="2315" max="2315" width="19.54296875" style="26" bestFit="1" customWidth="1"/>
    <col min="2316" max="2316" width="7.453125" style="26" bestFit="1" customWidth="1"/>
    <col min="2317" max="2317" width="26.81640625" style="26" bestFit="1" customWidth="1"/>
    <col min="2318" max="2318" width="19.81640625" style="26" bestFit="1" customWidth="1"/>
    <col min="2319" max="2553" width="11.453125" style="26"/>
    <col min="2554" max="2554" width="2.453125" style="26" customWidth="1"/>
    <col min="2555" max="2555" width="49" style="26" customWidth="1"/>
    <col min="2556" max="2556" width="16.81640625" style="26" customWidth="1"/>
    <col min="2557" max="2557" width="1.1796875" style="26" customWidth="1"/>
    <col min="2558" max="2558" width="20.54296875" style="26" customWidth="1"/>
    <col min="2559" max="2559" width="17.54296875" style="26" customWidth="1"/>
    <col min="2560" max="2560" width="18.1796875" style="26" customWidth="1"/>
    <col min="2561" max="2561" width="17.1796875" style="26" customWidth="1"/>
    <col min="2562" max="2562" width="22.453125" style="26" bestFit="1" customWidth="1"/>
    <col min="2563" max="2563" width="22.1796875" style="26" customWidth="1"/>
    <col min="2564" max="2564" width="17.81640625" style="26" customWidth="1"/>
    <col min="2565" max="2565" width="22.453125" style="26" customWidth="1"/>
    <col min="2566" max="2566" width="10.1796875" style="26" bestFit="1" customWidth="1"/>
    <col min="2567" max="2567" width="13.453125" style="26" customWidth="1"/>
    <col min="2568" max="2568" width="7.453125" style="26" bestFit="1" customWidth="1"/>
    <col min="2569" max="2569" width="15.453125" style="26" bestFit="1" customWidth="1"/>
    <col min="2570" max="2570" width="7.453125" style="26" bestFit="1" customWidth="1"/>
    <col min="2571" max="2571" width="19.54296875" style="26" bestFit="1" customWidth="1"/>
    <col min="2572" max="2572" width="7.453125" style="26" bestFit="1" customWidth="1"/>
    <col min="2573" max="2573" width="26.81640625" style="26" bestFit="1" customWidth="1"/>
    <col min="2574" max="2574" width="19.81640625" style="26" bestFit="1" customWidth="1"/>
    <col min="2575" max="2809" width="11.453125" style="26"/>
    <col min="2810" max="2810" width="2.453125" style="26" customWidth="1"/>
    <col min="2811" max="2811" width="49" style="26" customWidth="1"/>
    <col min="2812" max="2812" width="16.81640625" style="26" customWidth="1"/>
    <col min="2813" max="2813" width="1.1796875" style="26" customWidth="1"/>
    <col min="2814" max="2814" width="20.54296875" style="26" customWidth="1"/>
    <col min="2815" max="2815" width="17.54296875" style="26" customWidth="1"/>
    <col min="2816" max="2816" width="18.1796875" style="26" customWidth="1"/>
    <col min="2817" max="2817" width="17.1796875" style="26" customWidth="1"/>
    <col min="2818" max="2818" width="22.453125" style="26" bestFit="1" customWidth="1"/>
    <col min="2819" max="2819" width="22.1796875" style="26" customWidth="1"/>
    <col min="2820" max="2820" width="17.81640625" style="26" customWidth="1"/>
    <col min="2821" max="2821" width="22.453125" style="26" customWidth="1"/>
    <col min="2822" max="2822" width="10.1796875" style="26" bestFit="1" customWidth="1"/>
    <col min="2823" max="2823" width="13.453125" style="26" customWidth="1"/>
    <col min="2824" max="2824" width="7.453125" style="26" bestFit="1" customWidth="1"/>
    <col min="2825" max="2825" width="15.453125" style="26" bestFit="1" customWidth="1"/>
    <col min="2826" max="2826" width="7.453125" style="26" bestFit="1" customWidth="1"/>
    <col min="2827" max="2827" width="19.54296875" style="26" bestFit="1" customWidth="1"/>
    <col min="2828" max="2828" width="7.453125" style="26" bestFit="1" customWidth="1"/>
    <col min="2829" max="2829" width="26.81640625" style="26" bestFit="1" customWidth="1"/>
    <col min="2830" max="2830" width="19.81640625" style="26" bestFit="1" customWidth="1"/>
    <col min="2831" max="3065" width="11.453125" style="26"/>
    <col min="3066" max="3066" width="2.453125" style="26" customWidth="1"/>
    <col min="3067" max="3067" width="49" style="26" customWidth="1"/>
    <col min="3068" max="3068" width="16.81640625" style="26" customWidth="1"/>
    <col min="3069" max="3069" width="1.1796875" style="26" customWidth="1"/>
    <col min="3070" max="3070" width="20.54296875" style="26" customWidth="1"/>
    <col min="3071" max="3071" width="17.54296875" style="26" customWidth="1"/>
    <col min="3072" max="3072" width="18.1796875" style="26" customWidth="1"/>
    <col min="3073" max="3073" width="17.1796875" style="26" customWidth="1"/>
    <col min="3074" max="3074" width="22.453125" style="26" bestFit="1" customWidth="1"/>
    <col min="3075" max="3075" width="22.1796875" style="26" customWidth="1"/>
    <col min="3076" max="3076" width="17.81640625" style="26" customWidth="1"/>
    <col min="3077" max="3077" width="22.453125" style="26" customWidth="1"/>
    <col min="3078" max="3078" width="10.1796875" style="26" bestFit="1" customWidth="1"/>
    <col min="3079" max="3079" width="13.453125" style="26" customWidth="1"/>
    <col min="3080" max="3080" width="7.453125" style="26" bestFit="1" customWidth="1"/>
    <col min="3081" max="3081" width="15.453125" style="26" bestFit="1" customWidth="1"/>
    <col min="3082" max="3082" width="7.453125" style="26" bestFit="1" customWidth="1"/>
    <col min="3083" max="3083" width="19.54296875" style="26" bestFit="1" customWidth="1"/>
    <col min="3084" max="3084" width="7.453125" style="26" bestFit="1" customWidth="1"/>
    <col min="3085" max="3085" width="26.81640625" style="26" bestFit="1" customWidth="1"/>
    <col min="3086" max="3086" width="19.81640625" style="26" bestFit="1" customWidth="1"/>
    <col min="3087" max="3321" width="11.453125" style="26"/>
    <col min="3322" max="3322" width="2.453125" style="26" customWidth="1"/>
    <col min="3323" max="3323" width="49" style="26" customWidth="1"/>
    <col min="3324" max="3324" width="16.81640625" style="26" customWidth="1"/>
    <col min="3325" max="3325" width="1.1796875" style="26" customWidth="1"/>
    <col min="3326" max="3326" width="20.54296875" style="26" customWidth="1"/>
    <col min="3327" max="3327" width="17.54296875" style="26" customWidth="1"/>
    <col min="3328" max="3328" width="18.1796875" style="26" customWidth="1"/>
    <col min="3329" max="3329" width="17.1796875" style="26" customWidth="1"/>
    <col min="3330" max="3330" width="22.453125" style="26" bestFit="1" customWidth="1"/>
    <col min="3331" max="3331" width="22.1796875" style="26" customWidth="1"/>
    <col min="3332" max="3332" width="17.81640625" style="26" customWidth="1"/>
    <col min="3333" max="3333" width="22.453125" style="26" customWidth="1"/>
    <col min="3334" max="3334" width="10.1796875" style="26" bestFit="1" customWidth="1"/>
    <col min="3335" max="3335" width="13.453125" style="26" customWidth="1"/>
    <col min="3336" max="3336" width="7.453125" style="26" bestFit="1" customWidth="1"/>
    <col min="3337" max="3337" width="15.453125" style="26" bestFit="1" customWidth="1"/>
    <col min="3338" max="3338" width="7.453125" style="26" bestFit="1" customWidth="1"/>
    <col min="3339" max="3339" width="19.54296875" style="26" bestFit="1" customWidth="1"/>
    <col min="3340" max="3340" width="7.453125" style="26" bestFit="1" customWidth="1"/>
    <col min="3341" max="3341" width="26.81640625" style="26" bestFit="1" customWidth="1"/>
    <col min="3342" max="3342" width="19.81640625" style="26" bestFit="1" customWidth="1"/>
    <col min="3343" max="3577" width="11.453125" style="26"/>
    <col min="3578" max="3578" width="2.453125" style="26" customWidth="1"/>
    <col min="3579" max="3579" width="49" style="26" customWidth="1"/>
    <col min="3580" max="3580" width="16.81640625" style="26" customWidth="1"/>
    <col min="3581" max="3581" width="1.1796875" style="26" customWidth="1"/>
    <col min="3582" max="3582" width="20.54296875" style="26" customWidth="1"/>
    <col min="3583" max="3583" width="17.54296875" style="26" customWidth="1"/>
    <col min="3584" max="3584" width="18.1796875" style="26" customWidth="1"/>
    <col min="3585" max="3585" width="17.1796875" style="26" customWidth="1"/>
    <col min="3586" max="3586" width="22.453125" style="26" bestFit="1" customWidth="1"/>
    <col min="3587" max="3587" width="22.1796875" style="26" customWidth="1"/>
    <col min="3588" max="3588" width="17.81640625" style="26" customWidth="1"/>
    <col min="3589" max="3589" width="22.453125" style="26" customWidth="1"/>
    <col min="3590" max="3590" width="10.1796875" style="26" bestFit="1" customWidth="1"/>
    <col min="3591" max="3591" width="13.453125" style="26" customWidth="1"/>
    <col min="3592" max="3592" width="7.453125" style="26" bestFit="1" customWidth="1"/>
    <col min="3593" max="3593" width="15.453125" style="26" bestFit="1" customWidth="1"/>
    <col min="3594" max="3594" width="7.453125" style="26" bestFit="1" customWidth="1"/>
    <col min="3595" max="3595" width="19.54296875" style="26" bestFit="1" customWidth="1"/>
    <col min="3596" max="3596" width="7.453125" style="26" bestFit="1" customWidth="1"/>
    <col min="3597" max="3597" width="26.81640625" style="26" bestFit="1" customWidth="1"/>
    <col min="3598" max="3598" width="19.81640625" style="26" bestFit="1" customWidth="1"/>
    <col min="3599" max="3833" width="11.453125" style="26"/>
    <col min="3834" max="3834" width="2.453125" style="26" customWidth="1"/>
    <col min="3835" max="3835" width="49" style="26" customWidth="1"/>
    <col min="3836" max="3836" width="16.81640625" style="26" customWidth="1"/>
    <col min="3837" max="3837" width="1.1796875" style="26" customWidth="1"/>
    <col min="3838" max="3838" width="20.54296875" style="26" customWidth="1"/>
    <col min="3839" max="3839" width="17.54296875" style="26" customWidth="1"/>
    <col min="3840" max="3840" width="18.1796875" style="26" customWidth="1"/>
    <col min="3841" max="3841" width="17.1796875" style="26" customWidth="1"/>
    <col min="3842" max="3842" width="22.453125" style="26" bestFit="1" customWidth="1"/>
    <col min="3843" max="3843" width="22.1796875" style="26" customWidth="1"/>
    <col min="3844" max="3844" width="17.81640625" style="26" customWidth="1"/>
    <col min="3845" max="3845" width="22.453125" style="26" customWidth="1"/>
    <col min="3846" max="3846" width="10.1796875" style="26" bestFit="1" customWidth="1"/>
    <col min="3847" max="3847" width="13.453125" style="26" customWidth="1"/>
    <col min="3848" max="3848" width="7.453125" style="26" bestFit="1" customWidth="1"/>
    <col min="3849" max="3849" width="15.453125" style="26" bestFit="1" customWidth="1"/>
    <col min="3850" max="3850" width="7.453125" style="26" bestFit="1" customWidth="1"/>
    <col min="3851" max="3851" width="19.54296875" style="26" bestFit="1" customWidth="1"/>
    <col min="3852" max="3852" width="7.453125" style="26" bestFit="1" customWidth="1"/>
    <col min="3853" max="3853" width="26.81640625" style="26" bestFit="1" customWidth="1"/>
    <col min="3854" max="3854" width="19.81640625" style="26" bestFit="1" customWidth="1"/>
    <col min="3855" max="4089" width="11.453125" style="26"/>
    <col min="4090" max="4090" width="2.453125" style="26" customWidth="1"/>
    <col min="4091" max="4091" width="49" style="26" customWidth="1"/>
    <col min="4092" max="4092" width="16.81640625" style="26" customWidth="1"/>
    <col min="4093" max="4093" width="1.1796875" style="26" customWidth="1"/>
    <col min="4094" max="4094" width="20.54296875" style="26" customWidth="1"/>
    <col min="4095" max="4095" width="17.54296875" style="26" customWidth="1"/>
    <col min="4096" max="4096" width="18.1796875" style="26" customWidth="1"/>
    <col min="4097" max="4097" width="17.1796875" style="26" customWidth="1"/>
    <col min="4098" max="4098" width="22.453125" style="26" bestFit="1" customWidth="1"/>
    <col min="4099" max="4099" width="22.1796875" style="26" customWidth="1"/>
    <col min="4100" max="4100" width="17.81640625" style="26" customWidth="1"/>
    <col min="4101" max="4101" width="22.453125" style="26" customWidth="1"/>
    <col min="4102" max="4102" width="10.1796875" style="26" bestFit="1" customWidth="1"/>
    <col min="4103" max="4103" width="13.453125" style="26" customWidth="1"/>
    <col min="4104" max="4104" width="7.453125" style="26" bestFit="1" customWidth="1"/>
    <col min="4105" max="4105" width="15.453125" style="26" bestFit="1" customWidth="1"/>
    <col min="4106" max="4106" width="7.453125" style="26" bestFit="1" customWidth="1"/>
    <col min="4107" max="4107" width="19.54296875" style="26" bestFit="1" customWidth="1"/>
    <col min="4108" max="4108" width="7.453125" style="26" bestFit="1" customWidth="1"/>
    <col min="4109" max="4109" width="26.81640625" style="26" bestFit="1" customWidth="1"/>
    <col min="4110" max="4110" width="19.81640625" style="26" bestFit="1" customWidth="1"/>
    <col min="4111" max="4345" width="11.453125" style="26"/>
    <col min="4346" max="4346" width="2.453125" style="26" customWidth="1"/>
    <col min="4347" max="4347" width="49" style="26" customWidth="1"/>
    <col min="4348" max="4348" width="16.81640625" style="26" customWidth="1"/>
    <col min="4349" max="4349" width="1.1796875" style="26" customWidth="1"/>
    <col min="4350" max="4350" width="20.54296875" style="26" customWidth="1"/>
    <col min="4351" max="4351" width="17.54296875" style="26" customWidth="1"/>
    <col min="4352" max="4352" width="18.1796875" style="26" customWidth="1"/>
    <col min="4353" max="4353" width="17.1796875" style="26" customWidth="1"/>
    <col min="4354" max="4354" width="22.453125" style="26" bestFit="1" customWidth="1"/>
    <col min="4355" max="4355" width="22.1796875" style="26" customWidth="1"/>
    <col min="4356" max="4356" width="17.81640625" style="26" customWidth="1"/>
    <col min="4357" max="4357" width="22.453125" style="26" customWidth="1"/>
    <col min="4358" max="4358" width="10.1796875" style="26" bestFit="1" customWidth="1"/>
    <col min="4359" max="4359" width="13.453125" style="26" customWidth="1"/>
    <col min="4360" max="4360" width="7.453125" style="26" bestFit="1" customWidth="1"/>
    <col min="4361" max="4361" width="15.453125" style="26" bestFit="1" customWidth="1"/>
    <col min="4362" max="4362" width="7.453125" style="26" bestFit="1" customWidth="1"/>
    <col min="4363" max="4363" width="19.54296875" style="26" bestFit="1" customWidth="1"/>
    <col min="4364" max="4364" width="7.453125" style="26" bestFit="1" customWidth="1"/>
    <col min="4365" max="4365" width="26.81640625" style="26" bestFit="1" customWidth="1"/>
    <col min="4366" max="4366" width="19.81640625" style="26" bestFit="1" customWidth="1"/>
    <col min="4367" max="4601" width="11.453125" style="26"/>
    <col min="4602" max="4602" width="2.453125" style="26" customWidth="1"/>
    <col min="4603" max="4603" width="49" style="26" customWidth="1"/>
    <col min="4604" max="4604" width="16.81640625" style="26" customWidth="1"/>
    <col min="4605" max="4605" width="1.1796875" style="26" customWidth="1"/>
    <col min="4606" max="4606" width="20.54296875" style="26" customWidth="1"/>
    <col min="4607" max="4607" width="17.54296875" style="26" customWidth="1"/>
    <col min="4608" max="4608" width="18.1796875" style="26" customWidth="1"/>
    <col min="4609" max="4609" width="17.1796875" style="26" customWidth="1"/>
    <col min="4610" max="4610" width="22.453125" style="26" bestFit="1" customWidth="1"/>
    <col min="4611" max="4611" width="22.1796875" style="26" customWidth="1"/>
    <col min="4612" max="4612" width="17.81640625" style="26" customWidth="1"/>
    <col min="4613" max="4613" width="22.453125" style="26" customWidth="1"/>
    <col min="4614" max="4614" width="10.1796875" style="26" bestFit="1" customWidth="1"/>
    <col min="4615" max="4615" width="13.453125" style="26" customWidth="1"/>
    <col min="4616" max="4616" width="7.453125" style="26" bestFit="1" customWidth="1"/>
    <col min="4617" max="4617" width="15.453125" style="26" bestFit="1" customWidth="1"/>
    <col min="4618" max="4618" width="7.453125" style="26" bestFit="1" customWidth="1"/>
    <col min="4619" max="4619" width="19.54296875" style="26" bestFit="1" customWidth="1"/>
    <col min="4620" max="4620" width="7.453125" style="26" bestFit="1" customWidth="1"/>
    <col min="4621" max="4621" width="26.81640625" style="26" bestFit="1" customWidth="1"/>
    <col min="4622" max="4622" width="19.81640625" style="26" bestFit="1" customWidth="1"/>
    <col min="4623" max="4857" width="11.453125" style="26"/>
    <col min="4858" max="4858" width="2.453125" style="26" customWidth="1"/>
    <col min="4859" max="4859" width="49" style="26" customWidth="1"/>
    <col min="4860" max="4860" width="16.81640625" style="26" customWidth="1"/>
    <col min="4861" max="4861" width="1.1796875" style="26" customWidth="1"/>
    <col min="4862" max="4862" width="20.54296875" style="26" customWidth="1"/>
    <col min="4863" max="4863" width="17.54296875" style="26" customWidth="1"/>
    <col min="4864" max="4864" width="18.1796875" style="26" customWidth="1"/>
    <col min="4865" max="4865" width="17.1796875" style="26" customWidth="1"/>
    <col min="4866" max="4866" width="22.453125" style="26" bestFit="1" customWidth="1"/>
    <col min="4867" max="4867" width="22.1796875" style="26" customWidth="1"/>
    <col min="4868" max="4868" width="17.81640625" style="26" customWidth="1"/>
    <col min="4869" max="4869" width="22.453125" style="26" customWidth="1"/>
    <col min="4870" max="4870" width="10.1796875" style="26" bestFit="1" customWidth="1"/>
    <col min="4871" max="4871" width="13.453125" style="26" customWidth="1"/>
    <col min="4872" max="4872" width="7.453125" style="26" bestFit="1" customWidth="1"/>
    <col min="4873" max="4873" width="15.453125" style="26" bestFit="1" customWidth="1"/>
    <col min="4874" max="4874" width="7.453125" style="26" bestFit="1" customWidth="1"/>
    <col min="4875" max="4875" width="19.54296875" style="26" bestFit="1" customWidth="1"/>
    <col min="4876" max="4876" width="7.453125" style="26" bestFit="1" customWidth="1"/>
    <col min="4877" max="4877" width="26.81640625" style="26" bestFit="1" customWidth="1"/>
    <col min="4878" max="4878" width="19.81640625" style="26" bestFit="1" customWidth="1"/>
    <col min="4879" max="5113" width="11.453125" style="26"/>
    <col min="5114" max="5114" width="2.453125" style="26" customWidth="1"/>
    <col min="5115" max="5115" width="49" style="26" customWidth="1"/>
    <col min="5116" max="5116" width="16.81640625" style="26" customWidth="1"/>
    <col min="5117" max="5117" width="1.1796875" style="26" customWidth="1"/>
    <col min="5118" max="5118" width="20.54296875" style="26" customWidth="1"/>
    <col min="5119" max="5119" width="17.54296875" style="26" customWidth="1"/>
    <col min="5120" max="5120" width="18.1796875" style="26" customWidth="1"/>
    <col min="5121" max="5121" width="17.1796875" style="26" customWidth="1"/>
    <col min="5122" max="5122" width="22.453125" style="26" bestFit="1" customWidth="1"/>
    <col min="5123" max="5123" width="22.1796875" style="26" customWidth="1"/>
    <col min="5124" max="5124" width="17.81640625" style="26" customWidth="1"/>
    <col min="5125" max="5125" width="22.453125" style="26" customWidth="1"/>
    <col min="5126" max="5126" width="10.1796875" style="26" bestFit="1" customWidth="1"/>
    <col min="5127" max="5127" width="13.453125" style="26" customWidth="1"/>
    <col min="5128" max="5128" width="7.453125" style="26" bestFit="1" customWidth="1"/>
    <col min="5129" max="5129" width="15.453125" style="26" bestFit="1" customWidth="1"/>
    <col min="5130" max="5130" width="7.453125" style="26" bestFit="1" customWidth="1"/>
    <col min="5131" max="5131" width="19.54296875" style="26" bestFit="1" customWidth="1"/>
    <col min="5132" max="5132" width="7.453125" style="26" bestFit="1" customWidth="1"/>
    <col min="5133" max="5133" width="26.81640625" style="26" bestFit="1" customWidth="1"/>
    <col min="5134" max="5134" width="19.81640625" style="26" bestFit="1" customWidth="1"/>
    <col min="5135" max="5369" width="11.453125" style="26"/>
    <col min="5370" max="5370" width="2.453125" style="26" customWidth="1"/>
    <col min="5371" max="5371" width="49" style="26" customWidth="1"/>
    <col min="5372" max="5372" width="16.81640625" style="26" customWidth="1"/>
    <col min="5373" max="5373" width="1.1796875" style="26" customWidth="1"/>
    <col min="5374" max="5374" width="20.54296875" style="26" customWidth="1"/>
    <col min="5375" max="5375" width="17.54296875" style="26" customWidth="1"/>
    <col min="5376" max="5376" width="18.1796875" style="26" customWidth="1"/>
    <col min="5377" max="5377" width="17.1796875" style="26" customWidth="1"/>
    <col min="5378" max="5378" width="22.453125" style="26" bestFit="1" customWidth="1"/>
    <col min="5379" max="5379" width="22.1796875" style="26" customWidth="1"/>
    <col min="5380" max="5380" width="17.81640625" style="26" customWidth="1"/>
    <col min="5381" max="5381" width="22.453125" style="26" customWidth="1"/>
    <col min="5382" max="5382" width="10.1796875" style="26" bestFit="1" customWidth="1"/>
    <col min="5383" max="5383" width="13.453125" style="26" customWidth="1"/>
    <col min="5384" max="5384" width="7.453125" style="26" bestFit="1" customWidth="1"/>
    <col min="5385" max="5385" width="15.453125" style="26" bestFit="1" customWidth="1"/>
    <col min="5386" max="5386" width="7.453125" style="26" bestFit="1" customWidth="1"/>
    <col min="5387" max="5387" width="19.54296875" style="26" bestFit="1" customWidth="1"/>
    <col min="5388" max="5388" width="7.453125" style="26" bestFit="1" customWidth="1"/>
    <col min="5389" max="5389" width="26.81640625" style="26" bestFit="1" customWidth="1"/>
    <col min="5390" max="5390" width="19.81640625" style="26" bestFit="1" customWidth="1"/>
    <col min="5391" max="5625" width="11.453125" style="26"/>
    <col min="5626" max="5626" width="2.453125" style="26" customWidth="1"/>
    <col min="5627" max="5627" width="49" style="26" customWidth="1"/>
    <col min="5628" max="5628" width="16.81640625" style="26" customWidth="1"/>
    <col min="5629" max="5629" width="1.1796875" style="26" customWidth="1"/>
    <col min="5630" max="5630" width="20.54296875" style="26" customWidth="1"/>
    <col min="5631" max="5631" width="17.54296875" style="26" customWidth="1"/>
    <col min="5632" max="5632" width="18.1796875" style="26" customWidth="1"/>
    <col min="5633" max="5633" width="17.1796875" style="26" customWidth="1"/>
    <col min="5634" max="5634" width="22.453125" style="26" bestFit="1" customWidth="1"/>
    <col min="5635" max="5635" width="22.1796875" style="26" customWidth="1"/>
    <col min="5636" max="5636" width="17.81640625" style="26" customWidth="1"/>
    <col min="5637" max="5637" width="22.453125" style="26" customWidth="1"/>
    <col min="5638" max="5638" width="10.1796875" style="26" bestFit="1" customWidth="1"/>
    <col min="5639" max="5639" width="13.453125" style="26" customWidth="1"/>
    <col min="5640" max="5640" width="7.453125" style="26" bestFit="1" customWidth="1"/>
    <col min="5641" max="5641" width="15.453125" style="26" bestFit="1" customWidth="1"/>
    <col min="5642" max="5642" width="7.453125" style="26" bestFit="1" customWidth="1"/>
    <col min="5643" max="5643" width="19.54296875" style="26" bestFit="1" customWidth="1"/>
    <col min="5644" max="5644" width="7.453125" style="26" bestFit="1" customWidth="1"/>
    <col min="5645" max="5645" width="26.81640625" style="26" bestFit="1" customWidth="1"/>
    <col min="5646" max="5646" width="19.81640625" style="26" bestFit="1" customWidth="1"/>
    <col min="5647" max="5881" width="11.453125" style="26"/>
    <col min="5882" max="5882" width="2.453125" style="26" customWidth="1"/>
    <col min="5883" max="5883" width="49" style="26" customWidth="1"/>
    <col min="5884" max="5884" width="16.81640625" style="26" customWidth="1"/>
    <col min="5885" max="5885" width="1.1796875" style="26" customWidth="1"/>
    <col min="5886" max="5886" width="20.54296875" style="26" customWidth="1"/>
    <col min="5887" max="5887" width="17.54296875" style="26" customWidth="1"/>
    <col min="5888" max="5888" width="18.1796875" style="26" customWidth="1"/>
    <col min="5889" max="5889" width="17.1796875" style="26" customWidth="1"/>
    <col min="5890" max="5890" width="22.453125" style="26" bestFit="1" customWidth="1"/>
    <col min="5891" max="5891" width="22.1796875" style="26" customWidth="1"/>
    <col min="5892" max="5892" width="17.81640625" style="26" customWidth="1"/>
    <col min="5893" max="5893" width="22.453125" style="26" customWidth="1"/>
    <col min="5894" max="5894" width="10.1796875" style="26" bestFit="1" customWidth="1"/>
    <col min="5895" max="5895" width="13.453125" style="26" customWidth="1"/>
    <col min="5896" max="5896" width="7.453125" style="26" bestFit="1" customWidth="1"/>
    <col min="5897" max="5897" width="15.453125" style="26" bestFit="1" customWidth="1"/>
    <col min="5898" max="5898" width="7.453125" style="26" bestFit="1" customWidth="1"/>
    <col min="5899" max="5899" width="19.54296875" style="26" bestFit="1" customWidth="1"/>
    <col min="5900" max="5900" width="7.453125" style="26" bestFit="1" customWidth="1"/>
    <col min="5901" max="5901" width="26.81640625" style="26" bestFit="1" customWidth="1"/>
    <col min="5902" max="5902" width="19.81640625" style="26" bestFit="1" customWidth="1"/>
    <col min="5903" max="6137" width="11.453125" style="26"/>
    <col min="6138" max="6138" width="2.453125" style="26" customWidth="1"/>
    <col min="6139" max="6139" width="49" style="26" customWidth="1"/>
    <col min="6140" max="6140" width="16.81640625" style="26" customWidth="1"/>
    <col min="6141" max="6141" width="1.1796875" style="26" customWidth="1"/>
    <col min="6142" max="6142" width="20.54296875" style="26" customWidth="1"/>
    <col min="6143" max="6143" width="17.54296875" style="26" customWidth="1"/>
    <col min="6144" max="6144" width="18.1796875" style="26" customWidth="1"/>
    <col min="6145" max="6145" width="17.1796875" style="26" customWidth="1"/>
    <col min="6146" max="6146" width="22.453125" style="26" bestFit="1" customWidth="1"/>
    <col min="6147" max="6147" width="22.1796875" style="26" customWidth="1"/>
    <col min="6148" max="6148" width="17.81640625" style="26" customWidth="1"/>
    <col min="6149" max="6149" width="22.453125" style="26" customWidth="1"/>
    <col min="6150" max="6150" width="10.1796875" style="26" bestFit="1" customWidth="1"/>
    <col min="6151" max="6151" width="13.453125" style="26" customWidth="1"/>
    <col min="6152" max="6152" width="7.453125" style="26" bestFit="1" customWidth="1"/>
    <col min="6153" max="6153" width="15.453125" style="26" bestFit="1" customWidth="1"/>
    <col min="6154" max="6154" width="7.453125" style="26" bestFit="1" customWidth="1"/>
    <col min="6155" max="6155" width="19.54296875" style="26" bestFit="1" customWidth="1"/>
    <col min="6156" max="6156" width="7.453125" style="26" bestFit="1" customWidth="1"/>
    <col min="6157" max="6157" width="26.81640625" style="26" bestFit="1" customWidth="1"/>
    <col min="6158" max="6158" width="19.81640625" style="26" bestFit="1" customWidth="1"/>
    <col min="6159" max="6393" width="11.453125" style="26"/>
    <col min="6394" max="6394" width="2.453125" style="26" customWidth="1"/>
    <col min="6395" max="6395" width="49" style="26" customWidth="1"/>
    <col min="6396" max="6396" width="16.81640625" style="26" customWidth="1"/>
    <col min="6397" max="6397" width="1.1796875" style="26" customWidth="1"/>
    <col min="6398" max="6398" width="20.54296875" style="26" customWidth="1"/>
    <col min="6399" max="6399" width="17.54296875" style="26" customWidth="1"/>
    <col min="6400" max="6400" width="18.1796875" style="26" customWidth="1"/>
    <col min="6401" max="6401" width="17.1796875" style="26" customWidth="1"/>
    <col min="6402" max="6402" width="22.453125" style="26" bestFit="1" customWidth="1"/>
    <col min="6403" max="6403" width="22.1796875" style="26" customWidth="1"/>
    <col min="6404" max="6404" width="17.81640625" style="26" customWidth="1"/>
    <col min="6405" max="6405" width="22.453125" style="26" customWidth="1"/>
    <col min="6406" max="6406" width="10.1796875" style="26" bestFit="1" customWidth="1"/>
    <col min="6407" max="6407" width="13.453125" style="26" customWidth="1"/>
    <col min="6408" max="6408" width="7.453125" style="26" bestFit="1" customWidth="1"/>
    <col min="6409" max="6409" width="15.453125" style="26" bestFit="1" customWidth="1"/>
    <col min="6410" max="6410" width="7.453125" style="26" bestFit="1" customWidth="1"/>
    <col min="6411" max="6411" width="19.54296875" style="26" bestFit="1" customWidth="1"/>
    <col min="6412" max="6412" width="7.453125" style="26" bestFit="1" customWidth="1"/>
    <col min="6413" max="6413" width="26.81640625" style="26" bestFit="1" customWidth="1"/>
    <col min="6414" max="6414" width="19.81640625" style="26" bestFit="1" customWidth="1"/>
    <col min="6415" max="6649" width="11.453125" style="26"/>
    <col min="6650" max="6650" width="2.453125" style="26" customWidth="1"/>
    <col min="6651" max="6651" width="49" style="26" customWidth="1"/>
    <col min="6652" max="6652" width="16.81640625" style="26" customWidth="1"/>
    <col min="6653" max="6653" width="1.1796875" style="26" customWidth="1"/>
    <col min="6654" max="6654" width="20.54296875" style="26" customWidth="1"/>
    <col min="6655" max="6655" width="17.54296875" style="26" customWidth="1"/>
    <col min="6656" max="6656" width="18.1796875" style="26" customWidth="1"/>
    <col min="6657" max="6657" width="17.1796875" style="26" customWidth="1"/>
    <col min="6658" max="6658" width="22.453125" style="26" bestFit="1" customWidth="1"/>
    <col min="6659" max="6659" width="22.1796875" style="26" customWidth="1"/>
    <col min="6660" max="6660" width="17.81640625" style="26" customWidth="1"/>
    <col min="6661" max="6661" width="22.453125" style="26" customWidth="1"/>
    <col min="6662" max="6662" width="10.1796875" style="26" bestFit="1" customWidth="1"/>
    <col min="6663" max="6663" width="13.453125" style="26" customWidth="1"/>
    <col min="6664" max="6664" width="7.453125" style="26" bestFit="1" customWidth="1"/>
    <col min="6665" max="6665" width="15.453125" style="26" bestFit="1" customWidth="1"/>
    <col min="6666" max="6666" width="7.453125" style="26" bestFit="1" customWidth="1"/>
    <col min="6667" max="6667" width="19.54296875" style="26" bestFit="1" customWidth="1"/>
    <col min="6668" max="6668" width="7.453125" style="26" bestFit="1" customWidth="1"/>
    <col min="6669" max="6669" width="26.81640625" style="26" bestFit="1" customWidth="1"/>
    <col min="6670" max="6670" width="19.81640625" style="26" bestFit="1" customWidth="1"/>
    <col min="6671" max="6905" width="11.453125" style="26"/>
    <col min="6906" max="6906" width="2.453125" style="26" customWidth="1"/>
    <col min="6907" max="6907" width="49" style="26" customWidth="1"/>
    <col min="6908" max="6908" width="16.81640625" style="26" customWidth="1"/>
    <col min="6909" max="6909" width="1.1796875" style="26" customWidth="1"/>
    <col min="6910" max="6910" width="20.54296875" style="26" customWidth="1"/>
    <col min="6911" max="6911" width="17.54296875" style="26" customWidth="1"/>
    <col min="6912" max="6912" width="18.1796875" style="26" customWidth="1"/>
    <col min="6913" max="6913" width="17.1796875" style="26" customWidth="1"/>
    <col min="6914" max="6914" width="22.453125" style="26" bestFit="1" customWidth="1"/>
    <col min="6915" max="6915" width="22.1796875" style="26" customWidth="1"/>
    <col min="6916" max="6916" width="17.81640625" style="26" customWidth="1"/>
    <col min="6917" max="6917" width="22.453125" style="26" customWidth="1"/>
    <col min="6918" max="6918" width="10.1796875" style="26" bestFit="1" customWidth="1"/>
    <col min="6919" max="6919" width="13.453125" style="26" customWidth="1"/>
    <col min="6920" max="6920" width="7.453125" style="26" bestFit="1" customWidth="1"/>
    <col min="6921" max="6921" width="15.453125" style="26" bestFit="1" customWidth="1"/>
    <col min="6922" max="6922" width="7.453125" style="26" bestFit="1" customWidth="1"/>
    <col min="6923" max="6923" width="19.54296875" style="26" bestFit="1" customWidth="1"/>
    <col min="6924" max="6924" width="7.453125" style="26" bestFit="1" customWidth="1"/>
    <col min="6925" max="6925" width="26.81640625" style="26" bestFit="1" customWidth="1"/>
    <col min="6926" max="6926" width="19.81640625" style="26" bestFit="1" customWidth="1"/>
    <col min="6927" max="7161" width="11.453125" style="26"/>
    <col min="7162" max="7162" width="2.453125" style="26" customWidth="1"/>
    <col min="7163" max="7163" width="49" style="26" customWidth="1"/>
    <col min="7164" max="7164" width="16.81640625" style="26" customWidth="1"/>
    <col min="7165" max="7165" width="1.1796875" style="26" customWidth="1"/>
    <col min="7166" max="7166" width="20.54296875" style="26" customWidth="1"/>
    <col min="7167" max="7167" width="17.54296875" style="26" customWidth="1"/>
    <col min="7168" max="7168" width="18.1796875" style="26" customWidth="1"/>
    <col min="7169" max="7169" width="17.1796875" style="26" customWidth="1"/>
    <col min="7170" max="7170" width="22.453125" style="26" bestFit="1" customWidth="1"/>
    <col min="7171" max="7171" width="22.1796875" style="26" customWidth="1"/>
    <col min="7172" max="7172" width="17.81640625" style="26" customWidth="1"/>
    <col min="7173" max="7173" width="22.453125" style="26" customWidth="1"/>
    <col min="7174" max="7174" width="10.1796875" style="26" bestFit="1" customWidth="1"/>
    <col min="7175" max="7175" width="13.453125" style="26" customWidth="1"/>
    <col min="7176" max="7176" width="7.453125" style="26" bestFit="1" customWidth="1"/>
    <col min="7177" max="7177" width="15.453125" style="26" bestFit="1" customWidth="1"/>
    <col min="7178" max="7178" width="7.453125" style="26" bestFit="1" customWidth="1"/>
    <col min="7179" max="7179" width="19.54296875" style="26" bestFit="1" customWidth="1"/>
    <col min="7180" max="7180" width="7.453125" style="26" bestFit="1" customWidth="1"/>
    <col min="7181" max="7181" width="26.81640625" style="26" bestFit="1" customWidth="1"/>
    <col min="7182" max="7182" width="19.81640625" style="26" bestFit="1" customWidth="1"/>
    <col min="7183" max="7417" width="11.453125" style="26"/>
    <col min="7418" max="7418" width="2.453125" style="26" customWidth="1"/>
    <col min="7419" max="7419" width="49" style="26" customWidth="1"/>
    <col min="7420" max="7420" width="16.81640625" style="26" customWidth="1"/>
    <col min="7421" max="7421" width="1.1796875" style="26" customWidth="1"/>
    <col min="7422" max="7422" width="20.54296875" style="26" customWidth="1"/>
    <col min="7423" max="7423" width="17.54296875" style="26" customWidth="1"/>
    <col min="7424" max="7424" width="18.1796875" style="26" customWidth="1"/>
    <col min="7425" max="7425" width="17.1796875" style="26" customWidth="1"/>
    <col min="7426" max="7426" width="22.453125" style="26" bestFit="1" customWidth="1"/>
    <col min="7427" max="7427" width="22.1796875" style="26" customWidth="1"/>
    <col min="7428" max="7428" width="17.81640625" style="26" customWidth="1"/>
    <col min="7429" max="7429" width="22.453125" style="26" customWidth="1"/>
    <col min="7430" max="7430" width="10.1796875" style="26" bestFit="1" customWidth="1"/>
    <col min="7431" max="7431" width="13.453125" style="26" customWidth="1"/>
    <col min="7432" max="7432" width="7.453125" style="26" bestFit="1" customWidth="1"/>
    <col min="7433" max="7433" width="15.453125" style="26" bestFit="1" customWidth="1"/>
    <col min="7434" max="7434" width="7.453125" style="26" bestFit="1" customWidth="1"/>
    <col min="7435" max="7435" width="19.54296875" style="26" bestFit="1" customWidth="1"/>
    <col min="7436" max="7436" width="7.453125" style="26" bestFit="1" customWidth="1"/>
    <col min="7437" max="7437" width="26.81640625" style="26" bestFit="1" customWidth="1"/>
    <col min="7438" max="7438" width="19.81640625" style="26" bestFit="1" customWidth="1"/>
    <col min="7439" max="7673" width="11.453125" style="26"/>
    <col min="7674" max="7674" width="2.453125" style="26" customWidth="1"/>
    <col min="7675" max="7675" width="49" style="26" customWidth="1"/>
    <col min="7676" max="7676" width="16.81640625" style="26" customWidth="1"/>
    <col min="7677" max="7677" width="1.1796875" style="26" customWidth="1"/>
    <col min="7678" max="7678" width="20.54296875" style="26" customWidth="1"/>
    <col min="7679" max="7679" width="17.54296875" style="26" customWidth="1"/>
    <col min="7680" max="7680" width="18.1796875" style="26" customWidth="1"/>
    <col min="7681" max="7681" width="17.1796875" style="26" customWidth="1"/>
    <col min="7682" max="7682" width="22.453125" style="26" bestFit="1" customWidth="1"/>
    <col min="7683" max="7683" width="22.1796875" style="26" customWidth="1"/>
    <col min="7684" max="7684" width="17.81640625" style="26" customWidth="1"/>
    <col min="7685" max="7685" width="22.453125" style="26" customWidth="1"/>
    <col min="7686" max="7686" width="10.1796875" style="26" bestFit="1" customWidth="1"/>
    <col min="7687" max="7687" width="13.453125" style="26" customWidth="1"/>
    <col min="7688" max="7688" width="7.453125" style="26" bestFit="1" customWidth="1"/>
    <col min="7689" max="7689" width="15.453125" style="26" bestFit="1" customWidth="1"/>
    <col min="7690" max="7690" width="7.453125" style="26" bestFit="1" customWidth="1"/>
    <col min="7691" max="7691" width="19.54296875" style="26" bestFit="1" customWidth="1"/>
    <col min="7692" max="7692" width="7.453125" style="26" bestFit="1" customWidth="1"/>
    <col min="7693" max="7693" width="26.81640625" style="26" bestFit="1" customWidth="1"/>
    <col min="7694" max="7694" width="19.81640625" style="26" bestFit="1" customWidth="1"/>
    <col min="7695" max="7929" width="11.453125" style="26"/>
    <col min="7930" max="7930" width="2.453125" style="26" customWidth="1"/>
    <col min="7931" max="7931" width="49" style="26" customWidth="1"/>
    <col min="7932" max="7932" width="16.81640625" style="26" customWidth="1"/>
    <col min="7933" max="7933" width="1.1796875" style="26" customWidth="1"/>
    <col min="7934" max="7934" width="20.54296875" style="26" customWidth="1"/>
    <col min="7935" max="7935" width="17.54296875" style="26" customWidth="1"/>
    <col min="7936" max="7936" width="18.1796875" style="26" customWidth="1"/>
    <col min="7937" max="7937" width="17.1796875" style="26" customWidth="1"/>
    <col min="7938" max="7938" width="22.453125" style="26" bestFit="1" customWidth="1"/>
    <col min="7939" max="7939" width="22.1796875" style="26" customWidth="1"/>
    <col min="7940" max="7940" width="17.81640625" style="26" customWidth="1"/>
    <col min="7941" max="7941" width="22.453125" style="26" customWidth="1"/>
    <col min="7942" max="7942" width="10.1796875" style="26" bestFit="1" customWidth="1"/>
    <col min="7943" max="7943" width="13.453125" style="26" customWidth="1"/>
    <col min="7944" max="7944" width="7.453125" style="26" bestFit="1" customWidth="1"/>
    <col min="7945" max="7945" width="15.453125" style="26" bestFit="1" customWidth="1"/>
    <col min="7946" max="7946" width="7.453125" style="26" bestFit="1" customWidth="1"/>
    <col min="7947" max="7947" width="19.54296875" style="26" bestFit="1" customWidth="1"/>
    <col min="7948" max="7948" width="7.453125" style="26" bestFit="1" customWidth="1"/>
    <col min="7949" max="7949" width="26.81640625" style="26" bestFit="1" customWidth="1"/>
    <col min="7950" max="7950" width="19.81640625" style="26" bestFit="1" customWidth="1"/>
    <col min="7951" max="8185" width="11.453125" style="26"/>
    <col min="8186" max="8186" width="2.453125" style="26" customWidth="1"/>
    <col min="8187" max="8187" width="49" style="26" customWidth="1"/>
    <col min="8188" max="8188" width="16.81640625" style="26" customWidth="1"/>
    <col min="8189" max="8189" width="1.1796875" style="26" customWidth="1"/>
    <col min="8190" max="8190" width="20.54296875" style="26" customWidth="1"/>
    <col min="8191" max="8191" width="17.54296875" style="26" customWidth="1"/>
    <col min="8192" max="8192" width="18.1796875" style="26" customWidth="1"/>
    <col min="8193" max="8193" width="17.1796875" style="26" customWidth="1"/>
    <col min="8194" max="8194" width="22.453125" style="26" bestFit="1" customWidth="1"/>
    <col min="8195" max="8195" width="22.1796875" style="26" customWidth="1"/>
    <col min="8196" max="8196" width="17.81640625" style="26" customWidth="1"/>
    <col min="8197" max="8197" width="22.453125" style="26" customWidth="1"/>
    <col min="8198" max="8198" width="10.1796875" style="26" bestFit="1" customWidth="1"/>
    <col min="8199" max="8199" width="13.453125" style="26" customWidth="1"/>
    <col min="8200" max="8200" width="7.453125" style="26" bestFit="1" customWidth="1"/>
    <col min="8201" max="8201" width="15.453125" style="26" bestFit="1" customWidth="1"/>
    <col min="8202" max="8202" width="7.453125" style="26" bestFit="1" customWidth="1"/>
    <col min="8203" max="8203" width="19.54296875" style="26" bestFit="1" customWidth="1"/>
    <col min="8204" max="8204" width="7.453125" style="26" bestFit="1" customWidth="1"/>
    <col min="8205" max="8205" width="26.81640625" style="26" bestFit="1" customWidth="1"/>
    <col min="8206" max="8206" width="19.81640625" style="26" bestFit="1" customWidth="1"/>
    <col min="8207" max="8441" width="11.453125" style="26"/>
    <col min="8442" max="8442" width="2.453125" style="26" customWidth="1"/>
    <col min="8443" max="8443" width="49" style="26" customWidth="1"/>
    <col min="8444" max="8444" width="16.81640625" style="26" customWidth="1"/>
    <col min="8445" max="8445" width="1.1796875" style="26" customWidth="1"/>
    <col min="8446" max="8446" width="20.54296875" style="26" customWidth="1"/>
    <col min="8447" max="8447" width="17.54296875" style="26" customWidth="1"/>
    <col min="8448" max="8448" width="18.1796875" style="26" customWidth="1"/>
    <col min="8449" max="8449" width="17.1796875" style="26" customWidth="1"/>
    <col min="8450" max="8450" width="22.453125" style="26" bestFit="1" customWidth="1"/>
    <col min="8451" max="8451" width="22.1796875" style="26" customWidth="1"/>
    <col min="8452" max="8452" width="17.81640625" style="26" customWidth="1"/>
    <col min="8453" max="8453" width="22.453125" style="26" customWidth="1"/>
    <col min="8454" max="8454" width="10.1796875" style="26" bestFit="1" customWidth="1"/>
    <col min="8455" max="8455" width="13.453125" style="26" customWidth="1"/>
    <col min="8456" max="8456" width="7.453125" style="26" bestFit="1" customWidth="1"/>
    <col min="8457" max="8457" width="15.453125" style="26" bestFit="1" customWidth="1"/>
    <col min="8458" max="8458" width="7.453125" style="26" bestFit="1" customWidth="1"/>
    <col min="8459" max="8459" width="19.54296875" style="26" bestFit="1" customWidth="1"/>
    <col min="8460" max="8460" width="7.453125" style="26" bestFit="1" customWidth="1"/>
    <col min="8461" max="8461" width="26.81640625" style="26" bestFit="1" customWidth="1"/>
    <col min="8462" max="8462" width="19.81640625" style="26" bestFit="1" customWidth="1"/>
    <col min="8463" max="8697" width="11.453125" style="26"/>
    <col min="8698" max="8698" width="2.453125" style="26" customWidth="1"/>
    <col min="8699" max="8699" width="49" style="26" customWidth="1"/>
    <col min="8700" max="8700" width="16.81640625" style="26" customWidth="1"/>
    <col min="8701" max="8701" width="1.1796875" style="26" customWidth="1"/>
    <col min="8702" max="8702" width="20.54296875" style="26" customWidth="1"/>
    <col min="8703" max="8703" width="17.54296875" style="26" customWidth="1"/>
    <col min="8704" max="8704" width="18.1796875" style="26" customWidth="1"/>
    <col min="8705" max="8705" width="17.1796875" style="26" customWidth="1"/>
    <col min="8706" max="8706" width="22.453125" style="26" bestFit="1" customWidth="1"/>
    <col min="8707" max="8707" width="22.1796875" style="26" customWidth="1"/>
    <col min="8708" max="8708" width="17.81640625" style="26" customWidth="1"/>
    <col min="8709" max="8709" width="22.453125" style="26" customWidth="1"/>
    <col min="8710" max="8710" width="10.1796875" style="26" bestFit="1" customWidth="1"/>
    <col min="8711" max="8711" width="13.453125" style="26" customWidth="1"/>
    <col min="8712" max="8712" width="7.453125" style="26" bestFit="1" customWidth="1"/>
    <col min="8713" max="8713" width="15.453125" style="26" bestFit="1" customWidth="1"/>
    <col min="8714" max="8714" width="7.453125" style="26" bestFit="1" customWidth="1"/>
    <col min="8715" max="8715" width="19.54296875" style="26" bestFit="1" customWidth="1"/>
    <col min="8716" max="8716" width="7.453125" style="26" bestFit="1" customWidth="1"/>
    <col min="8717" max="8717" width="26.81640625" style="26" bestFit="1" customWidth="1"/>
    <col min="8718" max="8718" width="19.81640625" style="26" bestFit="1" customWidth="1"/>
    <col min="8719" max="8953" width="11.453125" style="26"/>
    <col min="8954" max="8954" width="2.453125" style="26" customWidth="1"/>
    <col min="8955" max="8955" width="49" style="26" customWidth="1"/>
    <col min="8956" max="8956" width="16.81640625" style="26" customWidth="1"/>
    <col min="8957" max="8957" width="1.1796875" style="26" customWidth="1"/>
    <col min="8958" max="8958" width="20.54296875" style="26" customWidth="1"/>
    <col min="8959" max="8959" width="17.54296875" style="26" customWidth="1"/>
    <col min="8960" max="8960" width="18.1796875" style="26" customWidth="1"/>
    <col min="8961" max="8961" width="17.1796875" style="26" customWidth="1"/>
    <col min="8962" max="8962" width="22.453125" style="26" bestFit="1" customWidth="1"/>
    <col min="8963" max="8963" width="22.1796875" style="26" customWidth="1"/>
    <col min="8964" max="8964" width="17.81640625" style="26" customWidth="1"/>
    <col min="8965" max="8965" width="22.453125" style="26" customWidth="1"/>
    <col min="8966" max="8966" width="10.1796875" style="26" bestFit="1" customWidth="1"/>
    <col min="8967" max="8967" width="13.453125" style="26" customWidth="1"/>
    <col min="8968" max="8968" width="7.453125" style="26" bestFit="1" customWidth="1"/>
    <col min="8969" max="8969" width="15.453125" style="26" bestFit="1" customWidth="1"/>
    <col min="8970" max="8970" width="7.453125" style="26" bestFit="1" customWidth="1"/>
    <col min="8971" max="8971" width="19.54296875" style="26" bestFit="1" customWidth="1"/>
    <col min="8972" max="8972" width="7.453125" style="26" bestFit="1" customWidth="1"/>
    <col min="8973" max="8973" width="26.81640625" style="26" bestFit="1" customWidth="1"/>
    <col min="8974" max="8974" width="19.81640625" style="26" bestFit="1" customWidth="1"/>
    <col min="8975" max="9209" width="11.453125" style="26"/>
    <col min="9210" max="9210" width="2.453125" style="26" customWidth="1"/>
    <col min="9211" max="9211" width="49" style="26" customWidth="1"/>
    <col min="9212" max="9212" width="16.81640625" style="26" customWidth="1"/>
    <col min="9213" max="9213" width="1.1796875" style="26" customWidth="1"/>
    <col min="9214" max="9214" width="20.54296875" style="26" customWidth="1"/>
    <col min="9215" max="9215" width="17.54296875" style="26" customWidth="1"/>
    <col min="9216" max="9216" width="18.1796875" style="26" customWidth="1"/>
    <col min="9217" max="9217" width="17.1796875" style="26" customWidth="1"/>
    <col min="9218" max="9218" width="22.453125" style="26" bestFit="1" customWidth="1"/>
    <col min="9219" max="9219" width="22.1796875" style="26" customWidth="1"/>
    <col min="9220" max="9220" width="17.81640625" style="26" customWidth="1"/>
    <col min="9221" max="9221" width="22.453125" style="26" customWidth="1"/>
    <col min="9222" max="9222" width="10.1796875" style="26" bestFit="1" customWidth="1"/>
    <col min="9223" max="9223" width="13.453125" style="26" customWidth="1"/>
    <col min="9224" max="9224" width="7.453125" style="26" bestFit="1" customWidth="1"/>
    <col min="9225" max="9225" width="15.453125" style="26" bestFit="1" customWidth="1"/>
    <col min="9226" max="9226" width="7.453125" style="26" bestFit="1" customWidth="1"/>
    <col min="9227" max="9227" width="19.54296875" style="26" bestFit="1" customWidth="1"/>
    <col min="9228" max="9228" width="7.453125" style="26" bestFit="1" customWidth="1"/>
    <col min="9229" max="9229" width="26.81640625" style="26" bestFit="1" customWidth="1"/>
    <col min="9230" max="9230" width="19.81640625" style="26" bestFit="1" customWidth="1"/>
    <col min="9231" max="9465" width="11.453125" style="26"/>
    <col min="9466" max="9466" width="2.453125" style="26" customWidth="1"/>
    <col min="9467" max="9467" width="49" style="26" customWidth="1"/>
    <col min="9468" max="9468" width="16.81640625" style="26" customWidth="1"/>
    <col min="9469" max="9469" width="1.1796875" style="26" customWidth="1"/>
    <col min="9470" max="9470" width="20.54296875" style="26" customWidth="1"/>
    <col min="9471" max="9471" width="17.54296875" style="26" customWidth="1"/>
    <col min="9472" max="9472" width="18.1796875" style="26" customWidth="1"/>
    <col min="9473" max="9473" width="17.1796875" style="26" customWidth="1"/>
    <col min="9474" max="9474" width="22.453125" style="26" bestFit="1" customWidth="1"/>
    <col min="9475" max="9475" width="22.1796875" style="26" customWidth="1"/>
    <col min="9476" max="9476" width="17.81640625" style="26" customWidth="1"/>
    <col min="9477" max="9477" width="22.453125" style="26" customWidth="1"/>
    <col min="9478" max="9478" width="10.1796875" style="26" bestFit="1" customWidth="1"/>
    <col min="9479" max="9479" width="13.453125" style="26" customWidth="1"/>
    <col min="9480" max="9480" width="7.453125" style="26" bestFit="1" customWidth="1"/>
    <col min="9481" max="9481" width="15.453125" style="26" bestFit="1" customWidth="1"/>
    <col min="9482" max="9482" width="7.453125" style="26" bestFit="1" customWidth="1"/>
    <col min="9483" max="9483" width="19.54296875" style="26" bestFit="1" customWidth="1"/>
    <col min="9484" max="9484" width="7.453125" style="26" bestFit="1" customWidth="1"/>
    <col min="9485" max="9485" width="26.81640625" style="26" bestFit="1" customWidth="1"/>
    <col min="9486" max="9486" width="19.81640625" style="26" bestFit="1" customWidth="1"/>
    <col min="9487" max="9721" width="11.453125" style="26"/>
    <col min="9722" max="9722" width="2.453125" style="26" customWidth="1"/>
    <col min="9723" max="9723" width="49" style="26" customWidth="1"/>
    <col min="9724" max="9724" width="16.81640625" style="26" customWidth="1"/>
    <col min="9725" max="9725" width="1.1796875" style="26" customWidth="1"/>
    <col min="9726" max="9726" width="20.54296875" style="26" customWidth="1"/>
    <col min="9727" max="9727" width="17.54296875" style="26" customWidth="1"/>
    <col min="9728" max="9728" width="18.1796875" style="26" customWidth="1"/>
    <col min="9729" max="9729" width="17.1796875" style="26" customWidth="1"/>
    <col min="9730" max="9730" width="22.453125" style="26" bestFit="1" customWidth="1"/>
    <col min="9731" max="9731" width="22.1796875" style="26" customWidth="1"/>
    <col min="9732" max="9732" width="17.81640625" style="26" customWidth="1"/>
    <col min="9733" max="9733" width="22.453125" style="26" customWidth="1"/>
    <col min="9734" max="9734" width="10.1796875" style="26" bestFit="1" customWidth="1"/>
    <col min="9735" max="9735" width="13.453125" style="26" customWidth="1"/>
    <col min="9736" max="9736" width="7.453125" style="26" bestFit="1" customWidth="1"/>
    <col min="9737" max="9737" width="15.453125" style="26" bestFit="1" customWidth="1"/>
    <col min="9738" max="9738" width="7.453125" style="26" bestFit="1" customWidth="1"/>
    <col min="9739" max="9739" width="19.54296875" style="26" bestFit="1" customWidth="1"/>
    <col min="9740" max="9740" width="7.453125" style="26" bestFit="1" customWidth="1"/>
    <col min="9741" max="9741" width="26.81640625" style="26" bestFit="1" customWidth="1"/>
    <col min="9742" max="9742" width="19.81640625" style="26" bestFit="1" customWidth="1"/>
    <col min="9743" max="9977" width="11.453125" style="26"/>
    <col min="9978" max="9978" width="2.453125" style="26" customWidth="1"/>
    <col min="9979" max="9979" width="49" style="26" customWidth="1"/>
    <col min="9980" max="9980" width="16.81640625" style="26" customWidth="1"/>
    <col min="9981" max="9981" width="1.1796875" style="26" customWidth="1"/>
    <col min="9982" max="9982" width="20.54296875" style="26" customWidth="1"/>
    <col min="9983" max="9983" width="17.54296875" style="26" customWidth="1"/>
    <col min="9984" max="9984" width="18.1796875" style="26" customWidth="1"/>
    <col min="9985" max="9985" width="17.1796875" style="26" customWidth="1"/>
    <col min="9986" max="9986" width="22.453125" style="26" bestFit="1" customWidth="1"/>
    <col min="9987" max="9987" width="22.1796875" style="26" customWidth="1"/>
    <col min="9988" max="9988" width="17.81640625" style="26" customWidth="1"/>
    <col min="9989" max="9989" width="22.453125" style="26" customWidth="1"/>
    <col min="9990" max="9990" width="10.1796875" style="26" bestFit="1" customWidth="1"/>
    <col min="9991" max="9991" width="13.453125" style="26" customWidth="1"/>
    <col min="9992" max="9992" width="7.453125" style="26" bestFit="1" customWidth="1"/>
    <col min="9993" max="9993" width="15.453125" style="26" bestFit="1" customWidth="1"/>
    <col min="9994" max="9994" width="7.453125" style="26" bestFit="1" customWidth="1"/>
    <col min="9995" max="9995" width="19.54296875" style="26" bestFit="1" customWidth="1"/>
    <col min="9996" max="9996" width="7.453125" style="26" bestFit="1" customWidth="1"/>
    <col min="9997" max="9997" width="26.81640625" style="26" bestFit="1" customWidth="1"/>
    <col min="9998" max="9998" width="19.81640625" style="26" bestFit="1" customWidth="1"/>
    <col min="9999" max="10233" width="11.453125" style="26"/>
    <col min="10234" max="10234" width="2.453125" style="26" customWidth="1"/>
    <col min="10235" max="10235" width="49" style="26" customWidth="1"/>
    <col min="10236" max="10236" width="16.81640625" style="26" customWidth="1"/>
    <col min="10237" max="10237" width="1.1796875" style="26" customWidth="1"/>
    <col min="10238" max="10238" width="20.54296875" style="26" customWidth="1"/>
    <col min="10239" max="10239" width="17.54296875" style="26" customWidth="1"/>
    <col min="10240" max="10240" width="18.1796875" style="26" customWidth="1"/>
    <col min="10241" max="10241" width="17.1796875" style="26" customWidth="1"/>
    <col min="10242" max="10242" width="22.453125" style="26" bestFit="1" customWidth="1"/>
    <col min="10243" max="10243" width="22.1796875" style="26" customWidth="1"/>
    <col min="10244" max="10244" width="17.81640625" style="26" customWidth="1"/>
    <col min="10245" max="10245" width="22.453125" style="26" customWidth="1"/>
    <col min="10246" max="10246" width="10.1796875" style="26" bestFit="1" customWidth="1"/>
    <col min="10247" max="10247" width="13.453125" style="26" customWidth="1"/>
    <col min="10248" max="10248" width="7.453125" style="26" bestFit="1" customWidth="1"/>
    <col min="10249" max="10249" width="15.453125" style="26" bestFit="1" customWidth="1"/>
    <col min="10250" max="10250" width="7.453125" style="26" bestFit="1" customWidth="1"/>
    <col min="10251" max="10251" width="19.54296875" style="26" bestFit="1" customWidth="1"/>
    <col min="10252" max="10252" width="7.453125" style="26" bestFit="1" customWidth="1"/>
    <col min="10253" max="10253" width="26.81640625" style="26" bestFit="1" customWidth="1"/>
    <col min="10254" max="10254" width="19.81640625" style="26" bestFit="1" customWidth="1"/>
    <col min="10255" max="10489" width="11.453125" style="26"/>
    <col min="10490" max="10490" width="2.453125" style="26" customWidth="1"/>
    <col min="10491" max="10491" width="49" style="26" customWidth="1"/>
    <col min="10492" max="10492" width="16.81640625" style="26" customWidth="1"/>
    <col min="10493" max="10493" width="1.1796875" style="26" customWidth="1"/>
    <col min="10494" max="10494" width="20.54296875" style="26" customWidth="1"/>
    <col min="10495" max="10495" width="17.54296875" style="26" customWidth="1"/>
    <col min="10496" max="10496" width="18.1796875" style="26" customWidth="1"/>
    <col min="10497" max="10497" width="17.1796875" style="26" customWidth="1"/>
    <col min="10498" max="10498" width="22.453125" style="26" bestFit="1" customWidth="1"/>
    <col min="10499" max="10499" width="22.1796875" style="26" customWidth="1"/>
    <col min="10500" max="10500" width="17.81640625" style="26" customWidth="1"/>
    <col min="10501" max="10501" width="22.453125" style="26" customWidth="1"/>
    <col min="10502" max="10502" width="10.1796875" style="26" bestFit="1" customWidth="1"/>
    <col min="10503" max="10503" width="13.453125" style="26" customWidth="1"/>
    <col min="10504" max="10504" width="7.453125" style="26" bestFit="1" customWidth="1"/>
    <col min="10505" max="10505" width="15.453125" style="26" bestFit="1" customWidth="1"/>
    <col min="10506" max="10506" width="7.453125" style="26" bestFit="1" customWidth="1"/>
    <col min="10507" max="10507" width="19.54296875" style="26" bestFit="1" customWidth="1"/>
    <col min="10508" max="10508" width="7.453125" style="26" bestFit="1" customWidth="1"/>
    <col min="10509" max="10509" width="26.81640625" style="26" bestFit="1" customWidth="1"/>
    <col min="10510" max="10510" width="19.81640625" style="26" bestFit="1" customWidth="1"/>
    <col min="10511" max="10745" width="11.453125" style="26"/>
    <col min="10746" max="10746" width="2.453125" style="26" customWidth="1"/>
    <col min="10747" max="10747" width="49" style="26" customWidth="1"/>
    <col min="10748" max="10748" width="16.81640625" style="26" customWidth="1"/>
    <col min="10749" max="10749" width="1.1796875" style="26" customWidth="1"/>
    <col min="10750" max="10750" width="20.54296875" style="26" customWidth="1"/>
    <col min="10751" max="10751" width="17.54296875" style="26" customWidth="1"/>
    <col min="10752" max="10752" width="18.1796875" style="26" customWidth="1"/>
    <col min="10753" max="10753" width="17.1796875" style="26" customWidth="1"/>
    <col min="10754" max="10754" width="22.453125" style="26" bestFit="1" customWidth="1"/>
    <col min="10755" max="10755" width="22.1796875" style="26" customWidth="1"/>
    <col min="10756" max="10756" width="17.81640625" style="26" customWidth="1"/>
    <col min="10757" max="10757" width="22.453125" style="26" customWidth="1"/>
    <col min="10758" max="10758" width="10.1796875" style="26" bestFit="1" customWidth="1"/>
    <col min="10759" max="10759" width="13.453125" style="26" customWidth="1"/>
    <col min="10760" max="10760" width="7.453125" style="26" bestFit="1" customWidth="1"/>
    <col min="10761" max="10761" width="15.453125" style="26" bestFit="1" customWidth="1"/>
    <col min="10762" max="10762" width="7.453125" style="26" bestFit="1" customWidth="1"/>
    <col min="10763" max="10763" width="19.54296875" style="26" bestFit="1" customWidth="1"/>
    <col min="10764" max="10764" width="7.453125" style="26" bestFit="1" customWidth="1"/>
    <col min="10765" max="10765" width="26.81640625" style="26" bestFit="1" customWidth="1"/>
    <col min="10766" max="10766" width="19.81640625" style="26" bestFit="1" customWidth="1"/>
    <col min="10767" max="11001" width="11.453125" style="26"/>
    <col min="11002" max="11002" width="2.453125" style="26" customWidth="1"/>
    <col min="11003" max="11003" width="49" style="26" customWidth="1"/>
    <col min="11004" max="11004" width="16.81640625" style="26" customWidth="1"/>
    <col min="11005" max="11005" width="1.1796875" style="26" customWidth="1"/>
    <col min="11006" max="11006" width="20.54296875" style="26" customWidth="1"/>
    <col min="11007" max="11007" width="17.54296875" style="26" customWidth="1"/>
    <col min="11008" max="11008" width="18.1796875" style="26" customWidth="1"/>
    <col min="11009" max="11009" width="17.1796875" style="26" customWidth="1"/>
    <col min="11010" max="11010" width="22.453125" style="26" bestFit="1" customWidth="1"/>
    <col min="11011" max="11011" width="22.1796875" style="26" customWidth="1"/>
    <col min="11012" max="11012" width="17.81640625" style="26" customWidth="1"/>
    <col min="11013" max="11013" width="22.453125" style="26" customWidth="1"/>
    <col min="11014" max="11014" width="10.1796875" style="26" bestFit="1" customWidth="1"/>
    <col min="11015" max="11015" width="13.453125" style="26" customWidth="1"/>
    <col min="11016" max="11016" width="7.453125" style="26" bestFit="1" customWidth="1"/>
    <col min="11017" max="11017" width="15.453125" style="26" bestFit="1" customWidth="1"/>
    <col min="11018" max="11018" width="7.453125" style="26" bestFit="1" customWidth="1"/>
    <col min="11019" max="11019" width="19.54296875" style="26" bestFit="1" customWidth="1"/>
    <col min="11020" max="11020" width="7.453125" style="26" bestFit="1" customWidth="1"/>
    <col min="11021" max="11021" width="26.81640625" style="26" bestFit="1" customWidth="1"/>
    <col min="11022" max="11022" width="19.81640625" style="26" bestFit="1" customWidth="1"/>
    <col min="11023" max="11257" width="11.453125" style="26"/>
    <col min="11258" max="11258" width="2.453125" style="26" customWidth="1"/>
    <col min="11259" max="11259" width="49" style="26" customWidth="1"/>
    <col min="11260" max="11260" width="16.81640625" style="26" customWidth="1"/>
    <col min="11261" max="11261" width="1.1796875" style="26" customWidth="1"/>
    <col min="11262" max="11262" width="20.54296875" style="26" customWidth="1"/>
    <col min="11263" max="11263" width="17.54296875" style="26" customWidth="1"/>
    <col min="11264" max="11264" width="18.1796875" style="26" customWidth="1"/>
    <col min="11265" max="11265" width="17.1796875" style="26" customWidth="1"/>
    <col min="11266" max="11266" width="22.453125" style="26" bestFit="1" customWidth="1"/>
    <col min="11267" max="11267" width="22.1796875" style="26" customWidth="1"/>
    <col min="11268" max="11268" width="17.81640625" style="26" customWidth="1"/>
    <col min="11269" max="11269" width="22.453125" style="26" customWidth="1"/>
    <col min="11270" max="11270" width="10.1796875" style="26" bestFit="1" customWidth="1"/>
    <col min="11271" max="11271" width="13.453125" style="26" customWidth="1"/>
    <col min="11272" max="11272" width="7.453125" style="26" bestFit="1" customWidth="1"/>
    <col min="11273" max="11273" width="15.453125" style="26" bestFit="1" customWidth="1"/>
    <col min="11274" max="11274" width="7.453125" style="26" bestFit="1" customWidth="1"/>
    <col min="11275" max="11275" width="19.54296875" style="26" bestFit="1" customWidth="1"/>
    <col min="11276" max="11276" width="7.453125" style="26" bestFit="1" customWidth="1"/>
    <col min="11277" max="11277" width="26.81640625" style="26" bestFit="1" customWidth="1"/>
    <col min="11278" max="11278" width="19.81640625" style="26" bestFit="1" customWidth="1"/>
    <col min="11279" max="11513" width="11.453125" style="26"/>
    <col min="11514" max="11514" width="2.453125" style="26" customWidth="1"/>
    <col min="11515" max="11515" width="49" style="26" customWidth="1"/>
    <col min="11516" max="11516" width="16.81640625" style="26" customWidth="1"/>
    <col min="11517" max="11517" width="1.1796875" style="26" customWidth="1"/>
    <col min="11518" max="11518" width="20.54296875" style="26" customWidth="1"/>
    <col min="11519" max="11519" width="17.54296875" style="26" customWidth="1"/>
    <col min="11520" max="11520" width="18.1796875" style="26" customWidth="1"/>
    <col min="11521" max="11521" width="17.1796875" style="26" customWidth="1"/>
    <col min="11522" max="11522" width="22.453125" style="26" bestFit="1" customWidth="1"/>
    <col min="11523" max="11523" width="22.1796875" style="26" customWidth="1"/>
    <col min="11524" max="11524" width="17.81640625" style="26" customWidth="1"/>
    <col min="11525" max="11525" width="22.453125" style="26" customWidth="1"/>
    <col min="11526" max="11526" width="10.1796875" style="26" bestFit="1" customWidth="1"/>
    <col min="11527" max="11527" width="13.453125" style="26" customWidth="1"/>
    <col min="11528" max="11528" width="7.453125" style="26" bestFit="1" customWidth="1"/>
    <col min="11529" max="11529" width="15.453125" style="26" bestFit="1" customWidth="1"/>
    <col min="11530" max="11530" width="7.453125" style="26" bestFit="1" customWidth="1"/>
    <col min="11531" max="11531" width="19.54296875" style="26" bestFit="1" customWidth="1"/>
    <col min="11532" max="11532" width="7.453125" style="26" bestFit="1" customWidth="1"/>
    <col min="11533" max="11533" width="26.81640625" style="26" bestFit="1" customWidth="1"/>
    <col min="11534" max="11534" width="19.81640625" style="26" bestFit="1" customWidth="1"/>
    <col min="11535" max="11769" width="11.453125" style="26"/>
    <col min="11770" max="11770" width="2.453125" style="26" customWidth="1"/>
    <col min="11771" max="11771" width="49" style="26" customWidth="1"/>
    <col min="11772" max="11772" width="16.81640625" style="26" customWidth="1"/>
    <col min="11773" max="11773" width="1.1796875" style="26" customWidth="1"/>
    <col min="11774" max="11774" width="20.54296875" style="26" customWidth="1"/>
    <col min="11775" max="11775" width="17.54296875" style="26" customWidth="1"/>
    <col min="11776" max="11776" width="18.1796875" style="26" customWidth="1"/>
    <col min="11777" max="11777" width="17.1796875" style="26" customWidth="1"/>
    <col min="11778" max="11778" width="22.453125" style="26" bestFit="1" customWidth="1"/>
    <col min="11779" max="11779" width="22.1796875" style="26" customWidth="1"/>
    <col min="11780" max="11780" width="17.81640625" style="26" customWidth="1"/>
    <col min="11781" max="11781" width="22.453125" style="26" customWidth="1"/>
    <col min="11782" max="11782" width="10.1796875" style="26" bestFit="1" customWidth="1"/>
    <col min="11783" max="11783" width="13.453125" style="26" customWidth="1"/>
    <col min="11784" max="11784" width="7.453125" style="26" bestFit="1" customWidth="1"/>
    <col min="11785" max="11785" width="15.453125" style="26" bestFit="1" customWidth="1"/>
    <col min="11786" max="11786" width="7.453125" style="26" bestFit="1" customWidth="1"/>
    <col min="11787" max="11787" width="19.54296875" style="26" bestFit="1" customWidth="1"/>
    <col min="11788" max="11788" width="7.453125" style="26" bestFit="1" customWidth="1"/>
    <col min="11789" max="11789" width="26.81640625" style="26" bestFit="1" customWidth="1"/>
    <col min="11790" max="11790" width="19.81640625" style="26" bestFit="1" customWidth="1"/>
    <col min="11791" max="12025" width="11.453125" style="26"/>
    <col min="12026" max="12026" width="2.453125" style="26" customWidth="1"/>
    <col min="12027" max="12027" width="49" style="26" customWidth="1"/>
    <col min="12028" max="12028" width="16.81640625" style="26" customWidth="1"/>
    <col min="12029" max="12029" width="1.1796875" style="26" customWidth="1"/>
    <col min="12030" max="12030" width="20.54296875" style="26" customWidth="1"/>
    <col min="12031" max="12031" width="17.54296875" style="26" customWidth="1"/>
    <col min="12032" max="12032" width="18.1796875" style="26" customWidth="1"/>
    <col min="12033" max="12033" width="17.1796875" style="26" customWidth="1"/>
    <col min="12034" max="12034" width="22.453125" style="26" bestFit="1" customWidth="1"/>
    <col min="12035" max="12035" width="22.1796875" style="26" customWidth="1"/>
    <col min="12036" max="12036" width="17.81640625" style="26" customWidth="1"/>
    <col min="12037" max="12037" width="22.453125" style="26" customWidth="1"/>
    <col min="12038" max="12038" width="10.1796875" style="26" bestFit="1" customWidth="1"/>
    <col min="12039" max="12039" width="13.453125" style="26" customWidth="1"/>
    <col min="12040" max="12040" width="7.453125" style="26" bestFit="1" customWidth="1"/>
    <col min="12041" max="12041" width="15.453125" style="26" bestFit="1" customWidth="1"/>
    <col min="12042" max="12042" width="7.453125" style="26" bestFit="1" customWidth="1"/>
    <col min="12043" max="12043" width="19.54296875" style="26" bestFit="1" customWidth="1"/>
    <col min="12044" max="12044" width="7.453125" style="26" bestFit="1" customWidth="1"/>
    <col min="12045" max="12045" width="26.81640625" style="26" bestFit="1" customWidth="1"/>
    <col min="12046" max="12046" width="19.81640625" style="26" bestFit="1" customWidth="1"/>
    <col min="12047" max="12281" width="11.453125" style="26"/>
    <col min="12282" max="12282" width="2.453125" style="26" customWidth="1"/>
    <col min="12283" max="12283" width="49" style="26" customWidth="1"/>
    <col min="12284" max="12284" width="16.81640625" style="26" customWidth="1"/>
    <col min="12285" max="12285" width="1.1796875" style="26" customWidth="1"/>
    <col min="12286" max="12286" width="20.54296875" style="26" customWidth="1"/>
    <col min="12287" max="12287" width="17.54296875" style="26" customWidth="1"/>
    <col min="12288" max="12288" width="18.1796875" style="26" customWidth="1"/>
    <col min="12289" max="12289" width="17.1796875" style="26" customWidth="1"/>
    <col min="12290" max="12290" width="22.453125" style="26" bestFit="1" customWidth="1"/>
    <col min="12291" max="12291" width="22.1796875" style="26" customWidth="1"/>
    <col min="12292" max="12292" width="17.81640625" style="26" customWidth="1"/>
    <col min="12293" max="12293" width="22.453125" style="26" customWidth="1"/>
    <col min="12294" max="12294" width="10.1796875" style="26" bestFit="1" customWidth="1"/>
    <col min="12295" max="12295" width="13.453125" style="26" customWidth="1"/>
    <col min="12296" max="12296" width="7.453125" style="26" bestFit="1" customWidth="1"/>
    <col min="12297" max="12297" width="15.453125" style="26" bestFit="1" customWidth="1"/>
    <col min="12298" max="12298" width="7.453125" style="26" bestFit="1" customWidth="1"/>
    <col min="12299" max="12299" width="19.54296875" style="26" bestFit="1" customWidth="1"/>
    <col min="12300" max="12300" width="7.453125" style="26" bestFit="1" customWidth="1"/>
    <col min="12301" max="12301" width="26.81640625" style="26" bestFit="1" customWidth="1"/>
    <col min="12302" max="12302" width="19.81640625" style="26" bestFit="1" customWidth="1"/>
    <col min="12303" max="12537" width="11.453125" style="26"/>
    <col min="12538" max="12538" width="2.453125" style="26" customWidth="1"/>
    <col min="12539" max="12539" width="49" style="26" customWidth="1"/>
    <col min="12540" max="12540" width="16.81640625" style="26" customWidth="1"/>
    <col min="12541" max="12541" width="1.1796875" style="26" customWidth="1"/>
    <col min="12542" max="12542" width="20.54296875" style="26" customWidth="1"/>
    <col min="12543" max="12543" width="17.54296875" style="26" customWidth="1"/>
    <col min="12544" max="12544" width="18.1796875" style="26" customWidth="1"/>
    <col min="12545" max="12545" width="17.1796875" style="26" customWidth="1"/>
    <col min="12546" max="12546" width="22.453125" style="26" bestFit="1" customWidth="1"/>
    <col min="12547" max="12547" width="22.1796875" style="26" customWidth="1"/>
    <col min="12548" max="12548" width="17.81640625" style="26" customWidth="1"/>
    <col min="12549" max="12549" width="22.453125" style="26" customWidth="1"/>
    <col min="12550" max="12550" width="10.1796875" style="26" bestFit="1" customWidth="1"/>
    <col min="12551" max="12551" width="13.453125" style="26" customWidth="1"/>
    <col min="12552" max="12552" width="7.453125" style="26" bestFit="1" customWidth="1"/>
    <col min="12553" max="12553" width="15.453125" style="26" bestFit="1" customWidth="1"/>
    <col min="12554" max="12554" width="7.453125" style="26" bestFit="1" customWidth="1"/>
    <col min="12555" max="12555" width="19.54296875" style="26" bestFit="1" customWidth="1"/>
    <col min="12556" max="12556" width="7.453125" style="26" bestFit="1" customWidth="1"/>
    <col min="12557" max="12557" width="26.81640625" style="26" bestFit="1" customWidth="1"/>
    <col min="12558" max="12558" width="19.81640625" style="26" bestFit="1" customWidth="1"/>
    <col min="12559" max="12793" width="11.453125" style="26"/>
    <col min="12794" max="12794" width="2.453125" style="26" customWidth="1"/>
    <col min="12795" max="12795" width="49" style="26" customWidth="1"/>
    <col min="12796" max="12796" width="16.81640625" style="26" customWidth="1"/>
    <col min="12797" max="12797" width="1.1796875" style="26" customWidth="1"/>
    <col min="12798" max="12798" width="20.54296875" style="26" customWidth="1"/>
    <col min="12799" max="12799" width="17.54296875" style="26" customWidth="1"/>
    <col min="12800" max="12800" width="18.1796875" style="26" customWidth="1"/>
    <col min="12801" max="12801" width="17.1796875" style="26" customWidth="1"/>
    <col min="12802" max="12802" width="22.453125" style="26" bestFit="1" customWidth="1"/>
    <col min="12803" max="12803" width="22.1796875" style="26" customWidth="1"/>
    <col min="12804" max="12804" width="17.81640625" style="26" customWidth="1"/>
    <col min="12805" max="12805" width="22.453125" style="26" customWidth="1"/>
    <col min="12806" max="12806" width="10.1796875" style="26" bestFit="1" customWidth="1"/>
    <col min="12807" max="12807" width="13.453125" style="26" customWidth="1"/>
    <col min="12808" max="12808" width="7.453125" style="26" bestFit="1" customWidth="1"/>
    <col min="12809" max="12809" width="15.453125" style="26" bestFit="1" customWidth="1"/>
    <col min="12810" max="12810" width="7.453125" style="26" bestFit="1" customWidth="1"/>
    <col min="12811" max="12811" width="19.54296875" style="26" bestFit="1" customWidth="1"/>
    <col min="12812" max="12812" width="7.453125" style="26" bestFit="1" customWidth="1"/>
    <col min="12813" max="12813" width="26.81640625" style="26" bestFit="1" customWidth="1"/>
    <col min="12814" max="12814" width="19.81640625" style="26" bestFit="1" customWidth="1"/>
    <col min="12815" max="13049" width="11.453125" style="26"/>
    <col min="13050" max="13050" width="2.453125" style="26" customWidth="1"/>
    <col min="13051" max="13051" width="49" style="26" customWidth="1"/>
    <col min="13052" max="13052" width="16.81640625" style="26" customWidth="1"/>
    <col min="13053" max="13053" width="1.1796875" style="26" customWidth="1"/>
    <col min="13054" max="13054" width="20.54296875" style="26" customWidth="1"/>
    <col min="13055" max="13055" width="17.54296875" style="26" customWidth="1"/>
    <col min="13056" max="13056" width="18.1796875" style="26" customWidth="1"/>
    <col min="13057" max="13057" width="17.1796875" style="26" customWidth="1"/>
    <col min="13058" max="13058" width="22.453125" style="26" bestFit="1" customWidth="1"/>
    <col min="13059" max="13059" width="22.1796875" style="26" customWidth="1"/>
    <col min="13060" max="13060" width="17.81640625" style="26" customWidth="1"/>
    <col min="13061" max="13061" width="22.453125" style="26" customWidth="1"/>
    <col min="13062" max="13062" width="10.1796875" style="26" bestFit="1" customWidth="1"/>
    <col min="13063" max="13063" width="13.453125" style="26" customWidth="1"/>
    <col min="13064" max="13064" width="7.453125" style="26" bestFit="1" customWidth="1"/>
    <col min="13065" max="13065" width="15.453125" style="26" bestFit="1" customWidth="1"/>
    <col min="13066" max="13066" width="7.453125" style="26" bestFit="1" customWidth="1"/>
    <col min="13067" max="13067" width="19.54296875" style="26" bestFit="1" customWidth="1"/>
    <col min="13068" max="13068" width="7.453125" style="26" bestFit="1" customWidth="1"/>
    <col min="13069" max="13069" width="26.81640625" style="26" bestFit="1" customWidth="1"/>
    <col min="13070" max="13070" width="19.81640625" style="26" bestFit="1" customWidth="1"/>
    <col min="13071" max="13305" width="11.453125" style="26"/>
    <col min="13306" max="13306" width="2.453125" style="26" customWidth="1"/>
    <col min="13307" max="13307" width="49" style="26" customWidth="1"/>
    <col min="13308" max="13308" width="16.81640625" style="26" customWidth="1"/>
    <col min="13309" max="13309" width="1.1796875" style="26" customWidth="1"/>
    <col min="13310" max="13310" width="20.54296875" style="26" customWidth="1"/>
    <col min="13311" max="13311" width="17.54296875" style="26" customWidth="1"/>
    <col min="13312" max="13312" width="18.1796875" style="26" customWidth="1"/>
    <col min="13313" max="13313" width="17.1796875" style="26" customWidth="1"/>
    <col min="13314" max="13314" width="22.453125" style="26" bestFit="1" customWidth="1"/>
    <col min="13315" max="13315" width="22.1796875" style="26" customWidth="1"/>
    <col min="13316" max="13316" width="17.81640625" style="26" customWidth="1"/>
    <col min="13317" max="13317" width="22.453125" style="26" customWidth="1"/>
    <col min="13318" max="13318" width="10.1796875" style="26" bestFit="1" customWidth="1"/>
    <col min="13319" max="13319" width="13.453125" style="26" customWidth="1"/>
    <col min="13320" max="13320" width="7.453125" style="26" bestFit="1" customWidth="1"/>
    <col min="13321" max="13321" width="15.453125" style="26" bestFit="1" customWidth="1"/>
    <col min="13322" max="13322" width="7.453125" style="26" bestFit="1" customWidth="1"/>
    <col min="13323" max="13323" width="19.54296875" style="26" bestFit="1" customWidth="1"/>
    <col min="13324" max="13324" width="7.453125" style="26" bestFit="1" customWidth="1"/>
    <col min="13325" max="13325" width="26.81640625" style="26" bestFit="1" customWidth="1"/>
    <col min="13326" max="13326" width="19.81640625" style="26" bestFit="1" customWidth="1"/>
    <col min="13327" max="13561" width="11.453125" style="26"/>
    <col min="13562" max="13562" width="2.453125" style="26" customWidth="1"/>
    <col min="13563" max="13563" width="49" style="26" customWidth="1"/>
    <col min="13564" max="13564" width="16.81640625" style="26" customWidth="1"/>
    <col min="13565" max="13565" width="1.1796875" style="26" customWidth="1"/>
    <col min="13566" max="13566" width="20.54296875" style="26" customWidth="1"/>
    <col min="13567" max="13567" width="17.54296875" style="26" customWidth="1"/>
    <col min="13568" max="13568" width="18.1796875" style="26" customWidth="1"/>
    <col min="13569" max="13569" width="17.1796875" style="26" customWidth="1"/>
    <col min="13570" max="13570" width="22.453125" style="26" bestFit="1" customWidth="1"/>
    <col min="13571" max="13571" width="22.1796875" style="26" customWidth="1"/>
    <col min="13572" max="13572" width="17.81640625" style="26" customWidth="1"/>
    <col min="13573" max="13573" width="22.453125" style="26" customWidth="1"/>
    <col min="13574" max="13574" width="10.1796875" style="26" bestFit="1" customWidth="1"/>
    <col min="13575" max="13575" width="13.453125" style="26" customWidth="1"/>
    <col min="13576" max="13576" width="7.453125" style="26" bestFit="1" customWidth="1"/>
    <col min="13577" max="13577" width="15.453125" style="26" bestFit="1" customWidth="1"/>
    <col min="13578" max="13578" width="7.453125" style="26" bestFit="1" customWidth="1"/>
    <col min="13579" max="13579" width="19.54296875" style="26" bestFit="1" customWidth="1"/>
    <col min="13580" max="13580" width="7.453125" style="26" bestFit="1" customWidth="1"/>
    <col min="13581" max="13581" width="26.81640625" style="26" bestFit="1" customWidth="1"/>
    <col min="13582" max="13582" width="19.81640625" style="26" bestFit="1" customWidth="1"/>
    <col min="13583" max="13817" width="11.453125" style="26"/>
    <col min="13818" max="13818" width="2.453125" style="26" customWidth="1"/>
    <col min="13819" max="13819" width="49" style="26" customWidth="1"/>
    <col min="13820" max="13820" width="16.81640625" style="26" customWidth="1"/>
    <col min="13821" max="13821" width="1.1796875" style="26" customWidth="1"/>
    <col min="13822" max="13822" width="20.54296875" style="26" customWidth="1"/>
    <col min="13823" max="13823" width="17.54296875" style="26" customWidth="1"/>
    <col min="13824" max="13824" width="18.1796875" style="26" customWidth="1"/>
    <col min="13825" max="13825" width="17.1796875" style="26" customWidth="1"/>
    <col min="13826" max="13826" width="22.453125" style="26" bestFit="1" customWidth="1"/>
    <col min="13827" max="13827" width="22.1796875" style="26" customWidth="1"/>
    <col min="13828" max="13828" width="17.81640625" style="26" customWidth="1"/>
    <col min="13829" max="13829" width="22.453125" style="26" customWidth="1"/>
    <col min="13830" max="13830" width="10.1796875" style="26" bestFit="1" customWidth="1"/>
    <col min="13831" max="13831" width="13.453125" style="26" customWidth="1"/>
    <col min="13832" max="13832" width="7.453125" style="26" bestFit="1" customWidth="1"/>
    <col min="13833" max="13833" width="15.453125" style="26" bestFit="1" customWidth="1"/>
    <col min="13834" max="13834" width="7.453125" style="26" bestFit="1" customWidth="1"/>
    <col min="13835" max="13835" width="19.54296875" style="26" bestFit="1" customWidth="1"/>
    <col min="13836" max="13836" width="7.453125" style="26" bestFit="1" customWidth="1"/>
    <col min="13837" max="13837" width="26.81640625" style="26" bestFit="1" customWidth="1"/>
    <col min="13838" max="13838" width="19.81640625" style="26" bestFit="1" customWidth="1"/>
    <col min="13839" max="14073" width="11.453125" style="26"/>
    <col min="14074" max="14074" width="2.453125" style="26" customWidth="1"/>
    <col min="14075" max="14075" width="49" style="26" customWidth="1"/>
    <col min="14076" max="14076" width="16.81640625" style="26" customWidth="1"/>
    <col min="14077" max="14077" width="1.1796875" style="26" customWidth="1"/>
    <col min="14078" max="14078" width="20.54296875" style="26" customWidth="1"/>
    <col min="14079" max="14079" width="17.54296875" style="26" customWidth="1"/>
    <col min="14080" max="14080" width="18.1796875" style="26" customWidth="1"/>
    <col min="14081" max="14081" width="17.1796875" style="26" customWidth="1"/>
    <col min="14082" max="14082" width="22.453125" style="26" bestFit="1" customWidth="1"/>
    <col min="14083" max="14083" width="22.1796875" style="26" customWidth="1"/>
    <col min="14084" max="14084" width="17.81640625" style="26" customWidth="1"/>
    <col min="14085" max="14085" width="22.453125" style="26" customWidth="1"/>
    <col min="14086" max="14086" width="10.1796875" style="26" bestFit="1" customWidth="1"/>
    <col min="14087" max="14087" width="13.453125" style="26" customWidth="1"/>
    <col min="14088" max="14088" width="7.453125" style="26" bestFit="1" customWidth="1"/>
    <col min="14089" max="14089" width="15.453125" style="26" bestFit="1" customWidth="1"/>
    <col min="14090" max="14090" width="7.453125" style="26" bestFit="1" customWidth="1"/>
    <col min="14091" max="14091" width="19.54296875" style="26" bestFit="1" customWidth="1"/>
    <col min="14092" max="14092" width="7.453125" style="26" bestFit="1" customWidth="1"/>
    <col min="14093" max="14093" width="26.81640625" style="26" bestFit="1" customWidth="1"/>
    <col min="14094" max="14094" width="19.81640625" style="26" bestFit="1" customWidth="1"/>
    <col min="14095" max="14329" width="11.453125" style="26"/>
    <col min="14330" max="14330" width="2.453125" style="26" customWidth="1"/>
    <col min="14331" max="14331" width="49" style="26" customWidth="1"/>
    <col min="14332" max="14332" width="16.81640625" style="26" customWidth="1"/>
    <col min="14333" max="14333" width="1.1796875" style="26" customWidth="1"/>
    <col min="14334" max="14334" width="20.54296875" style="26" customWidth="1"/>
    <col min="14335" max="14335" width="17.54296875" style="26" customWidth="1"/>
    <col min="14336" max="14336" width="18.1796875" style="26" customWidth="1"/>
    <col min="14337" max="14337" width="17.1796875" style="26" customWidth="1"/>
    <col min="14338" max="14338" width="22.453125" style="26" bestFit="1" customWidth="1"/>
    <col min="14339" max="14339" width="22.1796875" style="26" customWidth="1"/>
    <col min="14340" max="14340" width="17.81640625" style="26" customWidth="1"/>
    <col min="14341" max="14341" width="22.453125" style="26" customWidth="1"/>
    <col min="14342" max="14342" width="10.1796875" style="26" bestFit="1" customWidth="1"/>
    <col min="14343" max="14343" width="13.453125" style="26" customWidth="1"/>
    <col min="14344" max="14344" width="7.453125" style="26" bestFit="1" customWidth="1"/>
    <col min="14345" max="14345" width="15.453125" style="26" bestFit="1" customWidth="1"/>
    <col min="14346" max="14346" width="7.453125" style="26" bestFit="1" customWidth="1"/>
    <col min="14347" max="14347" width="19.54296875" style="26" bestFit="1" customWidth="1"/>
    <col min="14348" max="14348" width="7.453125" style="26" bestFit="1" customWidth="1"/>
    <col min="14349" max="14349" width="26.81640625" style="26" bestFit="1" customWidth="1"/>
    <col min="14350" max="14350" width="19.81640625" style="26" bestFit="1" customWidth="1"/>
    <col min="14351" max="14585" width="11.453125" style="26"/>
    <col min="14586" max="14586" width="2.453125" style="26" customWidth="1"/>
    <col min="14587" max="14587" width="49" style="26" customWidth="1"/>
    <col min="14588" max="14588" width="16.81640625" style="26" customWidth="1"/>
    <col min="14589" max="14589" width="1.1796875" style="26" customWidth="1"/>
    <col min="14590" max="14590" width="20.54296875" style="26" customWidth="1"/>
    <col min="14591" max="14591" width="17.54296875" style="26" customWidth="1"/>
    <col min="14592" max="14592" width="18.1796875" style="26" customWidth="1"/>
    <col min="14593" max="14593" width="17.1796875" style="26" customWidth="1"/>
    <col min="14594" max="14594" width="22.453125" style="26" bestFit="1" customWidth="1"/>
    <col min="14595" max="14595" width="22.1796875" style="26" customWidth="1"/>
    <col min="14596" max="14596" width="17.81640625" style="26" customWidth="1"/>
    <col min="14597" max="14597" width="22.453125" style="26" customWidth="1"/>
    <col min="14598" max="14598" width="10.1796875" style="26" bestFit="1" customWidth="1"/>
    <col min="14599" max="14599" width="13.453125" style="26" customWidth="1"/>
    <col min="14600" max="14600" width="7.453125" style="26" bestFit="1" customWidth="1"/>
    <col min="14601" max="14601" width="15.453125" style="26" bestFit="1" customWidth="1"/>
    <col min="14602" max="14602" width="7.453125" style="26" bestFit="1" customWidth="1"/>
    <col min="14603" max="14603" width="19.54296875" style="26" bestFit="1" customWidth="1"/>
    <col min="14604" max="14604" width="7.453125" style="26" bestFit="1" customWidth="1"/>
    <col min="14605" max="14605" width="26.81640625" style="26" bestFit="1" customWidth="1"/>
    <col min="14606" max="14606" width="19.81640625" style="26" bestFit="1" customWidth="1"/>
    <col min="14607" max="14841" width="11.453125" style="26"/>
    <col min="14842" max="14842" width="2.453125" style="26" customWidth="1"/>
    <col min="14843" max="14843" width="49" style="26" customWidth="1"/>
    <col min="14844" max="14844" width="16.81640625" style="26" customWidth="1"/>
    <col min="14845" max="14845" width="1.1796875" style="26" customWidth="1"/>
    <col min="14846" max="14846" width="20.54296875" style="26" customWidth="1"/>
    <col min="14847" max="14847" width="17.54296875" style="26" customWidth="1"/>
    <col min="14848" max="14848" width="18.1796875" style="26" customWidth="1"/>
    <col min="14849" max="14849" width="17.1796875" style="26" customWidth="1"/>
    <col min="14850" max="14850" width="22.453125" style="26" bestFit="1" customWidth="1"/>
    <col min="14851" max="14851" width="22.1796875" style="26" customWidth="1"/>
    <col min="14852" max="14852" width="17.81640625" style="26" customWidth="1"/>
    <col min="14853" max="14853" width="22.453125" style="26" customWidth="1"/>
    <col min="14854" max="14854" width="10.1796875" style="26" bestFit="1" customWidth="1"/>
    <col min="14855" max="14855" width="13.453125" style="26" customWidth="1"/>
    <col min="14856" max="14856" width="7.453125" style="26" bestFit="1" customWidth="1"/>
    <col min="14857" max="14857" width="15.453125" style="26" bestFit="1" customWidth="1"/>
    <col min="14858" max="14858" width="7.453125" style="26" bestFit="1" customWidth="1"/>
    <col min="14859" max="14859" width="19.54296875" style="26" bestFit="1" customWidth="1"/>
    <col min="14860" max="14860" width="7.453125" style="26" bestFit="1" customWidth="1"/>
    <col min="14861" max="14861" width="26.81640625" style="26" bestFit="1" customWidth="1"/>
    <col min="14862" max="14862" width="19.81640625" style="26" bestFit="1" customWidth="1"/>
    <col min="14863" max="15097" width="11.453125" style="26"/>
    <col min="15098" max="15098" width="2.453125" style="26" customWidth="1"/>
    <col min="15099" max="15099" width="49" style="26" customWidth="1"/>
    <col min="15100" max="15100" width="16.81640625" style="26" customWidth="1"/>
    <col min="15101" max="15101" width="1.1796875" style="26" customWidth="1"/>
    <col min="15102" max="15102" width="20.54296875" style="26" customWidth="1"/>
    <col min="15103" max="15103" width="17.54296875" style="26" customWidth="1"/>
    <col min="15104" max="15104" width="18.1796875" style="26" customWidth="1"/>
    <col min="15105" max="15105" width="17.1796875" style="26" customWidth="1"/>
    <col min="15106" max="15106" width="22.453125" style="26" bestFit="1" customWidth="1"/>
    <col min="15107" max="15107" width="22.1796875" style="26" customWidth="1"/>
    <col min="15108" max="15108" width="17.81640625" style="26" customWidth="1"/>
    <col min="15109" max="15109" width="22.453125" style="26" customWidth="1"/>
    <col min="15110" max="15110" width="10.1796875" style="26" bestFit="1" customWidth="1"/>
    <col min="15111" max="15111" width="13.453125" style="26" customWidth="1"/>
    <col min="15112" max="15112" width="7.453125" style="26" bestFit="1" customWidth="1"/>
    <col min="15113" max="15113" width="15.453125" style="26" bestFit="1" customWidth="1"/>
    <col min="15114" max="15114" width="7.453125" style="26" bestFit="1" customWidth="1"/>
    <col min="15115" max="15115" width="19.54296875" style="26" bestFit="1" customWidth="1"/>
    <col min="15116" max="15116" width="7.453125" style="26" bestFit="1" customWidth="1"/>
    <col min="15117" max="15117" width="26.81640625" style="26" bestFit="1" customWidth="1"/>
    <col min="15118" max="15118" width="19.81640625" style="26" bestFit="1" customWidth="1"/>
    <col min="15119" max="15353" width="11.453125" style="26"/>
    <col min="15354" max="15354" width="2.453125" style="26" customWidth="1"/>
    <col min="15355" max="15355" width="49" style="26" customWidth="1"/>
    <col min="15356" max="15356" width="16.81640625" style="26" customWidth="1"/>
    <col min="15357" max="15357" width="1.1796875" style="26" customWidth="1"/>
    <col min="15358" max="15358" width="20.54296875" style="26" customWidth="1"/>
    <col min="15359" max="15359" width="17.54296875" style="26" customWidth="1"/>
    <col min="15360" max="15360" width="18.1796875" style="26" customWidth="1"/>
    <col min="15361" max="15361" width="17.1796875" style="26" customWidth="1"/>
    <col min="15362" max="15362" width="22.453125" style="26" bestFit="1" customWidth="1"/>
    <col min="15363" max="15363" width="22.1796875" style="26" customWidth="1"/>
    <col min="15364" max="15364" width="17.81640625" style="26" customWidth="1"/>
    <col min="15365" max="15365" width="22.453125" style="26" customWidth="1"/>
    <col min="15366" max="15366" width="10.1796875" style="26" bestFit="1" customWidth="1"/>
    <col min="15367" max="15367" width="13.453125" style="26" customWidth="1"/>
    <col min="15368" max="15368" width="7.453125" style="26" bestFit="1" customWidth="1"/>
    <col min="15369" max="15369" width="15.453125" style="26" bestFit="1" customWidth="1"/>
    <col min="15370" max="15370" width="7.453125" style="26" bestFit="1" customWidth="1"/>
    <col min="15371" max="15371" width="19.54296875" style="26" bestFit="1" customWidth="1"/>
    <col min="15372" max="15372" width="7.453125" style="26" bestFit="1" customWidth="1"/>
    <col min="15373" max="15373" width="26.81640625" style="26" bestFit="1" customWidth="1"/>
    <col min="15374" max="15374" width="19.81640625" style="26" bestFit="1" customWidth="1"/>
    <col min="15375" max="15609" width="11.453125" style="26"/>
    <col min="15610" max="15610" width="2.453125" style="26" customWidth="1"/>
    <col min="15611" max="15611" width="49" style="26" customWidth="1"/>
    <col min="15612" max="15612" width="16.81640625" style="26" customWidth="1"/>
    <col min="15613" max="15613" width="1.1796875" style="26" customWidth="1"/>
    <col min="15614" max="15614" width="20.54296875" style="26" customWidth="1"/>
    <col min="15615" max="15615" width="17.54296875" style="26" customWidth="1"/>
    <col min="15616" max="15616" width="18.1796875" style="26" customWidth="1"/>
    <col min="15617" max="15617" width="17.1796875" style="26" customWidth="1"/>
    <col min="15618" max="15618" width="22.453125" style="26" bestFit="1" customWidth="1"/>
    <col min="15619" max="15619" width="22.1796875" style="26" customWidth="1"/>
    <col min="15620" max="15620" width="17.81640625" style="26" customWidth="1"/>
    <col min="15621" max="15621" width="22.453125" style="26" customWidth="1"/>
    <col min="15622" max="15622" width="10.1796875" style="26" bestFit="1" customWidth="1"/>
    <col min="15623" max="15623" width="13.453125" style="26" customWidth="1"/>
    <col min="15624" max="15624" width="7.453125" style="26" bestFit="1" customWidth="1"/>
    <col min="15625" max="15625" width="15.453125" style="26" bestFit="1" customWidth="1"/>
    <col min="15626" max="15626" width="7.453125" style="26" bestFit="1" customWidth="1"/>
    <col min="15627" max="15627" width="19.54296875" style="26" bestFit="1" customWidth="1"/>
    <col min="15628" max="15628" width="7.453125" style="26" bestFit="1" customWidth="1"/>
    <col min="15629" max="15629" width="26.81640625" style="26" bestFit="1" customWidth="1"/>
    <col min="15630" max="15630" width="19.81640625" style="26" bestFit="1" customWidth="1"/>
    <col min="15631" max="15865" width="11.453125" style="26"/>
    <col min="15866" max="15866" width="2.453125" style="26" customWidth="1"/>
    <col min="15867" max="15867" width="49" style="26" customWidth="1"/>
    <col min="15868" max="15868" width="16.81640625" style="26" customWidth="1"/>
    <col min="15869" max="15869" width="1.1796875" style="26" customWidth="1"/>
    <col min="15870" max="15870" width="20.54296875" style="26" customWidth="1"/>
    <col min="15871" max="15871" width="17.54296875" style="26" customWidth="1"/>
    <col min="15872" max="15872" width="18.1796875" style="26" customWidth="1"/>
    <col min="15873" max="15873" width="17.1796875" style="26" customWidth="1"/>
    <col min="15874" max="15874" width="22.453125" style="26" bestFit="1" customWidth="1"/>
    <col min="15875" max="15875" width="22.1796875" style="26" customWidth="1"/>
    <col min="15876" max="15876" width="17.81640625" style="26" customWidth="1"/>
    <col min="15877" max="15877" width="22.453125" style="26" customWidth="1"/>
    <col min="15878" max="15878" width="10.1796875" style="26" bestFit="1" customWidth="1"/>
    <col min="15879" max="15879" width="13.453125" style="26" customWidth="1"/>
    <col min="15880" max="15880" width="7.453125" style="26" bestFit="1" customWidth="1"/>
    <col min="15881" max="15881" width="15.453125" style="26" bestFit="1" customWidth="1"/>
    <col min="15882" max="15882" width="7.453125" style="26" bestFit="1" customWidth="1"/>
    <col min="15883" max="15883" width="19.54296875" style="26" bestFit="1" customWidth="1"/>
    <col min="15884" max="15884" width="7.453125" style="26" bestFit="1" customWidth="1"/>
    <col min="15885" max="15885" width="26.81640625" style="26" bestFit="1" customWidth="1"/>
    <col min="15886" max="15886" width="19.81640625" style="26" bestFit="1" customWidth="1"/>
    <col min="15887" max="16121" width="11.453125" style="26"/>
    <col min="16122" max="16122" width="2.453125" style="26" customWidth="1"/>
    <col min="16123" max="16123" width="49" style="26" customWidth="1"/>
    <col min="16124" max="16124" width="16.81640625" style="26" customWidth="1"/>
    <col min="16125" max="16125" width="1.1796875" style="26" customWidth="1"/>
    <col min="16126" max="16126" width="20.54296875" style="26" customWidth="1"/>
    <col min="16127" max="16127" width="17.54296875" style="26" customWidth="1"/>
    <col min="16128" max="16128" width="18.1796875" style="26" customWidth="1"/>
    <col min="16129" max="16129" width="17.1796875" style="26" customWidth="1"/>
    <col min="16130" max="16130" width="22.453125" style="26" bestFit="1" customWidth="1"/>
    <col min="16131" max="16131" width="22.1796875" style="26" customWidth="1"/>
    <col min="16132" max="16132" width="17.81640625" style="26" customWidth="1"/>
    <col min="16133" max="16133" width="22.453125" style="26" customWidth="1"/>
    <col min="16134" max="16134" width="10.1796875" style="26" bestFit="1" customWidth="1"/>
    <col min="16135" max="16135" width="13.453125" style="26" customWidth="1"/>
    <col min="16136" max="16136" width="7.453125" style="26" bestFit="1" customWidth="1"/>
    <col min="16137" max="16137" width="15.453125" style="26" bestFit="1" customWidth="1"/>
    <col min="16138" max="16138" width="7.453125" style="26" bestFit="1" customWidth="1"/>
    <col min="16139" max="16139" width="19.54296875" style="26" bestFit="1" customWidth="1"/>
    <col min="16140" max="16140" width="7.453125" style="26" bestFit="1" customWidth="1"/>
    <col min="16141" max="16141" width="26.81640625" style="26" bestFit="1" customWidth="1"/>
    <col min="16142" max="16142" width="19.81640625" style="26" bestFit="1" customWidth="1"/>
    <col min="16143" max="16384" width="11.453125" style="26"/>
  </cols>
  <sheetData>
    <row r="3" spans="3:14" s="27" customFormat="1" ht="13.5" customHeight="1" x14ac:dyDescent="0.25">
      <c r="C3" s="148"/>
      <c r="D3" s="148"/>
      <c r="E3" s="148"/>
      <c r="F3" s="148"/>
      <c r="G3" s="148"/>
      <c r="H3" s="148"/>
      <c r="I3" s="148"/>
    </row>
    <row r="4" spans="3:14" s="27" customFormat="1" ht="14.5" x14ac:dyDescent="0.25">
      <c r="F4" s="350"/>
      <c r="H4" s="144"/>
      <c r="I4" s="148"/>
    </row>
    <row r="5" spans="3:14" s="27" customFormat="1" ht="14.5" x14ac:dyDescent="0.25">
      <c r="F5" s="350"/>
      <c r="H5" s="144"/>
      <c r="I5" s="148"/>
    </row>
    <row r="6" spans="3:14" s="27" customFormat="1" ht="14.5" x14ac:dyDescent="0.25">
      <c r="F6" s="350"/>
      <c r="H6" s="144"/>
      <c r="I6" s="148"/>
    </row>
    <row r="7" spans="3:14" s="27" customFormat="1" ht="13.5" customHeight="1" x14ac:dyDescent="0.25">
      <c r="I7" s="148"/>
    </row>
    <row r="8" spans="3:14" ht="15.5" x14ac:dyDescent="0.25">
      <c r="C8" s="1043" t="s">
        <v>729</v>
      </c>
      <c r="D8" s="1044"/>
      <c r="E8" s="1044"/>
      <c r="F8" s="1044"/>
      <c r="G8" s="1044"/>
      <c r="H8" s="1045"/>
      <c r="I8" s="148"/>
      <c r="J8" s="31"/>
    </row>
    <row r="9" spans="3:14" ht="16.5" x14ac:dyDescent="0.35">
      <c r="C9" s="28"/>
      <c r="D9" s="28"/>
      <c r="E9" s="28"/>
      <c r="F9" s="29"/>
      <c r="G9" s="29"/>
      <c r="H9" s="30"/>
      <c r="I9" s="148"/>
      <c r="J9" s="31"/>
    </row>
    <row r="10" spans="3:14" ht="9.75" customHeight="1" x14ac:dyDescent="0.35">
      <c r="C10" s="28"/>
      <c r="D10" s="28"/>
      <c r="E10" s="28"/>
      <c r="F10" s="1042" t="s">
        <v>87</v>
      </c>
      <c r="H10" s="1042" t="s">
        <v>92</v>
      </c>
      <c r="J10" s="31"/>
      <c r="N10" s="32"/>
    </row>
    <row r="11" spans="3:14" ht="9.75" customHeight="1" x14ac:dyDescent="0.35">
      <c r="C11" s="28"/>
      <c r="D11" s="28"/>
      <c r="E11" s="33"/>
      <c r="F11" s="1042"/>
      <c r="H11" s="1042"/>
      <c r="J11" s="34"/>
      <c r="N11" s="35"/>
    </row>
    <row r="12" spans="3:14" ht="16.5" x14ac:dyDescent="0.35">
      <c r="C12" s="28"/>
      <c r="D12" s="28"/>
      <c r="E12" s="36"/>
      <c r="F12" s="37"/>
      <c r="H12" s="37" t="s">
        <v>1448</v>
      </c>
      <c r="N12" s="35"/>
    </row>
    <row r="13" spans="3:14" ht="9.75" customHeight="1" x14ac:dyDescent="0.25">
      <c r="N13" s="35"/>
    </row>
    <row r="14" spans="3:14" s="38" customFormat="1" ht="13" x14ac:dyDescent="0.25">
      <c r="C14" s="661" t="s">
        <v>741</v>
      </c>
      <c r="F14" s="39"/>
      <c r="H14" s="39"/>
    </row>
    <row r="15" spans="3:14" s="38" customFormat="1" ht="13" x14ac:dyDescent="0.25">
      <c r="F15" s="39"/>
      <c r="H15" s="39"/>
    </row>
    <row r="16" spans="3:14" ht="13" x14ac:dyDescent="0.3">
      <c r="C16" s="40"/>
      <c r="D16" s="41"/>
      <c r="E16" s="41"/>
      <c r="F16" s="103"/>
      <c r="G16" s="176"/>
      <c r="H16" s="103"/>
      <c r="I16" s="42"/>
      <c r="J16" s="41"/>
    </row>
    <row r="17" spans="3:12" ht="13" x14ac:dyDescent="0.3">
      <c r="C17" s="44"/>
      <c r="D17" s="45"/>
      <c r="E17" s="46"/>
      <c r="F17" s="80"/>
      <c r="G17" s="176"/>
      <c r="H17" s="80"/>
      <c r="I17" s="48"/>
      <c r="J17" s="50"/>
    </row>
    <row r="18" spans="3:12" ht="14.5" x14ac:dyDescent="0.35">
      <c r="C18" s="44"/>
      <c r="D18" s="45"/>
      <c r="E18" s="46"/>
      <c r="F18" s="83"/>
      <c r="G18" s="177"/>
      <c r="H18" s="83"/>
      <c r="I18" s="48"/>
      <c r="J18" s="50"/>
    </row>
    <row r="19" spans="3:12" ht="13" x14ac:dyDescent="0.3">
      <c r="F19" s="175"/>
      <c r="G19" s="175"/>
      <c r="H19" s="175"/>
      <c r="I19" s="51"/>
    </row>
    <row r="20" spans="3:12" s="52" customFormat="1" ht="13" x14ac:dyDescent="0.25">
      <c r="C20" s="660" t="s">
        <v>742</v>
      </c>
      <c r="F20" s="70"/>
      <c r="G20" s="70"/>
      <c r="H20" s="70"/>
      <c r="I20" s="53"/>
    </row>
    <row r="21" spans="3:12" s="56" customFormat="1" ht="7.5" customHeight="1" x14ac:dyDescent="0.3">
      <c r="C21" s="55"/>
      <c r="F21" s="175"/>
      <c r="G21" s="175"/>
      <c r="H21" s="175"/>
      <c r="I21" s="57"/>
    </row>
    <row r="22" spans="3:12" s="62" customFormat="1" ht="13" x14ac:dyDescent="0.3">
      <c r="C22" s="40"/>
      <c r="D22" s="58"/>
      <c r="E22" s="59"/>
      <c r="F22" s="690"/>
      <c r="G22" s="60"/>
      <c r="H22" s="690"/>
      <c r="I22" s="61"/>
    </row>
    <row r="23" spans="3:12" s="62" customFormat="1" ht="13" x14ac:dyDescent="0.3">
      <c r="C23" s="161"/>
      <c r="D23" s="58"/>
      <c r="E23" s="59"/>
      <c r="F23" s="159"/>
      <c r="G23" s="60"/>
      <c r="H23" s="159"/>
      <c r="I23" s="61"/>
    </row>
    <row r="24" spans="3:12" s="62" customFormat="1" ht="13" x14ac:dyDescent="0.3">
      <c r="C24" s="162"/>
      <c r="D24" s="58"/>
      <c r="E24" s="59"/>
      <c r="F24" s="159"/>
      <c r="G24" s="60"/>
      <c r="H24" s="159"/>
      <c r="I24" s="61"/>
    </row>
    <row r="25" spans="3:12" s="62" customFormat="1" ht="13" x14ac:dyDescent="0.3">
      <c r="C25" s="163"/>
      <c r="D25" s="58"/>
      <c r="E25" s="59"/>
      <c r="F25" s="159"/>
      <c r="G25" s="60"/>
      <c r="H25" s="159"/>
      <c r="I25" s="61"/>
    </row>
    <row r="26" spans="3:12" s="62" customFormat="1" ht="13" x14ac:dyDescent="0.3">
      <c r="C26" s="163"/>
      <c r="D26" s="58"/>
      <c r="E26" s="59"/>
      <c r="F26" s="159"/>
      <c r="G26" s="60"/>
      <c r="H26" s="159"/>
      <c r="I26" s="61"/>
    </row>
    <row r="27" spans="3:12" s="62" customFormat="1" ht="13" x14ac:dyDescent="0.3">
      <c r="C27" s="164"/>
      <c r="D27" s="58"/>
      <c r="E27" s="59"/>
      <c r="F27" s="65"/>
      <c r="G27" s="60"/>
      <c r="H27" s="65"/>
      <c r="I27" s="61"/>
    </row>
    <row r="28" spans="3:12" s="56" customFormat="1" ht="14.5" x14ac:dyDescent="0.35">
      <c r="D28" s="66"/>
      <c r="E28" s="66"/>
      <c r="F28" s="67"/>
      <c r="G28" s="68"/>
      <c r="H28" s="67"/>
      <c r="I28" s="69"/>
      <c r="L28" s="62"/>
    </row>
    <row r="29" spans="3:12" s="52" customFormat="1" ht="13" x14ac:dyDescent="0.25">
      <c r="C29" s="661" t="s">
        <v>743</v>
      </c>
      <c r="F29" s="70"/>
      <c r="G29" s="70"/>
      <c r="H29" s="70"/>
      <c r="I29" s="70"/>
      <c r="L29" s="62"/>
    </row>
    <row r="30" spans="3:12" s="56" customFormat="1" ht="14.5" x14ac:dyDescent="0.35">
      <c r="C30" s="72"/>
      <c r="F30" s="68"/>
      <c r="G30" s="68"/>
      <c r="H30" s="68"/>
      <c r="I30" s="69"/>
      <c r="L30" s="62"/>
    </row>
    <row r="31" spans="3:12" s="56" customFormat="1" ht="13" x14ac:dyDescent="0.3">
      <c r="C31" s="102"/>
      <c r="F31" s="103"/>
      <c r="G31" s="176"/>
      <c r="H31" s="103"/>
      <c r="I31" s="61"/>
      <c r="L31" s="62"/>
    </row>
    <row r="32" spans="3:12" s="56" customFormat="1" ht="13" x14ac:dyDescent="0.3">
      <c r="C32" s="44"/>
      <c r="D32" s="45"/>
      <c r="E32" s="46"/>
      <c r="F32" s="80"/>
      <c r="G32" s="176"/>
      <c r="H32" s="80"/>
      <c r="I32" s="61"/>
      <c r="L32" s="62"/>
    </row>
    <row r="33" spans="3:15" s="56" customFormat="1" ht="14.5" x14ac:dyDescent="0.35">
      <c r="C33" s="44"/>
      <c r="D33" s="45"/>
      <c r="E33" s="46"/>
      <c r="F33" s="83"/>
      <c r="G33" s="177"/>
      <c r="H33" s="83"/>
      <c r="I33" s="61"/>
      <c r="L33" s="62"/>
    </row>
    <row r="34" spans="3:15" s="56" customFormat="1" ht="14.5" x14ac:dyDescent="0.35">
      <c r="C34" s="75"/>
      <c r="D34" s="66"/>
      <c r="E34" s="66"/>
      <c r="F34" s="73"/>
      <c r="G34" s="73"/>
      <c r="H34" s="73"/>
      <c r="I34" s="61"/>
      <c r="L34" s="62"/>
    </row>
    <row r="35" spans="3:15" s="52" customFormat="1" ht="13" x14ac:dyDescent="0.25">
      <c r="C35" s="661" t="s">
        <v>744</v>
      </c>
      <c r="F35" s="70"/>
      <c r="G35" s="76"/>
      <c r="H35" s="70"/>
      <c r="I35" s="70"/>
      <c r="J35" s="77"/>
      <c r="L35" s="62"/>
    </row>
    <row r="36" spans="3:15" s="56" customFormat="1" ht="14.5" x14ac:dyDescent="0.35">
      <c r="F36" s="67"/>
      <c r="G36" s="67"/>
      <c r="H36" s="67"/>
      <c r="I36" s="67"/>
      <c r="J36" s="78"/>
      <c r="L36" s="62"/>
    </row>
    <row r="37" spans="3:15" s="56" customFormat="1" ht="13" x14ac:dyDescent="0.3">
      <c r="C37" s="102"/>
      <c r="F37" s="103"/>
      <c r="G37" s="176"/>
      <c r="H37" s="103"/>
      <c r="I37" s="81"/>
      <c r="J37" s="82"/>
      <c r="L37" s="62"/>
    </row>
    <row r="38" spans="3:15" s="56" customFormat="1" ht="13" x14ac:dyDescent="0.3">
      <c r="C38" s="63"/>
      <c r="D38" s="79"/>
      <c r="F38" s="80"/>
      <c r="G38" s="176"/>
      <c r="H38" s="80"/>
      <c r="I38" s="81"/>
      <c r="J38" s="79"/>
      <c r="L38" s="62"/>
    </row>
    <row r="39" spans="3:15" s="56" customFormat="1" ht="14.5" x14ac:dyDescent="0.35">
      <c r="C39" s="64"/>
      <c r="F39" s="83"/>
      <c r="G39" s="177"/>
      <c r="H39" s="83"/>
      <c r="I39" s="26"/>
    </row>
    <row r="40" spans="3:15" s="56" customFormat="1" ht="13" x14ac:dyDescent="0.3">
      <c r="C40" s="75"/>
      <c r="F40" s="177"/>
      <c r="G40" s="177"/>
      <c r="H40" s="177"/>
      <c r="K40" s="32"/>
      <c r="L40" s="85"/>
      <c r="M40" s="86"/>
    </row>
    <row r="41" spans="3:15" s="56" customFormat="1" ht="13" x14ac:dyDescent="0.3">
      <c r="F41" s="177"/>
      <c r="G41" s="177"/>
      <c r="H41" s="177"/>
      <c r="K41" s="87"/>
      <c r="L41" s="88"/>
      <c r="M41" s="89"/>
      <c r="N41" s="90"/>
    </row>
    <row r="42" spans="3:15" s="56" customFormat="1" ht="13" x14ac:dyDescent="0.25">
      <c r="C42" s="661" t="s">
        <v>745</v>
      </c>
      <c r="D42" s="52"/>
      <c r="E42" s="52"/>
      <c r="F42" s="70"/>
      <c r="G42" s="76"/>
      <c r="H42" s="70"/>
      <c r="K42" s="91"/>
      <c r="L42" s="92"/>
      <c r="M42" s="93"/>
      <c r="N42" s="94"/>
      <c r="O42" s="95"/>
    </row>
    <row r="43" spans="3:15" s="56" customFormat="1" ht="14.5" x14ac:dyDescent="0.35">
      <c r="F43" s="67"/>
      <c r="G43" s="67"/>
      <c r="H43" s="67"/>
      <c r="K43" s="91"/>
      <c r="L43" s="91"/>
      <c r="M43" s="94"/>
      <c r="N43" s="94"/>
      <c r="O43" s="95"/>
    </row>
    <row r="44" spans="3:15" s="56" customFormat="1" ht="13" x14ac:dyDescent="0.3">
      <c r="C44" s="102"/>
      <c r="F44" s="103"/>
      <c r="G44" s="176"/>
      <c r="H44" s="103"/>
      <c r="K44" s="91"/>
      <c r="L44" s="96"/>
      <c r="M44" s="96"/>
      <c r="N44" s="93"/>
      <c r="O44" s="95"/>
    </row>
    <row r="45" spans="3:15" s="56" customFormat="1" ht="13" x14ac:dyDescent="0.3">
      <c r="C45" s="63"/>
      <c r="D45" s="79"/>
      <c r="F45" s="80"/>
      <c r="G45" s="176"/>
      <c r="H45" s="80"/>
      <c r="K45" s="91"/>
      <c r="L45" s="96"/>
      <c r="M45" s="96"/>
      <c r="N45" s="93"/>
      <c r="O45" s="95"/>
    </row>
    <row r="46" spans="3:15" s="56" customFormat="1" ht="14.5" x14ac:dyDescent="0.35">
      <c r="C46" s="64"/>
      <c r="F46" s="83"/>
      <c r="G46" s="177"/>
      <c r="H46" s="83"/>
      <c r="K46" s="91"/>
      <c r="L46" s="96"/>
      <c r="M46" s="96"/>
      <c r="N46" s="93"/>
      <c r="O46" s="95"/>
    </row>
    <row r="47" spans="3:15" s="56" customFormat="1" x14ac:dyDescent="0.25">
      <c r="H47" s="26"/>
      <c r="I47" s="26"/>
      <c r="K47" s="91"/>
      <c r="L47" s="96"/>
      <c r="M47" s="96"/>
      <c r="N47" s="93"/>
      <c r="O47" s="95"/>
    </row>
    <row r="48" spans="3:15" s="56" customFormat="1" x14ac:dyDescent="0.25">
      <c r="H48" s="98"/>
      <c r="I48" s="98"/>
      <c r="J48" s="26"/>
      <c r="K48" s="91"/>
      <c r="L48" s="96"/>
      <c r="M48" s="96"/>
      <c r="N48" s="93"/>
      <c r="O48" s="95"/>
    </row>
    <row r="49" spans="8:15" x14ac:dyDescent="0.25">
      <c r="H49" s="99"/>
      <c r="I49" s="98"/>
      <c r="K49" s="91"/>
      <c r="L49" s="96"/>
      <c r="M49" s="96"/>
      <c r="N49" s="93"/>
      <c r="O49" s="100"/>
    </row>
    <row r="50" spans="8:15" x14ac:dyDescent="0.25">
      <c r="H50" s="99"/>
      <c r="I50" s="98"/>
      <c r="K50" s="91"/>
      <c r="L50" s="96"/>
      <c r="M50" s="96"/>
      <c r="N50" s="93"/>
      <c r="O50" s="100"/>
    </row>
    <row r="51" spans="8:15" x14ac:dyDescent="0.25">
      <c r="H51" s="99"/>
      <c r="K51" s="91"/>
      <c r="L51" s="96"/>
      <c r="M51" s="96"/>
      <c r="N51" s="93"/>
      <c r="O51" s="100"/>
    </row>
    <row r="52" spans="8:15" x14ac:dyDescent="0.25">
      <c r="H52" s="99"/>
      <c r="K52" s="91"/>
      <c r="L52" s="96"/>
      <c r="M52" s="96"/>
      <c r="N52" s="93"/>
      <c r="O52" s="100"/>
    </row>
    <row r="53" spans="8:15" x14ac:dyDescent="0.25">
      <c r="H53" s="99"/>
      <c r="K53" s="91"/>
      <c r="L53" s="96"/>
      <c r="M53" s="96"/>
      <c r="N53" s="93"/>
      <c r="O53" s="100"/>
    </row>
    <row r="54" spans="8:15" x14ac:dyDescent="0.25">
      <c r="H54" s="99"/>
      <c r="K54" s="91"/>
      <c r="L54" s="96"/>
      <c r="M54" s="96"/>
      <c r="N54" s="93"/>
      <c r="O54" s="100"/>
    </row>
    <row r="55" spans="8:15" x14ac:dyDescent="0.25">
      <c r="H55" s="99"/>
      <c r="K55" s="91"/>
      <c r="L55" s="96"/>
      <c r="M55" s="96"/>
      <c r="N55" s="93"/>
      <c r="O55" s="100"/>
    </row>
    <row r="56" spans="8:15" x14ac:dyDescent="0.25">
      <c r="K56" s="91"/>
      <c r="L56" s="96"/>
      <c r="M56" s="96"/>
      <c r="N56" s="93"/>
      <c r="O56" s="100"/>
    </row>
    <row r="57" spans="8:15" x14ac:dyDescent="0.25">
      <c r="K57" s="91"/>
      <c r="L57" s="96"/>
      <c r="M57" s="96"/>
      <c r="N57" s="93"/>
      <c r="O57" s="100"/>
    </row>
    <row r="58" spans="8:15" x14ac:dyDescent="0.25">
      <c r="K58" s="91"/>
      <c r="L58" s="96"/>
      <c r="M58" s="96"/>
      <c r="N58" s="93"/>
      <c r="O58" s="100"/>
    </row>
    <row r="59" spans="8:15" x14ac:dyDescent="0.25">
      <c r="K59" s="91"/>
      <c r="L59" s="96"/>
      <c r="M59" s="96"/>
      <c r="N59" s="93"/>
      <c r="O59" s="100"/>
    </row>
    <row r="60" spans="8:15" x14ac:dyDescent="0.25">
      <c r="K60" s="91"/>
      <c r="L60" s="96"/>
      <c r="M60" s="96"/>
      <c r="N60" s="93"/>
      <c r="O60" s="100"/>
    </row>
    <row r="61" spans="8:15" x14ac:dyDescent="0.25">
      <c r="K61" s="91"/>
      <c r="L61" s="96"/>
      <c r="M61" s="96"/>
      <c r="N61" s="93"/>
      <c r="O61" s="100"/>
    </row>
    <row r="62" spans="8:15" x14ac:dyDescent="0.25">
      <c r="K62" s="91"/>
      <c r="L62" s="96"/>
      <c r="M62" s="96"/>
      <c r="N62" s="93"/>
      <c r="O62" s="100"/>
    </row>
    <row r="63" spans="8:15" x14ac:dyDescent="0.25">
      <c r="K63" s="91"/>
      <c r="L63" s="96"/>
      <c r="M63" s="96"/>
      <c r="N63" s="93"/>
      <c r="O63" s="100"/>
    </row>
    <row r="64" spans="8:15" x14ac:dyDescent="0.25">
      <c r="K64" s="91"/>
      <c r="L64" s="96"/>
      <c r="M64" s="96"/>
      <c r="N64" s="93"/>
      <c r="O64" s="100"/>
    </row>
    <row r="65" spans="11:15" x14ac:dyDescent="0.25">
      <c r="K65" s="91"/>
      <c r="L65" s="96"/>
      <c r="M65" s="96"/>
      <c r="N65" s="93"/>
      <c r="O65" s="100"/>
    </row>
    <row r="66" spans="11:15" x14ac:dyDescent="0.25">
      <c r="K66" s="91"/>
      <c r="L66" s="96"/>
      <c r="M66" s="96"/>
      <c r="N66" s="93"/>
      <c r="O66" s="100"/>
    </row>
    <row r="67" spans="11:15" x14ac:dyDescent="0.25">
      <c r="K67" s="91"/>
      <c r="L67" s="96"/>
      <c r="M67" s="96"/>
      <c r="N67" s="93"/>
      <c r="O67" s="100"/>
    </row>
    <row r="68" spans="11:15" x14ac:dyDescent="0.25">
      <c r="K68" s="91"/>
      <c r="L68" s="96"/>
      <c r="M68" s="96"/>
      <c r="N68" s="93"/>
      <c r="O68" s="100"/>
    </row>
    <row r="69" spans="11:15" x14ac:dyDescent="0.25">
      <c r="K69" s="91"/>
      <c r="L69" s="96"/>
      <c r="M69" s="96"/>
      <c r="N69" s="93"/>
      <c r="O69" s="100"/>
    </row>
    <row r="70" spans="11:15" x14ac:dyDescent="0.25">
      <c r="K70" s="91"/>
      <c r="L70" s="96"/>
      <c r="M70" s="96"/>
      <c r="N70" s="93"/>
      <c r="O70" s="100"/>
    </row>
    <row r="71" spans="11:15" x14ac:dyDescent="0.25">
      <c r="K71" s="91"/>
      <c r="L71" s="96"/>
      <c r="M71" s="96"/>
      <c r="N71" s="93"/>
      <c r="O71" s="100"/>
    </row>
    <row r="72" spans="11:15" x14ac:dyDescent="0.25">
      <c r="K72" s="91"/>
      <c r="L72" s="96"/>
      <c r="M72" s="96"/>
      <c r="N72" s="93"/>
      <c r="O72" s="100"/>
    </row>
    <row r="73" spans="11:15" x14ac:dyDescent="0.25">
      <c r="K73" s="91"/>
      <c r="L73" s="96"/>
      <c r="M73" s="96"/>
      <c r="N73" s="93"/>
      <c r="O73" s="100"/>
    </row>
    <row r="74" spans="11:15" x14ac:dyDescent="0.25">
      <c r="K74" s="91"/>
      <c r="L74" s="96"/>
      <c r="M74" s="96"/>
      <c r="N74" s="93"/>
      <c r="O74" s="100"/>
    </row>
    <row r="75" spans="11:15" x14ac:dyDescent="0.25">
      <c r="K75" s="91"/>
      <c r="L75" s="96"/>
      <c r="M75" s="96"/>
      <c r="N75" s="93"/>
      <c r="O75" s="100"/>
    </row>
    <row r="76" spans="11:15" x14ac:dyDescent="0.25">
      <c r="K76" s="91"/>
      <c r="L76" s="96"/>
      <c r="M76" s="96"/>
      <c r="N76" s="93"/>
      <c r="O76" s="100"/>
    </row>
    <row r="77" spans="11:15" x14ac:dyDescent="0.25">
      <c r="K77" s="91"/>
      <c r="L77" s="96"/>
      <c r="M77" s="96"/>
      <c r="N77" s="93"/>
      <c r="O77" s="100"/>
    </row>
  </sheetData>
  <mergeCells count="3">
    <mergeCell ref="F10:F11"/>
    <mergeCell ref="H10:H11"/>
    <mergeCell ref="C8:H8"/>
  </mergeCells>
  <phoneticPr fontId="127" type="noConversion"/>
  <pageMargins left="0.70866141732283472" right="0.70866141732283472" top="0.74803149606299213" bottom="0.74803149606299213" header="0.31496062992125984" footer="0.31496062992125984"/>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E030-FBE9-49A7-B769-3DBFFF303B14}">
  <sheetPr>
    <tabColor theme="0" tint="-0.249977111117893"/>
  </sheetPr>
  <dimension ref="A1:AM68"/>
  <sheetViews>
    <sheetView showGridLines="0" zoomScale="80" zoomScaleNormal="80" workbookViewId="0">
      <selection activeCell="L19" sqref="L19"/>
    </sheetView>
  </sheetViews>
  <sheetFormatPr defaultColWidth="9.1796875" defaultRowHeight="14.5" x14ac:dyDescent="0.35"/>
  <cols>
    <col min="1" max="1" width="14.81640625" style="413" customWidth="1"/>
    <col min="2" max="2" width="23.1796875" style="473" bestFit="1" customWidth="1"/>
    <col min="3" max="3" width="16.453125" style="435" customWidth="1"/>
    <col min="4" max="4" width="14.54296875" style="435" customWidth="1"/>
    <col min="5" max="5" width="11.54296875" style="435" customWidth="1"/>
    <col min="6" max="6" width="13.81640625" style="435" customWidth="1"/>
    <col min="7" max="7" width="17.54296875" style="413" bestFit="1" customWidth="1"/>
    <col min="8" max="8" width="14.81640625" style="413" bestFit="1" customWidth="1"/>
    <col min="9" max="9" width="12.453125" style="413" customWidth="1"/>
    <col min="10" max="10" width="16.453125" style="413" customWidth="1"/>
    <col min="11" max="11" width="15.54296875" style="413" customWidth="1"/>
    <col min="12" max="16384" width="9.1796875" style="413"/>
  </cols>
  <sheetData>
    <row r="1" spans="1:12" x14ac:dyDescent="0.35">
      <c r="A1" s="104"/>
      <c r="B1" s="104"/>
      <c r="C1" s="104"/>
      <c r="D1" s="104"/>
      <c r="E1" s="104"/>
      <c r="F1" s="104"/>
      <c r="G1" s="104"/>
      <c r="H1" s="104"/>
      <c r="I1" s="104"/>
      <c r="J1" s="104"/>
      <c r="K1" s="104"/>
      <c r="L1" s="104"/>
    </row>
    <row r="2" spans="1:12" x14ac:dyDescent="0.35">
      <c r="A2" s="104"/>
      <c r="B2" s="106"/>
      <c r="C2" s="106"/>
      <c r="D2" s="106"/>
      <c r="E2" s="106"/>
      <c r="F2" s="106"/>
      <c r="G2" s="106"/>
      <c r="H2" s="106"/>
      <c r="I2" s="106"/>
      <c r="J2" s="106"/>
      <c r="K2" s="106"/>
      <c r="L2" s="106"/>
    </row>
    <row r="3" spans="1:12" ht="14.5" customHeight="1" x14ac:dyDescent="0.35">
      <c r="A3" s="104"/>
      <c r="B3" s="106"/>
      <c r="C3" s="106"/>
      <c r="D3" s="106"/>
      <c r="E3" s="1049"/>
      <c r="F3" s="1049"/>
      <c r="G3" s="1049"/>
      <c r="H3" s="106"/>
      <c r="I3" s="350"/>
      <c r="J3" s="101" t="s">
        <v>655</v>
      </c>
      <c r="K3" s="101">
        <f>'00 - Cover'!F15</f>
        <v>45488</v>
      </c>
      <c r="L3" s="105"/>
    </row>
    <row r="4" spans="1:12" ht="14.5" customHeight="1" x14ac:dyDescent="0.35">
      <c r="A4" s="104"/>
      <c r="B4" s="106"/>
      <c r="C4" s="106"/>
      <c r="D4" s="106"/>
      <c r="E4" s="1049"/>
      <c r="F4" s="1049"/>
      <c r="G4" s="1049"/>
      <c r="H4" s="106"/>
      <c r="I4" s="350"/>
      <c r="J4" s="101" t="s">
        <v>94</v>
      </c>
      <c r="K4" s="101">
        <f>'00 - Cover'!F16</f>
        <v>45491</v>
      </c>
      <c r="L4" s="105"/>
    </row>
    <row r="5" spans="1:12" ht="14.5" customHeight="1" x14ac:dyDescent="0.35">
      <c r="A5" s="104"/>
      <c r="B5" s="106"/>
      <c r="C5" s="106"/>
      <c r="D5" s="106"/>
      <c r="E5" s="1049"/>
      <c r="F5" s="1049"/>
      <c r="G5" s="1049"/>
      <c r="H5" s="106"/>
      <c r="I5" s="350"/>
      <c r="J5" s="101" t="s">
        <v>87</v>
      </c>
      <c r="K5" s="101">
        <f>'00 - Cover'!F17</f>
        <v>45498</v>
      </c>
      <c r="L5" s="105"/>
    </row>
    <row r="6" spans="1:12" ht="14.5" customHeight="1" x14ac:dyDescent="0.35">
      <c r="A6" s="104"/>
      <c r="B6" s="106"/>
      <c r="C6" s="106"/>
      <c r="D6" s="106"/>
      <c r="E6" s="1049"/>
      <c r="F6" s="1049"/>
      <c r="G6" s="1049"/>
      <c r="H6" s="106"/>
      <c r="I6" s="106"/>
      <c r="J6" s="106"/>
      <c r="K6" s="106"/>
      <c r="L6" s="106"/>
    </row>
    <row r="7" spans="1:12" x14ac:dyDescent="0.35">
      <c r="A7" s="104"/>
      <c r="B7" s="106"/>
      <c r="C7" s="106"/>
      <c r="D7" s="106"/>
      <c r="E7" s="106"/>
      <c r="F7" s="106"/>
      <c r="G7" s="106"/>
      <c r="H7" s="106"/>
      <c r="I7" s="107"/>
      <c r="J7" s="107"/>
      <c r="K7" s="108"/>
      <c r="L7" s="106"/>
    </row>
    <row r="8" spans="1:12" x14ac:dyDescent="0.35">
      <c r="B8" s="413"/>
    </row>
    <row r="9" spans="1:12" ht="17.25" customHeight="1" x14ac:dyDescent="0.35">
      <c r="A9" s="594" t="s">
        <v>571</v>
      </c>
      <c r="B9" s="595"/>
      <c r="C9" s="596"/>
      <c r="D9" s="596"/>
      <c r="E9" s="596"/>
      <c r="F9" s="596"/>
      <c r="G9" s="596"/>
      <c r="H9" s="596"/>
      <c r="I9" s="596"/>
      <c r="J9" s="596"/>
      <c r="K9" s="596"/>
      <c r="L9" s="596"/>
    </row>
    <row r="10" spans="1:12" ht="11.15" customHeight="1" x14ac:dyDescent="0.35">
      <c r="B10" s="413"/>
    </row>
    <row r="11" spans="1:12" ht="4.5" customHeight="1" x14ac:dyDescent="0.35">
      <c r="B11" s="413"/>
      <c r="C11" s="413"/>
      <c r="D11" s="413"/>
      <c r="E11" s="413"/>
      <c r="F11" s="413"/>
    </row>
    <row r="12" spans="1:12" ht="3.75" customHeight="1" thickBot="1" x14ac:dyDescent="0.4">
      <c r="B12" s="436"/>
      <c r="C12" s="437"/>
      <c r="D12" s="437"/>
      <c r="E12" s="437"/>
      <c r="F12" s="437"/>
      <c r="G12" s="437"/>
    </row>
    <row r="13" spans="1:12" ht="39" customHeight="1" thickBot="1" x14ac:dyDescent="0.4">
      <c r="B13" s="436"/>
      <c r="C13" s="437"/>
      <c r="D13" s="437"/>
      <c r="E13" s="437"/>
      <c r="F13" s="437"/>
      <c r="G13" s="437"/>
      <c r="H13" s="438" t="s">
        <v>572</v>
      </c>
      <c r="I13" s="439" t="s">
        <v>573</v>
      </c>
      <c r="K13" s="435"/>
    </row>
    <row r="14" spans="1:12" ht="22" customHeight="1" thickBot="1" x14ac:dyDescent="0.4">
      <c r="B14" s="1071" t="s">
        <v>609</v>
      </c>
      <c r="C14" s="1072"/>
      <c r="D14" s="1072"/>
      <c r="E14" s="1072"/>
      <c r="F14" s="1072"/>
      <c r="G14" s="1073"/>
      <c r="H14" s="442">
        <v>751085014.36999917</v>
      </c>
      <c r="I14" s="443">
        <v>3847</v>
      </c>
      <c r="K14" s="435"/>
    </row>
    <row r="15" spans="1:12" ht="22" customHeight="1" thickBot="1" x14ac:dyDescent="0.4">
      <c r="B15" s="494" t="s">
        <v>610</v>
      </c>
      <c r="C15" s="495"/>
      <c r="D15" s="495"/>
      <c r="E15" s="495"/>
      <c r="F15" s="495"/>
      <c r="G15" s="496"/>
      <c r="H15" s="444">
        <f>SUM(J20:J23,J26:J30,J32:J36,J39:J40,)</f>
        <v>0</v>
      </c>
      <c r="I15" s="445">
        <f>SUM(K20:K23,K26:K30,K32:K36,K39:K40)</f>
        <v>0</v>
      </c>
      <c r="K15" s="435"/>
    </row>
    <row r="16" spans="1:12" ht="22" customHeight="1" thickBot="1" x14ac:dyDescent="0.4">
      <c r="B16" s="494" t="s">
        <v>611</v>
      </c>
      <c r="C16" s="495"/>
      <c r="D16" s="495"/>
      <c r="E16" s="495"/>
      <c r="F16" s="495"/>
      <c r="G16" s="496"/>
      <c r="H16" s="444">
        <f>H14-H15</f>
        <v>751085014.36999917</v>
      </c>
      <c r="I16" s="445">
        <f>I14-I15</f>
        <v>3847</v>
      </c>
      <c r="J16" s="446"/>
      <c r="K16" s="435"/>
    </row>
    <row r="17" spans="1:11" ht="22" customHeight="1" thickBot="1" x14ac:dyDescent="0.4">
      <c r="B17" s="447" t="s">
        <v>561</v>
      </c>
      <c r="C17" s="440"/>
      <c r="D17" s="440"/>
      <c r="E17" s="440"/>
      <c r="F17" s="440"/>
      <c r="G17" s="441"/>
      <c r="H17" s="448" t="str">
        <f>IF(H14-H15=H16,"OK","KO")</f>
        <v>OK</v>
      </c>
      <c r="I17" s="449" t="str">
        <f>IF(I14-I15=I16,"OK","KO")</f>
        <v>OK</v>
      </c>
      <c r="K17" s="435"/>
    </row>
    <row r="18" spans="1:11" ht="63" customHeight="1" thickBot="1" x14ac:dyDescent="0.4">
      <c r="B18" s="1062" t="s">
        <v>574</v>
      </c>
      <c r="C18" s="1063"/>
      <c r="D18" s="1063"/>
      <c r="E18" s="1063"/>
      <c r="F18" s="1063"/>
      <c r="G18" s="1064"/>
      <c r="H18" s="450" t="s">
        <v>605</v>
      </c>
      <c r="I18" s="451" t="s">
        <v>606</v>
      </c>
      <c r="J18" s="450" t="s">
        <v>607</v>
      </c>
      <c r="K18" s="451" t="s">
        <v>608</v>
      </c>
    </row>
    <row r="19" spans="1:11" ht="58.5" customHeight="1" x14ac:dyDescent="0.35">
      <c r="A19" s="452"/>
      <c r="B19" s="453" t="s">
        <v>563</v>
      </c>
      <c r="C19" s="1050" t="s">
        <v>575</v>
      </c>
      <c r="D19" s="1051"/>
      <c r="E19" s="1051"/>
      <c r="F19" s="1051"/>
      <c r="G19" s="1052"/>
      <c r="H19" s="454"/>
      <c r="I19" s="455"/>
      <c r="J19" s="454"/>
      <c r="K19" s="455"/>
    </row>
    <row r="20" spans="1:11" ht="48" customHeight="1" x14ac:dyDescent="0.35">
      <c r="A20" s="452"/>
      <c r="B20" s="456" t="s">
        <v>564</v>
      </c>
      <c r="C20" s="1053" t="s">
        <v>576</v>
      </c>
      <c r="D20" s="1054"/>
      <c r="E20" s="1054"/>
      <c r="F20" s="1054"/>
      <c r="G20" s="1055"/>
      <c r="H20" s="458">
        <f>H14-J20</f>
        <v>751085014.36999917</v>
      </c>
      <c r="I20" s="457">
        <f>I14-K20</f>
        <v>3847</v>
      </c>
      <c r="J20" s="458">
        <v>0</v>
      </c>
      <c r="K20" s="459">
        <v>0</v>
      </c>
    </row>
    <row r="21" spans="1:11" ht="48" customHeight="1" x14ac:dyDescent="0.35">
      <c r="A21" s="452"/>
      <c r="B21" s="456" t="s">
        <v>565</v>
      </c>
      <c r="C21" s="1056" t="s">
        <v>577</v>
      </c>
      <c r="D21" s="1057"/>
      <c r="E21" s="1057"/>
      <c r="F21" s="1057"/>
      <c r="G21" s="1058"/>
      <c r="H21" s="458">
        <f t="shared" ref="H21:I23" si="0">H20-J21</f>
        <v>751085014.36999917</v>
      </c>
      <c r="I21" s="459">
        <f t="shared" si="0"/>
        <v>3847</v>
      </c>
      <c r="J21" s="458">
        <v>0</v>
      </c>
      <c r="K21" s="459">
        <v>0</v>
      </c>
    </row>
    <row r="22" spans="1:11" ht="48" customHeight="1" x14ac:dyDescent="0.35">
      <c r="A22" s="452"/>
      <c r="B22" s="456" t="s">
        <v>566</v>
      </c>
      <c r="C22" s="1056" t="s">
        <v>578</v>
      </c>
      <c r="D22" s="1057"/>
      <c r="E22" s="1057"/>
      <c r="F22" s="1057"/>
      <c r="G22" s="1058"/>
      <c r="H22" s="458">
        <f t="shared" si="0"/>
        <v>751085014.36999917</v>
      </c>
      <c r="I22" s="459">
        <f t="shared" si="0"/>
        <v>3847</v>
      </c>
      <c r="J22" s="458">
        <v>0</v>
      </c>
      <c r="K22" s="459">
        <v>0</v>
      </c>
    </row>
    <row r="23" spans="1:11" ht="48" customHeight="1" x14ac:dyDescent="0.35">
      <c r="A23" s="452"/>
      <c r="B23" s="456" t="s">
        <v>567</v>
      </c>
      <c r="C23" s="1056" t="s">
        <v>579</v>
      </c>
      <c r="D23" s="1057"/>
      <c r="E23" s="1057"/>
      <c r="F23" s="1057"/>
      <c r="G23" s="1058"/>
      <c r="H23" s="458">
        <f t="shared" si="0"/>
        <v>751085014.36999917</v>
      </c>
      <c r="I23" s="459">
        <f t="shared" si="0"/>
        <v>3847</v>
      </c>
      <c r="J23" s="458">
        <v>0</v>
      </c>
      <c r="K23" s="459">
        <v>0</v>
      </c>
    </row>
    <row r="24" spans="1:11" ht="48" customHeight="1" x14ac:dyDescent="0.35">
      <c r="A24" s="452"/>
      <c r="B24" s="456" t="s">
        <v>568</v>
      </c>
      <c r="C24" s="1056" t="s">
        <v>580</v>
      </c>
      <c r="D24" s="1057"/>
      <c r="E24" s="1057"/>
      <c r="F24" s="1057"/>
      <c r="G24" s="1058"/>
      <c r="H24" s="460"/>
      <c r="I24" s="461"/>
      <c r="J24" s="460"/>
      <c r="K24" s="461"/>
    </row>
    <row r="25" spans="1:11" ht="48" customHeight="1" x14ac:dyDescent="0.35">
      <c r="A25" s="452"/>
      <c r="B25" s="456" t="s">
        <v>581</v>
      </c>
      <c r="C25" s="1056" t="s">
        <v>582</v>
      </c>
      <c r="D25" s="1057"/>
      <c r="E25" s="1057"/>
      <c r="F25" s="1057"/>
      <c r="G25" s="1058"/>
      <c r="H25" s="460"/>
      <c r="I25" s="461"/>
      <c r="J25" s="460"/>
      <c r="K25" s="461"/>
    </row>
    <row r="26" spans="1:11" ht="48" customHeight="1" x14ac:dyDescent="0.35">
      <c r="A26" s="452"/>
      <c r="B26" s="456" t="s">
        <v>583</v>
      </c>
      <c r="C26" s="1056" t="s">
        <v>584</v>
      </c>
      <c r="D26" s="1057"/>
      <c r="E26" s="1057"/>
      <c r="F26" s="1057"/>
      <c r="G26" s="1058"/>
      <c r="H26" s="458">
        <f>H23-J26</f>
        <v>751085014.36999917</v>
      </c>
      <c r="I26" s="459">
        <f>I23-K26</f>
        <v>3847</v>
      </c>
      <c r="J26" s="458">
        <v>0</v>
      </c>
      <c r="K26" s="459">
        <v>0</v>
      </c>
    </row>
    <row r="27" spans="1:11" ht="48" customHeight="1" x14ac:dyDescent="0.35">
      <c r="A27" s="452"/>
      <c r="B27" s="456" t="s">
        <v>562</v>
      </c>
      <c r="C27" s="1056" t="s">
        <v>585</v>
      </c>
      <c r="D27" s="1057"/>
      <c r="E27" s="1057"/>
      <c r="F27" s="1057"/>
      <c r="G27" s="1058"/>
      <c r="H27" s="458">
        <f t="shared" ref="H27:H30" si="1">H26-J27</f>
        <v>751085014.36999917</v>
      </c>
      <c r="I27" s="459">
        <f t="shared" ref="I27:I30" si="2">I26-K27</f>
        <v>3847</v>
      </c>
      <c r="J27" s="458">
        <v>0</v>
      </c>
      <c r="K27" s="459">
        <v>0</v>
      </c>
    </row>
    <row r="28" spans="1:11" ht="48" customHeight="1" x14ac:dyDescent="0.35">
      <c r="A28" s="452"/>
      <c r="B28" s="456" t="s">
        <v>586</v>
      </c>
      <c r="C28" s="1056" t="s">
        <v>832</v>
      </c>
      <c r="D28" s="1057"/>
      <c r="E28" s="1057"/>
      <c r="F28" s="1057"/>
      <c r="G28" s="1058"/>
      <c r="H28" s="458">
        <f t="shared" si="1"/>
        <v>751085014.36999917</v>
      </c>
      <c r="I28" s="459">
        <f t="shared" si="2"/>
        <v>3847</v>
      </c>
      <c r="J28" s="458">
        <v>0</v>
      </c>
      <c r="K28" s="459">
        <v>0</v>
      </c>
    </row>
    <row r="29" spans="1:11" ht="48" customHeight="1" x14ac:dyDescent="0.35">
      <c r="A29" s="452"/>
      <c r="B29" s="456" t="s">
        <v>587</v>
      </c>
      <c r="C29" s="1056" t="s">
        <v>588</v>
      </c>
      <c r="D29" s="1057"/>
      <c r="E29" s="1057"/>
      <c r="F29" s="1057"/>
      <c r="G29" s="1058"/>
      <c r="H29" s="458">
        <f t="shared" si="1"/>
        <v>751085014.36999917</v>
      </c>
      <c r="I29" s="459">
        <f t="shared" si="2"/>
        <v>3847</v>
      </c>
      <c r="J29" s="458">
        <v>0</v>
      </c>
      <c r="K29" s="459">
        <v>0</v>
      </c>
    </row>
    <row r="30" spans="1:11" ht="48" customHeight="1" x14ac:dyDescent="0.35">
      <c r="A30" s="452"/>
      <c r="B30" s="456" t="s">
        <v>589</v>
      </c>
      <c r="C30" s="1056" t="s">
        <v>590</v>
      </c>
      <c r="D30" s="1057"/>
      <c r="E30" s="1057"/>
      <c r="F30" s="1057"/>
      <c r="G30" s="1058"/>
      <c r="H30" s="458">
        <f t="shared" si="1"/>
        <v>751085014.36999917</v>
      </c>
      <c r="I30" s="459">
        <f t="shared" si="2"/>
        <v>3847</v>
      </c>
      <c r="J30" s="458">
        <v>0</v>
      </c>
      <c r="K30" s="459">
        <v>0</v>
      </c>
    </row>
    <row r="31" spans="1:11" ht="48" customHeight="1" x14ac:dyDescent="0.35">
      <c r="A31" s="452"/>
      <c r="B31" s="456" t="s">
        <v>591</v>
      </c>
      <c r="C31" s="1056" t="s">
        <v>592</v>
      </c>
      <c r="D31" s="1057"/>
      <c r="E31" s="1057"/>
      <c r="F31" s="1057"/>
      <c r="G31" s="1058"/>
      <c r="H31" s="460"/>
      <c r="I31" s="461"/>
      <c r="J31" s="460"/>
      <c r="K31" s="461"/>
    </row>
    <row r="32" spans="1:11" ht="48" customHeight="1" x14ac:dyDescent="0.35">
      <c r="A32" s="452"/>
      <c r="B32" s="456" t="s">
        <v>593</v>
      </c>
      <c r="C32" s="1056" t="s">
        <v>594</v>
      </c>
      <c r="D32" s="1057"/>
      <c r="E32" s="1057"/>
      <c r="F32" s="1057"/>
      <c r="G32" s="1058"/>
      <c r="H32" s="458">
        <f>H30-J32</f>
        <v>751085014.36999917</v>
      </c>
      <c r="I32" s="459">
        <f>I30-K32</f>
        <v>3847</v>
      </c>
      <c r="J32" s="458">
        <v>0</v>
      </c>
      <c r="K32" s="459">
        <v>0</v>
      </c>
    </row>
    <row r="33" spans="1:11" ht="48" customHeight="1" x14ac:dyDescent="0.35">
      <c r="A33" s="452"/>
      <c r="B33" s="456" t="s">
        <v>595</v>
      </c>
      <c r="C33" s="1056" t="s">
        <v>596</v>
      </c>
      <c r="D33" s="1057"/>
      <c r="E33" s="1057"/>
      <c r="F33" s="1057"/>
      <c r="G33" s="1058"/>
      <c r="H33" s="458">
        <f>H32-J33</f>
        <v>751085014.36999917</v>
      </c>
      <c r="I33" s="459">
        <f>I32-K33</f>
        <v>3847</v>
      </c>
      <c r="J33" s="458">
        <v>0</v>
      </c>
      <c r="K33" s="459">
        <v>0</v>
      </c>
    </row>
    <row r="34" spans="1:11" ht="48" customHeight="1" x14ac:dyDescent="0.35">
      <c r="A34" s="452"/>
      <c r="B34" s="456" t="s">
        <v>597</v>
      </c>
      <c r="C34" s="1056" t="s">
        <v>598</v>
      </c>
      <c r="D34" s="1057"/>
      <c r="E34" s="1057"/>
      <c r="F34" s="1057"/>
      <c r="G34" s="1058"/>
      <c r="H34" s="458">
        <f t="shared" ref="H34:H36" si="3">H33-J34</f>
        <v>751085014.36999917</v>
      </c>
      <c r="I34" s="459">
        <f t="shared" ref="I34:I36" si="4">I33-K34</f>
        <v>3847</v>
      </c>
      <c r="J34" s="458">
        <v>0</v>
      </c>
      <c r="K34" s="459">
        <v>0</v>
      </c>
    </row>
    <row r="35" spans="1:11" ht="48" customHeight="1" x14ac:dyDescent="0.35">
      <c r="A35" s="452"/>
      <c r="B35" s="456" t="s">
        <v>599</v>
      </c>
      <c r="C35" s="1056" t="s">
        <v>600</v>
      </c>
      <c r="D35" s="1057"/>
      <c r="E35" s="1057"/>
      <c r="F35" s="1057"/>
      <c r="G35" s="1058"/>
      <c r="H35" s="458">
        <f t="shared" si="3"/>
        <v>751085014.36999917</v>
      </c>
      <c r="I35" s="459">
        <f t="shared" si="4"/>
        <v>3847</v>
      </c>
      <c r="J35" s="458">
        <v>0</v>
      </c>
      <c r="K35" s="459">
        <v>0</v>
      </c>
    </row>
    <row r="36" spans="1:11" ht="48" customHeight="1" x14ac:dyDescent="0.35">
      <c r="A36" s="452"/>
      <c r="B36" s="456" t="s">
        <v>601</v>
      </c>
      <c r="C36" s="1068" t="s">
        <v>602</v>
      </c>
      <c r="D36" s="1069"/>
      <c r="E36" s="1069"/>
      <c r="F36" s="1069"/>
      <c r="G36" s="1070"/>
      <c r="H36" s="458">
        <f t="shared" si="3"/>
        <v>751085014.36999917</v>
      </c>
      <c r="I36" s="459">
        <f t="shared" si="4"/>
        <v>3847</v>
      </c>
      <c r="J36" s="458">
        <v>0</v>
      </c>
      <c r="K36" s="459">
        <v>0</v>
      </c>
    </row>
    <row r="37" spans="1:11" ht="48" customHeight="1" thickBot="1" x14ac:dyDescent="0.4">
      <c r="A37" s="452"/>
      <c r="B37" s="456" t="s">
        <v>603</v>
      </c>
      <c r="C37" s="1059" t="s">
        <v>604</v>
      </c>
      <c r="D37" s="1060"/>
      <c r="E37" s="1060"/>
      <c r="F37" s="1060"/>
      <c r="G37" s="1061"/>
      <c r="H37" s="463"/>
      <c r="I37" s="464"/>
      <c r="J37" s="463"/>
      <c r="K37" s="465"/>
    </row>
    <row r="38" spans="1:11" ht="32.15" customHeight="1" thickBot="1" x14ac:dyDescent="0.4">
      <c r="B38" s="1062" t="s">
        <v>612</v>
      </c>
      <c r="C38" s="1063"/>
      <c r="D38" s="1063"/>
      <c r="E38" s="1063"/>
      <c r="F38" s="1063"/>
      <c r="G38" s="1064"/>
      <c r="H38" s="466"/>
      <c r="I38" s="446"/>
    </row>
    <row r="39" spans="1:11" ht="37.5" customHeight="1" x14ac:dyDescent="0.35">
      <c r="B39" s="467" t="s">
        <v>563</v>
      </c>
      <c r="C39" s="1065" t="s">
        <v>613</v>
      </c>
      <c r="D39" s="1066"/>
      <c r="E39" s="1066"/>
      <c r="F39" s="1066"/>
      <c r="G39" s="1067"/>
      <c r="H39" s="442">
        <f>H36-J39</f>
        <v>751085014.36999917</v>
      </c>
      <c r="I39" s="443">
        <f>I36-K39</f>
        <v>3847</v>
      </c>
      <c r="J39" s="468">
        <v>0</v>
      </c>
      <c r="K39" s="469">
        <v>0</v>
      </c>
    </row>
    <row r="40" spans="1:11" ht="37.5" customHeight="1" x14ac:dyDescent="0.35">
      <c r="B40" s="471" t="s">
        <v>564</v>
      </c>
      <c r="C40" s="1046" t="s">
        <v>614</v>
      </c>
      <c r="D40" s="1047"/>
      <c r="E40" s="1047"/>
      <c r="F40" s="1047"/>
      <c r="G40" s="1048"/>
      <c r="H40" s="458">
        <f t="shared" ref="H40" si="5">H39-J40</f>
        <v>751085014.36999917</v>
      </c>
      <c r="I40" s="459">
        <f t="shared" ref="I40" si="6">I39-K40</f>
        <v>3847</v>
      </c>
      <c r="J40" s="474">
        <v>0</v>
      </c>
      <c r="K40" s="475">
        <v>0</v>
      </c>
    </row>
    <row r="41" spans="1:11" ht="37.5" customHeight="1" x14ac:dyDescent="0.35">
      <c r="B41" s="471" t="s">
        <v>565</v>
      </c>
      <c r="C41" s="1046" t="s">
        <v>615</v>
      </c>
      <c r="D41" s="1047"/>
      <c r="E41" s="1047"/>
      <c r="F41" s="1047"/>
      <c r="G41" s="1048"/>
      <c r="H41" s="460"/>
      <c r="I41" s="461"/>
      <c r="J41" s="460"/>
      <c r="K41" s="461"/>
    </row>
    <row r="42" spans="1:11" ht="37.5" customHeight="1" x14ac:dyDescent="0.35">
      <c r="B42" s="471" t="s">
        <v>566</v>
      </c>
      <c r="C42" s="1046" t="s">
        <v>616</v>
      </c>
      <c r="D42" s="1047"/>
      <c r="E42" s="1047"/>
      <c r="F42" s="1047"/>
      <c r="G42" s="1048"/>
      <c r="H42" s="460"/>
      <c r="I42" s="461"/>
      <c r="J42" s="460"/>
      <c r="K42" s="461"/>
    </row>
    <row r="43" spans="1:11" ht="37.5" customHeight="1" x14ac:dyDescent="0.35">
      <c r="B43" s="471" t="s">
        <v>567</v>
      </c>
      <c r="C43" s="1046" t="s">
        <v>617</v>
      </c>
      <c r="D43" s="1047"/>
      <c r="E43" s="1047"/>
      <c r="F43" s="1047"/>
      <c r="G43" s="1048"/>
      <c r="H43" s="460"/>
      <c r="I43" s="461"/>
      <c r="J43" s="460"/>
      <c r="K43" s="461"/>
    </row>
    <row r="44" spans="1:11" ht="37.5" customHeight="1" x14ac:dyDescent="0.35">
      <c r="B44" s="471" t="s">
        <v>568</v>
      </c>
      <c r="C44" s="1046" t="s">
        <v>618</v>
      </c>
      <c r="D44" s="1047"/>
      <c r="E44" s="1047"/>
      <c r="F44" s="1047"/>
      <c r="G44" s="1048"/>
      <c r="H44" s="460"/>
      <c r="I44" s="461"/>
      <c r="J44" s="460"/>
      <c r="K44" s="461"/>
    </row>
    <row r="45" spans="1:11" ht="37.5" customHeight="1" x14ac:dyDescent="0.35">
      <c r="B45" s="471" t="s">
        <v>581</v>
      </c>
      <c r="C45" s="1046" t="s">
        <v>619</v>
      </c>
      <c r="D45" s="1047"/>
      <c r="E45" s="1047"/>
      <c r="F45" s="1047"/>
      <c r="G45" s="1048"/>
      <c r="H45" s="460"/>
      <c r="I45" s="461"/>
      <c r="J45" s="460"/>
      <c r="K45" s="461"/>
    </row>
    <row r="46" spans="1:11" ht="37.5" customHeight="1" x14ac:dyDescent="0.35">
      <c r="B46" s="471" t="s">
        <v>583</v>
      </c>
      <c r="C46" s="1046" t="s">
        <v>620</v>
      </c>
      <c r="D46" s="1047"/>
      <c r="E46" s="1047"/>
      <c r="F46" s="1047"/>
      <c r="G46" s="1048"/>
      <c r="H46" s="460"/>
      <c r="I46" s="461"/>
      <c r="J46" s="460"/>
      <c r="K46" s="461"/>
    </row>
    <row r="47" spans="1:11" ht="37.5" customHeight="1" x14ac:dyDescent="0.35">
      <c r="B47" s="471" t="s">
        <v>562</v>
      </c>
      <c r="C47" s="1046" t="s">
        <v>621</v>
      </c>
      <c r="D47" s="1047"/>
      <c r="E47" s="1047"/>
      <c r="F47" s="1047"/>
      <c r="G47" s="1048"/>
      <c r="H47" s="460"/>
      <c r="I47" s="461"/>
      <c r="J47" s="460"/>
      <c r="K47" s="461"/>
    </row>
    <row r="48" spans="1:11" ht="37.5" customHeight="1" x14ac:dyDescent="0.35">
      <c r="B48" s="471" t="s">
        <v>586</v>
      </c>
      <c r="C48" s="1046" t="s">
        <v>622</v>
      </c>
      <c r="D48" s="1047"/>
      <c r="E48" s="1047"/>
      <c r="F48" s="1047"/>
      <c r="G48" s="1048"/>
      <c r="H48" s="460"/>
      <c r="I48" s="461"/>
      <c r="J48" s="460"/>
      <c r="K48" s="461"/>
    </row>
    <row r="49" spans="2:11" ht="37.5" customHeight="1" x14ac:dyDescent="0.35">
      <c r="B49" s="471" t="s">
        <v>587</v>
      </c>
      <c r="C49" s="1046" t="s">
        <v>623</v>
      </c>
      <c r="D49" s="1047"/>
      <c r="E49" s="1047"/>
      <c r="F49" s="1047"/>
      <c r="G49" s="1048"/>
      <c r="H49" s="460"/>
      <c r="I49" s="461"/>
      <c r="J49" s="460"/>
      <c r="K49" s="461"/>
    </row>
    <row r="50" spans="2:11" ht="37.5" customHeight="1" x14ac:dyDescent="0.35">
      <c r="B50" s="471" t="s">
        <v>589</v>
      </c>
      <c r="C50" s="1046" t="s">
        <v>624</v>
      </c>
      <c r="D50" s="1047"/>
      <c r="E50" s="1047"/>
      <c r="F50" s="1047"/>
      <c r="G50" s="1048"/>
      <c r="H50" s="460"/>
      <c r="I50" s="461"/>
      <c r="J50" s="460"/>
      <c r="K50" s="461"/>
    </row>
    <row r="51" spans="2:11" ht="37.5" customHeight="1" x14ac:dyDescent="0.35">
      <c r="B51" s="471" t="s">
        <v>591</v>
      </c>
      <c r="C51" s="1046" t="s">
        <v>625</v>
      </c>
      <c r="D51" s="1047"/>
      <c r="E51" s="1047"/>
      <c r="F51" s="1047"/>
      <c r="G51" s="1048"/>
      <c r="H51" s="460"/>
      <c r="I51" s="461"/>
      <c r="J51" s="460"/>
      <c r="K51" s="461"/>
    </row>
    <row r="52" spans="2:11" ht="37.5" customHeight="1" x14ac:dyDescent="0.35">
      <c r="B52" s="471" t="s">
        <v>593</v>
      </c>
      <c r="C52" s="1046" t="s">
        <v>626</v>
      </c>
      <c r="D52" s="1047"/>
      <c r="E52" s="1047"/>
      <c r="F52" s="1047"/>
      <c r="G52" s="1048"/>
      <c r="H52" s="460"/>
      <c r="I52" s="461"/>
      <c r="J52" s="460"/>
      <c r="K52" s="461"/>
    </row>
    <row r="53" spans="2:11" ht="37.5" customHeight="1" x14ac:dyDescent="0.35">
      <c r="B53" s="471" t="s">
        <v>595</v>
      </c>
      <c r="C53" s="1046" t="s">
        <v>627</v>
      </c>
      <c r="D53" s="1047"/>
      <c r="E53" s="1047"/>
      <c r="F53" s="1047"/>
      <c r="G53" s="1048"/>
      <c r="H53" s="460"/>
      <c r="I53" s="461"/>
      <c r="J53" s="460"/>
      <c r="K53" s="461"/>
    </row>
    <row r="54" spans="2:11" ht="37.5" customHeight="1" x14ac:dyDescent="0.35">
      <c r="B54" s="471" t="s">
        <v>597</v>
      </c>
      <c r="C54" s="1046" t="s">
        <v>628</v>
      </c>
      <c r="D54" s="1047"/>
      <c r="E54" s="1047"/>
      <c r="F54" s="1047"/>
      <c r="G54" s="1048"/>
      <c r="H54" s="460"/>
      <c r="I54" s="461"/>
      <c r="J54" s="460"/>
      <c r="K54" s="461"/>
    </row>
    <row r="55" spans="2:11" ht="37.5" customHeight="1" x14ac:dyDescent="0.35">
      <c r="B55" s="471" t="s">
        <v>629</v>
      </c>
      <c r="C55" s="1046" t="s">
        <v>630</v>
      </c>
      <c r="D55" s="1047"/>
      <c r="E55" s="1047"/>
      <c r="F55" s="1047"/>
      <c r="G55" s="1048"/>
      <c r="H55" s="460"/>
      <c r="I55" s="461"/>
      <c r="J55" s="460"/>
      <c r="K55" s="461"/>
    </row>
    <row r="56" spans="2:11" ht="37.5" customHeight="1" x14ac:dyDescent="0.35">
      <c r="B56" s="471" t="s">
        <v>601</v>
      </c>
      <c r="C56" s="1046" t="s">
        <v>631</v>
      </c>
      <c r="D56" s="1047"/>
      <c r="E56" s="1047"/>
      <c r="F56" s="1047"/>
      <c r="G56" s="1048"/>
      <c r="H56" s="460"/>
      <c r="I56" s="461"/>
      <c r="J56" s="460"/>
      <c r="K56" s="461"/>
    </row>
    <row r="57" spans="2:11" ht="37.5" customHeight="1" x14ac:dyDescent="0.35">
      <c r="B57" s="471" t="s">
        <v>603</v>
      </c>
      <c r="C57" s="1046" t="s">
        <v>632</v>
      </c>
      <c r="D57" s="1047"/>
      <c r="E57" s="1047"/>
      <c r="F57" s="1047"/>
      <c r="G57" s="1048"/>
      <c r="H57" s="460"/>
      <c r="I57" s="461"/>
      <c r="J57" s="460"/>
      <c r="K57" s="461"/>
    </row>
    <row r="58" spans="2:11" ht="37.5" customHeight="1" x14ac:dyDescent="0.35">
      <c r="B58" s="471" t="s">
        <v>633</v>
      </c>
      <c r="C58" s="1046" t="s">
        <v>634</v>
      </c>
      <c r="D58" s="1047"/>
      <c r="E58" s="1047"/>
      <c r="F58" s="1047"/>
      <c r="G58" s="1048"/>
      <c r="H58" s="460"/>
      <c r="I58" s="461"/>
      <c r="J58" s="460"/>
      <c r="K58" s="461"/>
    </row>
    <row r="59" spans="2:11" ht="37.5" customHeight="1" x14ac:dyDescent="0.35">
      <c r="B59" s="471" t="s">
        <v>635</v>
      </c>
      <c r="C59" s="1046" t="s">
        <v>636</v>
      </c>
      <c r="D59" s="1047"/>
      <c r="E59" s="1047"/>
      <c r="F59" s="1047"/>
      <c r="G59" s="1048"/>
      <c r="H59" s="460"/>
      <c r="I59" s="461"/>
      <c r="J59" s="460"/>
      <c r="K59" s="461"/>
    </row>
    <row r="60" spans="2:11" ht="37.5" customHeight="1" x14ac:dyDescent="0.35">
      <c r="B60" s="471" t="s">
        <v>637</v>
      </c>
      <c r="C60" s="1046" t="s">
        <v>638</v>
      </c>
      <c r="D60" s="1047"/>
      <c r="E60" s="1047"/>
      <c r="F60" s="1047"/>
      <c r="G60" s="1048"/>
      <c r="H60" s="460"/>
      <c r="I60" s="461"/>
      <c r="J60" s="460"/>
      <c r="K60" s="461"/>
    </row>
    <row r="61" spans="2:11" ht="37.5" customHeight="1" x14ac:dyDescent="0.35">
      <c r="B61" s="471" t="s">
        <v>639</v>
      </c>
      <c r="C61" s="1046" t="s">
        <v>640</v>
      </c>
      <c r="D61" s="1047"/>
      <c r="E61" s="1047"/>
      <c r="F61" s="1047"/>
      <c r="G61" s="1048"/>
      <c r="H61" s="460"/>
      <c r="I61" s="461"/>
      <c r="J61" s="460"/>
      <c r="K61" s="461"/>
    </row>
    <row r="62" spans="2:11" ht="37.5" customHeight="1" x14ac:dyDescent="0.35">
      <c r="B62" s="470" t="s">
        <v>641</v>
      </c>
      <c r="C62" s="1046" t="s">
        <v>642</v>
      </c>
      <c r="D62" s="1047"/>
      <c r="E62" s="1047"/>
      <c r="F62" s="1047"/>
      <c r="G62" s="1048"/>
      <c r="H62" s="460"/>
      <c r="I62" s="461"/>
      <c r="J62" s="460"/>
      <c r="K62" s="461"/>
    </row>
    <row r="63" spans="2:11" ht="37.5" customHeight="1" x14ac:dyDescent="0.35">
      <c r="B63" s="470" t="s">
        <v>643</v>
      </c>
      <c r="C63" s="1046" t="s">
        <v>644</v>
      </c>
      <c r="D63" s="1047"/>
      <c r="E63" s="1047"/>
      <c r="F63" s="1047"/>
      <c r="G63" s="1048"/>
      <c r="H63" s="460"/>
      <c r="I63" s="461"/>
      <c r="J63" s="460"/>
      <c r="K63" s="461"/>
    </row>
    <row r="64" spans="2:11" ht="37.5" customHeight="1" x14ac:dyDescent="0.35">
      <c r="B64" s="470" t="s">
        <v>645</v>
      </c>
      <c r="C64" s="1046" t="s">
        <v>646</v>
      </c>
      <c r="D64" s="1047"/>
      <c r="E64" s="1047"/>
      <c r="F64" s="1047"/>
      <c r="G64" s="1048"/>
      <c r="H64" s="460"/>
      <c r="I64" s="462"/>
      <c r="J64" s="460"/>
      <c r="K64" s="461"/>
    </row>
    <row r="65" spans="2:39" ht="37.5" customHeight="1" x14ac:dyDescent="0.35">
      <c r="B65" s="470" t="s">
        <v>647</v>
      </c>
      <c r="C65" s="1046" t="s">
        <v>648</v>
      </c>
      <c r="D65" s="1047"/>
      <c r="E65" s="1047"/>
      <c r="F65" s="1047"/>
      <c r="G65" s="1048"/>
      <c r="H65" s="460"/>
      <c r="I65" s="462"/>
      <c r="J65" s="460"/>
      <c r="K65" s="461"/>
    </row>
    <row r="66" spans="2:39" ht="37.5" customHeight="1" thickBot="1" x14ac:dyDescent="0.4">
      <c r="B66" s="476" t="s">
        <v>649</v>
      </c>
      <c r="C66" s="1059" t="s">
        <v>650</v>
      </c>
      <c r="D66" s="1060"/>
      <c r="E66" s="1060"/>
      <c r="F66" s="1060"/>
      <c r="G66" s="1061"/>
      <c r="H66" s="463"/>
      <c r="I66" s="464"/>
      <c r="J66" s="463"/>
      <c r="K66" s="465"/>
    </row>
    <row r="67" spans="2:39" x14ac:dyDescent="0.35">
      <c r="B67" s="413"/>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c r="AD67" s="435"/>
      <c r="AE67" s="435"/>
      <c r="AF67" s="435"/>
      <c r="AG67" s="435"/>
      <c r="AH67" s="435"/>
      <c r="AI67" s="435"/>
      <c r="AJ67" s="435"/>
      <c r="AK67" s="435"/>
      <c r="AL67" s="435"/>
      <c r="AM67" s="435"/>
    </row>
    <row r="68" spans="2:39" x14ac:dyDescent="0.35">
      <c r="B68" s="413"/>
      <c r="G68" s="435"/>
      <c r="J68" s="472" t="s">
        <v>569</v>
      </c>
      <c r="K68" s="472"/>
      <c r="L68" s="472" t="s">
        <v>570</v>
      </c>
    </row>
  </sheetData>
  <mergeCells count="51">
    <mergeCell ref="C28:G28"/>
    <mergeCell ref="B14:G14"/>
    <mergeCell ref="B18:G18"/>
    <mergeCell ref="C23:G23"/>
    <mergeCell ref="C24:G24"/>
    <mergeCell ref="C25:G25"/>
    <mergeCell ref="C26:G26"/>
    <mergeCell ref="C27:G27"/>
    <mergeCell ref="C35:G35"/>
    <mergeCell ref="C36:G36"/>
    <mergeCell ref="C37:G37"/>
    <mergeCell ref="C29:G29"/>
    <mergeCell ref="C30:G30"/>
    <mergeCell ref="C31:G31"/>
    <mergeCell ref="C32:G32"/>
    <mergeCell ref="C33:G33"/>
    <mergeCell ref="C34:G34"/>
    <mergeCell ref="B38:G38"/>
    <mergeCell ref="C41:G41"/>
    <mergeCell ref="C42:G42"/>
    <mergeCell ref="C43:G43"/>
    <mergeCell ref="C44:G44"/>
    <mergeCell ref="C39:G39"/>
    <mergeCell ref="C40:G40"/>
    <mergeCell ref="C64:G64"/>
    <mergeCell ref="C65:G65"/>
    <mergeCell ref="C66:G66"/>
    <mergeCell ref="C50:G50"/>
    <mergeCell ref="C45:G45"/>
    <mergeCell ref="C54:G54"/>
    <mergeCell ref="C55:G55"/>
    <mergeCell ref="C56:G56"/>
    <mergeCell ref="C46:G46"/>
    <mergeCell ref="C47:G47"/>
    <mergeCell ref="C48:G48"/>
    <mergeCell ref="C49:G49"/>
    <mergeCell ref="C63:G63"/>
    <mergeCell ref="C57:G57"/>
    <mergeCell ref="C58:G58"/>
    <mergeCell ref="C59:G59"/>
    <mergeCell ref="E3:G6"/>
    <mergeCell ref="C19:G19"/>
    <mergeCell ref="C20:G20"/>
    <mergeCell ref="C21:G21"/>
    <mergeCell ref="C22:G22"/>
    <mergeCell ref="C60:G60"/>
    <mergeCell ref="C61:G61"/>
    <mergeCell ref="C62:G62"/>
    <mergeCell ref="C51:G51"/>
    <mergeCell ref="C52:G52"/>
    <mergeCell ref="C53:G53"/>
  </mergeCells>
  <conditionalFormatting sqref="H17:I17">
    <cfRule type="cellIs" dxfId="52" priority="1" operator="equal">
      <formula>"KO"</formula>
    </cfRule>
    <cfRule type="cellIs" dxfId="51" priority="2" operator="equal">
      <formula>"OK"</formula>
    </cfRule>
  </conditionalFormatting>
  <pageMargins left="0.7" right="0.7" top="0.75" bottom="0.75" header="0.3" footer="0.3"/>
  <pageSetup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249977111117893"/>
  </sheetPr>
  <dimension ref="A2:DA88"/>
  <sheetViews>
    <sheetView showGridLines="0" topLeftCell="D1" zoomScaleNormal="100" zoomScaleSheetLayoutView="40" workbookViewId="0">
      <selection activeCell="Q14" sqref="Q14:Q15"/>
    </sheetView>
  </sheetViews>
  <sheetFormatPr defaultColWidth="9.1796875" defaultRowHeight="12.5" x14ac:dyDescent="0.25"/>
  <cols>
    <col min="1" max="1" width="1.1796875" style="172" customWidth="1"/>
    <col min="2" max="2" width="31.54296875" bestFit="1" customWidth="1"/>
    <col min="3" max="3" width="17.81640625" bestFit="1" customWidth="1"/>
    <col min="4" max="4" width="14.81640625" bestFit="1" customWidth="1"/>
    <col min="5" max="12" width="14.54296875" customWidth="1"/>
    <col min="13" max="13" width="14.81640625" customWidth="1"/>
    <col min="14" max="14" width="15.54296875" bestFit="1" customWidth="1"/>
    <col min="15" max="16" width="18.54296875" bestFit="1" customWidth="1"/>
    <col min="17" max="17" width="15.54296875" customWidth="1"/>
    <col min="18" max="33" width="14.54296875" customWidth="1"/>
    <col min="34" max="34" width="15.54296875" customWidth="1"/>
    <col min="35" max="35" width="15.54296875" bestFit="1" customWidth="1"/>
    <col min="36" max="44" width="15.54296875" customWidth="1"/>
    <col min="45" max="45" width="20.1796875" style="5" bestFit="1" customWidth="1"/>
    <col min="46" max="47" width="14.54296875" style="5" customWidth="1"/>
    <col min="48" max="48" width="20.1796875" style="5" bestFit="1" customWidth="1"/>
    <col min="49" max="50" width="14.54296875" style="5" customWidth="1"/>
    <col min="51" max="51" width="20.1796875" style="5" bestFit="1" customWidth="1"/>
    <col min="52" max="53" width="14.54296875" style="5" customWidth="1"/>
    <col min="54" max="54" width="2.54296875" customWidth="1"/>
    <col min="55" max="86" width="17.54296875" customWidth="1"/>
    <col min="87" max="95" width="16.453125" customWidth="1"/>
    <col min="96" max="96" width="17.54296875" customWidth="1"/>
    <col min="97" max="97" width="10.453125" bestFit="1" customWidth="1"/>
    <col min="98" max="99" width="17.54296875" customWidth="1"/>
    <col min="100" max="100" width="10.453125" bestFit="1" customWidth="1"/>
    <col min="101" max="102" width="17.54296875" customWidth="1"/>
    <col min="103" max="103" width="10.453125" bestFit="1" customWidth="1"/>
    <col min="104" max="104" width="17.54296875" customWidth="1"/>
    <col min="105" max="105" width="2.54296875" customWidth="1"/>
  </cols>
  <sheetData>
    <row r="2" spans="2:105" x14ac:dyDescent="0.25">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359"/>
      <c r="AT2" s="359"/>
      <c r="AU2" s="359"/>
      <c r="AV2" s="359"/>
      <c r="AW2" s="359"/>
      <c r="AX2" s="359"/>
      <c r="AY2" s="359"/>
      <c r="AZ2" s="359"/>
      <c r="BA2" s="359"/>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row>
    <row r="3" spans="2:105" ht="13" x14ac:dyDescent="0.25">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148"/>
      <c r="AE3" s="148"/>
      <c r="AF3" s="148"/>
      <c r="AG3" s="148"/>
      <c r="AH3" s="27"/>
      <c r="AI3" s="27"/>
      <c r="AJ3" s="27"/>
      <c r="AK3" s="27"/>
      <c r="AL3" s="27"/>
      <c r="AM3" s="27"/>
      <c r="AN3" s="27"/>
      <c r="AO3" s="27"/>
      <c r="AP3" s="27"/>
      <c r="AQ3" s="27"/>
      <c r="AR3" s="27"/>
      <c r="AS3" s="215"/>
      <c r="AT3" s="215"/>
      <c r="AU3" s="215"/>
      <c r="AV3" s="215"/>
      <c r="AW3" s="215"/>
      <c r="AX3" s="215"/>
      <c r="AY3" s="215"/>
      <c r="AZ3" s="215"/>
      <c r="BA3" s="215"/>
      <c r="BB3" s="27"/>
      <c r="CI3" s="144"/>
      <c r="CJ3" s="144"/>
      <c r="CK3" s="144"/>
      <c r="CL3" s="144"/>
      <c r="CM3" s="144"/>
      <c r="CN3" s="144"/>
      <c r="CO3" s="144"/>
      <c r="CP3" s="144"/>
      <c r="CQ3" s="144"/>
      <c r="CT3" s="144"/>
      <c r="CW3" s="144"/>
      <c r="CZ3" s="144"/>
      <c r="DA3" s="27"/>
    </row>
    <row r="4" spans="2:105" ht="13" x14ac:dyDescent="0.25">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148"/>
      <c r="AE4" s="148"/>
      <c r="AF4" s="148"/>
      <c r="AG4" s="148"/>
      <c r="AH4" s="27"/>
      <c r="AI4" s="27"/>
      <c r="AJ4" s="27"/>
      <c r="AK4" s="27"/>
      <c r="AL4" s="27"/>
      <c r="AM4" s="27"/>
      <c r="AN4" s="27"/>
      <c r="AO4" s="27"/>
      <c r="AP4" s="27"/>
      <c r="AQ4" s="27"/>
      <c r="AR4" s="27"/>
      <c r="AS4" s="215"/>
      <c r="AT4" s="215"/>
      <c r="AU4" s="215"/>
      <c r="AV4" s="215"/>
      <c r="AW4" s="215"/>
      <c r="AX4" s="215"/>
      <c r="AY4" s="215"/>
      <c r="AZ4" s="215"/>
      <c r="BA4" s="215"/>
      <c r="BB4" s="27"/>
      <c r="CI4" s="144"/>
      <c r="CJ4" s="144"/>
      <c r="CK4" s="144"/>
      <c r="CL4" s="144"/>
      <c r="CM4" s="144"/>
      <c r="CN4" s="144"/>
      <c r="CO4" s="144"/>
      <c r="CP4" s="144"/>
      <c r="CQ4" s="144"/>
      <c r="CT4" s="144"/>
      <c r="CW4" s="144"/>
      <c r="CZ4" s="144"/>
      <c r="DA4" s="27"/>
    </row>
    <row r="5" spans="2:105" ht="13" x14ac:dyDescent="0.25">
      <c r="B5" s="27"/>
      <c r="C5" s="27"/>
      <c r="D5" s="27"/>
      <c r="E5" s="27"/>
      <c r="F5" s="27"/>
      <c r="G5" s="27"/>
      <c r="H5" s="27"/>
      <c r="I5" s="27"/>
      <c r="J5" s="27"/>
      <c r="K5" s="27"/>
      <c r="L5" s="27"/>
      <c r="M5" s="27"/>
      <c r="N5" s="27"/>
      <c r="O5" s="27"/>
      <c r="P5" s="27"/>
      <c r="Q5" s="27"/>
      <c r="R5" s="27"/>
      <c r="S5" s="27"/>
      <c r="T5" s="27"/>
      <c r="U5" s="27"/>
      <c r="V5" s="27"/>
      <c r="W5" s="27"/>
      <c r="X5" s="215"/>
      <c r="Y5" s="27"/>
      <c r="Z5" s="27"/>
      <c r="AA5" s="27"/>
      <c r="AB5" s="27"/>
      <c r="AC5" s="27"/>
      <c r="AD5" s="148"/>
      <c r="AE5" s="148"/>
      <c r="AF5" s="148"/>
      <c r="AG5" s="148"/>
      <c r="AH5" s="27"/>
      <c r="AI5" s="27"/>
      <c r="AJ5" s="27"/>
      <c r="AK5" s="27"/>
      <c r="AL5" s="27"/>
      <c r="AM5" s="27"/>
      <c r="AN5" s="27"/>
      <c r="AO5" s="27"/>
      <c r="AP5" s="27"/>
      <c r="AQ5" s="27"/>
      <c r="AR5" s="27"/>
      <c r="AS5" s="215"/>
      <c r="AT5" s="215"/>
      <c r="AU5" s="215"/>
      <c r="AV5" s="215"/>
      <c r="AW5" s="215"/>
      <c r="AX5" s="215"/>
      <c r="AY5" s="215"/>
      <c r="AZ5" s="215"/>
      <c r="BA5" s="215"/>
      <c r="BB5" s="27"/>
      <c r="CI5" s="144"/>
      <c r="CJ5" s="144"/>
      <c r="CK5" s="144"/>
      <c r="CL5" s="144"/>
      <c r="CM5" s="144"/>
      <c r="CN5" s="144"/>
      <c r="CO5" s="144"/>
      <c r="CP5" s="144"/>
      <c r="CQ5" s="144"/>
      <c r="CT5" s="144"/>
      <c r="CW5" s="144"/>
      <c r="CZ5" s="144"/>
      <c r="DA5" s="27"/>
    </row>
    <row r="6" spans="2:105" x14ac:dyDescent="0.25">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148"/>
      <c r="AE6" s="148"/>
      <c r="AF6" s="148"/>
      <c r="AG6" s="148"/>
      <c r="AH6" s="27"/>
      <c r="AI6" s="215"/>
      <c r="AJ6" s="215"/>
      <c r="AK6" s="215"/>
      <c r="AL6" s="215"/>
      <c r="AM6" s="215"/>
      <c r="AN6" s="215"/>
      <c r="AO6" s="215"/>
      <c r="AP6" s="215"/>
      <c r="AQ6" s="215"/>
      <c r="AR6" s="215"/>
      <c r="AS6" s="215"/>
      <c r="AT6" s="215"/>
      <c r="AU6" s="215"/>
      <c r="AV6" s="215"/>
      <c r="AW6" s="215"/>
      <c r="AX6" s="215"/>
      <c r="AY6" s="215"/>
      <c r="AZ6" s="215"/>
      <c r="BA6" s="215"/>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row>
    <row r="7" spans="2:105" x14ac:dyDescent="0.25">
      <c r="AI7" s="5"/>
      <c r="AJ7" s="5"/>
      <c r="AK7" s="5"/>
      <c r="AL7" s="5"/>
      <c r="AM7" s="5"/>
      <c r="AN7" s="5"/>
      <c r="AO7" s="5"/>
      <c r="AP7" s="5"/>
      <c r="AQ7" s="5"/>
      <c r="AR7" s="5"/>
    </row>
    <row r="8" spans="2:105" ht="15.5" x14ac:dyDescent="0.35">
      <c r="B8" s="594" t="s">
        <v>730</v>
      </c>
      <c r="C8" s="595"/>
      <c r="D8" s="598"/>
      <c r="E8" s="598"/>
      <c r="F8" s="598"/>
      <c r="G8" s="598"/>
      <c r="H8" s="598"/>
      <c r="I8" s="598"/>
      <c r="J8" s="598"/>
      <c r="K8" s="598"/>
      <c r="L8" s="598"/>
      <c r="M8" s="598"/>
      <c r="N8" s="598"/>
      <c r="O8" s="598"/>
      <c r="P8" s="598"/>
      <c r="Q8" s="598"/>
      <c r="R8" s="598"/>
      <c r="S8" s="598"/>
      <c r="T8" s="598"/>
      <c r="U8" s="598"/>
      <c r="V8" s="598"/>
      <c r="W8" s="598"/>
      <c r="X8" s="598"/>
      <c r="Y8" s="598"/>
      <c r="Z8" s="598"/>
      <c r="AA8" s="598"/>
      <c r="AB8" s="598"/>
      <c r="AC8" s="598"/>
      <c r="AD8" s="598"/>
      <c r="AE8" s="598"/>
      <c r="AF8" s="598"/>
      <c r="AG8" s="617"/>
      <c r="AH8" s="617"/>
      <c r="AI8" s="617"/>
      <c r="AJ8" s="598"/>
      <c r="AK8" s="598"/>
      <c r="AL8" s="598"/>
      <c r="AM8" s="598"/>
      <c r="AN8" s="598"/>
      <c r="AO8" s="598"/>
      <c r="AP8" s="598"/>
      <c r="AQ8" s="598"/>
      <c r="AR8" s="598"/>
      <c r="AS8" s="618"/>
      <c r="AT8" s="618"/>
      <c r="AU8" s="619"/>
      <c r="AV8" s="618"/>
      <c r="AW8" s="618"/>
      <c r="AX8" s="619"/>
      <c r="AY8" s="618"/>
      <c r="AZ8" s="618"/>
      <c r="BA8" s="619"/>
      <c r="BB8" s="620"/>
      <c r="BC8" s="620"/>
      <c r="BD8" s="621"/>
      <c r="BE8" s="621"/>
      <c r="BF8" s="621"/>
      <c r="BG8" s="621"/>
      <c r="BH8" s="621"/>
      <c r="BI8" s="621"/>
      <c r="BJ8" s="621"/>
      <c r="BK8" s="621"/>
      <c r="BL8" s="621"/>
      <c r="BM8" s="621"/>
      <c r="BN8" s="621"/>
      <c r="BO8" s="621"/>
      <c r="BP8" s="621"/>
      <c r="BQ8" s="621"/>
      <c r="BR8" s="621"/>
      <c r="BS8" s="621"/>
      <c r="BT8" s="621"/>
      <c r="BU8" s="621"/>
      <c r="BV8" s="621"/>
      <c r="BW8" s="621"/>
      <c r="BX8" s="621"/>
      <c r="BY8" s="621"/>
      <c r="BZ8" s="621"/>
      <c r="CA8" s="621"/>
      <c r="CB8" s="621"/>
      <c r="CC8" s="621"/>
      <c r="CD8" s="621"/>
      <c r="CE8" s="621"/>
      <c r="CF8" s="621"/>
      <c r="CG8" s="621"/>
      <c r="CH8" s="621"/>
      <c r="CI8" s="620"/>
      <c r="CJ8" s="621"/>
      <c r="CK8" s="621"/>
      <c r="CL8" s="621"/>
      <c r="CM8" s="621"/>
      <c r="CN8" s="621"/>
      <c r="CO8" s="620"/>
      <c r="CP8" s="621"/>
      <c r="CQ8" s="621"/>
      <c r="CR8" s="620"/>
      <c r="CS8" s="620"/>
      <c r="CT8" s="620"/>
      <c r="CU8" s="620"/>
      <c r="CV8" s="620"/>
      <c r="CW8" s="620"/>
      <c r="CX8" s="620"/>
      <c r="CY8" s="620"/>
      <c r="CZ8" s="620"/>
      <c r="DA8" s="620"/>
    </row>
    <row r="9" spans="2:105" x14ac:dyDescent="0.25">
      <c r="BJ9" s="4"/>
    </row>
    <row r="10" spans="2:105" x14ac:dyDescent="0.25">
      <c r="N10" s="3"/>
      <c r="T10" s="5"/>
      <c r="AS10" s="360"/>
    </row>
    <row r="11" spans="2:105" ht="13.5" thickBot="1" x14ac:dyDescent="0.35">
      <c r="B11" s="2"/>
      <c r="O11" s="5"/>
      <c r="P11" s="3"/>
      <c r="Q11" s="3"/>
      <c r="R11" s="3"/>
    </row>
    <row r="12" spans="2:105" ht="17.25" customHeight="1" thickBot="1" x14ac:dyDescent="0.35">
      <c r="B12" s="2"/>
      <c r="C12" s="622" t="s">
        <v>212</v>
      </c>
      <c r="D12" s="622"/>
      <c r="E12" s="622"/>
      <c r="F12" s="622"/>
      <c r="G12" s="622"/>
      <c r="H12" s="622"/>
      <c r="I12" s="622"/>
      <c r="J12" s="622"/>
      <c r="K12" s="622"/>
      <c r="L12" s="622"/>
      <c r="M12" s="622"/>
      <c r="N12" s="622"/>
      <c r="O12" s="622"/>
      <c r="P12" s="622"/>
      <c r="Q12" s="622"/>
      <c r="R12" s="622"/>
      <c r="S12" s="622"/>
      <c r="T12" s="622"/>
      <c r="U12" s="622"/>
      <c r="V12" s="622"/>
      <c r="W12" s="622"/>
      <c r="X12" s="622"/>
      <c r="Y12" s="622"/>
      <c r="Z12" s="622"/>
      <c r="AA12" s="622"/>
      <c r="AB12" s="622"/>
      <c r="AC12" s="622"/>
      <c r="AD12" s="622"/>
      <c r="AE12" s="622"/>
      <c r="AF12" s="622"/>
      <c r="AG12" s="622"/>
      <c r="AH12" s="622"/>
      <c r="AI12" s="622"/>
      <c r="AJ12" s="622"/>
      <c r="AK12" s="622"/>
      <c r="AL12" s="622"/>
      <c r="AM12" s="622"/>
      <c r="AN12" s="622"/>
      <c r="AO12" s="622"/>
      <c r="AP12" s="622"/>
      <c r="AQ12" s="622"/>
      <c r="AR12" s="622"/>
      <c r="AS12" s="623"/>
      <c r="AT12" s="623"/>
      <c r="AU12" s="623"/>
      <c r="AV12" s="623"/>
      <c r="AW12" s="623"/>
      <c r="AX12" s="623"/>
      <c r="AY12" s="623"/>
      <c r="AZ12" s="623"/>
      <c r="BA12" s="623"/>
      <c r="BC12" s="333" t="s">
        <v>213</v>
      </c>
      <c r="BD12" s="334"/>
      <c r="BE12" s="334"/>
      <c r="BF12" s="334"/>
      <c r="BG12" s="334"/>
      <c r="BH12" s="334"/>
      <c r="BI12" s="334"/>
      <c r="BJ12" s="334"/>
      <c r="BK12" s="334"/>
      <c r="BL12" s="334"/>
      <c r="BM12" s="334"/>
      <c r="BN12" s="334"/>
      <c r="BO12" s="334"/>
      <c r="BP12" s="334"/>
      <c r="BQ12" s="334"/>
      <c r="BR12" s="334"/>
      <c r="BS12" s="334"/>
      <c r="BT12" s="334"/>
      <c r="BU12" s="334"/>
      <c r="BV12" s="334"/>
      <c r="BW12" s="334"/>
      <c r="BX12" s="334"/>
      <c r="BY12" s="334"/>
      <c r="BZ12" s="334"/>
      <c r="CA12" s="334"/>
      <c r="CB12" s="334"/>
      <c r="CC12" s="334"/>
      <c r="CD12" s="334"/>
      <c r="CE12" s="334"/>
      <c r="CF12" s="334"/>
      <c r="CG12" s="334"/>
      <c r="CH12" s="334"/>
      <c r="CI12" s="334"/>
      <c r="CJ12" s="334"/>
      <c r="CK12" s="334"/>
      <c r="CL12" s="334"/>
      <c r="CM12" s="334"/>
      <c r="CN12" s="334"/>
      <c r="CO12" s="334"/>
      <c r="CP12" s="334"/>
      <c r="CQ12" s="334"/>
      <c r="CR12" s="334"/>
      <c r="CS12" s="334"/>
      <c r="CT12" s="335"/>
      <c r="CU12" s="334"/>
      <c r="CV12" s="334"/>
      <c r="CW12" s="335"/>
      <c r="CX12" s="334"/>
      <c r="CY12" s="334"/>
      <c r="CZ12" s="335"/>
    </row>
    <row r="13" spans="2:105" ht="17.25" customHeight="1" thickBot="1" x14ac:dyDescent="0.35">
      <c r="B13" s="2"/>
      <c r="C13" s="624" t="s">
        <v>199</v>
      </c>
      <c r="D13" s="625"/>
      <c r="E13" s="625"/>
      <c r="F13" s="625"/>
      <c r="G13" s="625"/>
      <c r="H13" s="625"/>
      <c r="I13" s="625"/>
      <c r="J13" s="625"/>
      <c r="K13" s="625"/>
      <c r="L13" s="625"/>
      <c r="M13" s="625"/>
      <c r="N13" s="625"/>
      <c r="O13" s="626"/>
      <c r="P13" s="625"/>
      <c r="Q13" s="625"/>
      <c r="R13" s="624" t="s">
        <v>200</v>
      </c>
      <c r="S13" s="625"/>
      <c r="T13" s="625"/>
      <c r="U13" s="625"/>
      <c r="V13" s="625"/>
      <c r="W13" s="625"/>
      <c r="X13" s="625"/>
      <c r="Y13" s="625"/>
      <c r="Z13" s="625"/>
      <c r="AA13" s="625"/>
      <c r="AB13" s="625"/>
      <c r="AC13" s="625"/>
      <c r="AD13" s="625"/>
      <c r="AE13" s="625"/>
      <c r="AF13" s="625"/>
      <c r="AG13" s="625"/>
      <c r="AH13" s="625"/>
      <c r="AI13" s="625"/>
      <c r="AJ13" s="625"/>
      <c r="AK13" s="625"/>
      <c r="AL13" s="625"/>
      <c r="AM13" s="625"/>
      <c r="AN13" s="625"/>
      <c r="AO13" s="625"/>
      <c r="AP13" s="625"/>
      <c r="AQ13" s="625"/>
      <c r="AR13" s="625"/>
      <c r="AS13" s="627"/>
      <c r="AT13" s="627"/>
      <c r="AU13" s="627"/>
      <c r="AV13" s="627"/>
      <c r="AW13" s="627"/>
      <c r="AX13" s="627"/>
      <c r="AY13" s="627"/>
      <c r="AZ13" s="627"/>
      <c r="BA13" s="627"/>
      <c r="BC13" s="333" t="s">
        <v>199</v>
      </c>
      <c r="BD13" s="334"/>
      <c r="BE13" s="334"/>
      <c r="BF13" s="334"/>
      <c r="BG13" s="334"/>
      <c r="BH13" s="334"/>
      <c r="BI13" s="334"/>
      <c r="BJ13" s="334"/>
      <c r="BK13" s="334"/>
      <c r="BL13" s="334"/>
      <c r="BM13" s="334"/>
      <c r="BN13" s="335"/>
      <c r="BO13" s="335"/>
      <c r="BP13" s="335"/>
      <c r="BQ13" s="333" t="s">
        <v>200</v>
      </c>
      <c r="BR13" s="334"/>
      <c r="BS13" s="334"/>
      <c r="BT13" s="334"/>
      <c r="BU13" s="334"/>
      <c r="BV13" s="334"/>
      <c r="BW13" s="334"/>
      <c r="BX13" s="334"/>
      <c r="BY13" s="334"/>
      <c r="BZ13" s="334"/>
      <c r="CA13" s="334"/>
      <c r="CB13" s="334"/>
      <c r="CC13" s="334"/>
      <c r="CD13" s="334"/>
      <c r="CE13" s="334"/>
      <c r="CF13" s="334"/>
      <c r="CG13" s="334"/>
      <c r="CH13" s="334"/>
      <c r="CI13" s="334"/>
      <c r="CJ13" s="334"/>
      <c r="CK13" s="334"/>
      <c r="CL13" s="334"/>
      <c r="CM13" s="334"/>
      <c r="CN13" s="334"/>
      <c r="CO13" s="334"/>
      <c r="CP13" s="334"/>
      <c r="CQ13" s="334"/>
      <c r="CR13" s="334"/>
      <c r="CS13" s="334"/>
      <c r="CT13" s="334"/>
      <c r="CU13" s="334"/>
      <c r="CV13" s="334"/>
      <c r="CW13" s="334"/>
      <c r="CX13" s="334"/>
      <c r="CY13" s="334"/>
      <c r="CZ13" s="335"/>
    </row>
    <row r="14" spans="2:105" ht="52.5" customHeight="1" thickBot="1" x14ac:dyDescent="0.3">
      <c r="B14" s="1090" t="s">
        <v>666</v>
      </c>
      <c r="C14" s="1092" t="s">
        <v>167</v>
      </c>
      <c r="D14" s="1079" t="s">
        <v>900</v>
      </c>
      <c r="E14" s="1079" t="s">
        <v>136</v>
      </c>
      <c r="F14" s="1079" t="s">
        <v>137</v>
      </c>
      <c r="G14" s="1076" t="s">
        <v>841</v>
      </c>
      <c r="H14" s="1077"/>
      <c r="I14" s="1078"/>
      <c r="J14" s="1079" t="s">
        <v>138</v>
      </c>
      <c r="K14" s="1079" t="s">
        <v>219</v>
      </c>
      <c r="L14" s="1079" t="s">
        <v>220</v>
      </c>
      <c r="M14" s="1079" t="s">
        <v>901</v>
      </c>
      <c r="N14" s="1079" t="s">
        <v>902</v>
      </c>
      <c r="O14" s="1094" t="s">
        <v>232</v>
      </c>
      <c r="P14" s="1083" t="s">
        <v>233</v>
      </c>
      <c r="Q14" s="1083" t="s">
        <v>208</v>
      </c>
      <c r="R14" s="346" t="s">
        <v>201</v>
      </c>
      <c r="S14" s="346"/>
      <c r="T14" s="346"/>
      <c r="U14" s="346" t="s">
        <v>202</v>
      </c>
      <c r="V14" s="346"/>
      <c r="W14" s="346"/>
      <c r="X14" s="346" t="s">
        <v>203</v>
      </c>
      <c r="Y14" s="346"/>
      <c r="Z14" s="346"/>
      <c r="AA14" s="346" t="s">
        <v>847</v>
      </c>
      <c r="AB14" s="346"/>
      <c r="AC14" s="346"/>
      <c r="AD14" s="346" t="s">
        <v>204</v>
      </c>
      <c r="AE14" s="346"/>
      <c r="AF14" s="346"/>
      <c r="AG14" s="346" t="s">
        <v>240</v>
      </c>
      <c r="AH14" s="346"/>
      <c r="AI14" s="346"/>
      <c r="AJ14" s="346" t="s">
        <v>241</v>
      </c>
      <c r="AK14" s="346"/>
      <c r="AL14" s="346"/>
      <c r="AM14" s="346" t="s">
        <v>849</v>
      </c>
      <c r="AN14" s="346"/>
      <c r="AO14" s="346"/>
      <c r="AP14" s="346" t="s">
        <v>850</v>
      </c>
      <c r="AQ14" s="346"/>
      <c r="AR14" s="346"/>
      <c r="AS14" s="361" t="s">
        <v>234</v>
      </c>
      <c r="AT14" s="361"/>
      <c r="AU14" s="362"/>
      <c r="AV14" s="361" t="s">
        <v>235</v>
      </c>
      <c r="AW14" s="361"/>
      <c r="AX14" s="362"/>
      <c r="AY14" s="361" t="s">
        <v>208</v>
      </c>
      <c r="AZ14" s="361"/>
      <c r="BA14" s="362"/>
      <c r="BC14" s="1081" t="s">
        <v>167</v>
      </c>
      <c r="BD14" s="1074" t="s">
        <v>136</v>
      </c>
      <c r="BE14" s="1074" t="s">
        <v>137</v>
      </c>
      <c r="BF14" s="1085" t="s">
        <v>841</v>
      </c>
      <c r="BG14" s="1086"/>
      <c r="BH14" s="1087"/>
      <c r="BI14" s="1074" t="s">
        <v>138</v>
      </c>
      <c r="BJ14" s="1074" t="s">
        <v>219</v>
      </c>
      <c r="BK14" s="1074" t="s">
        <v>220</v>
      </c>
      <c r="BL14" s="1074" t="s">
        <v>901</v>
      </c>
      <c r="BM14" s="1074" t="s">
        <v>903</v>
      </c>
      <c r="BN14" s="1096" t="s">
        <v>232</v>
      </c>
      <c r="BO14" s="1096" t="s">
        <v>233</v>
      </c>
      <c r="BP14" s="1088" t="s">
        <v>208</v>
      </c>
      <c r="BQ14" s="396" t="s">
        <v>201</v>
      </c>
      <c r="BR14" s="396"/>
      <c r="BS14" s="396"/>
      <c r="BT14" s="396" t="s">
        <v>202</v>
      </c>
      <c r="BU14" s="396"/>
      <c r="BV14" s="396"/>
      <c r="BW14" s="396" t="s">
        <v>203</v>
      </c>
      <c r="BX14" s="396"/>
      <c r="BY14" s="396"/>
      <c r="BZ14" s="396" t="s">
        <v>847</v>
      </c>
      <c r="CA14" s="396"/>
      <c r="CB14" s="396"/>
      <c r="CC14" s="396" t="s">
        <v>204</v>
      </c>
      <c r="CD14" s="396"/>
      <c r="CE14" s="396"/>
      <c r="CF14" s="396" t="s">
        <v>242</v>
      </c>
      <c r="CG14" s="396"/>
      <c r="CH14" s="396"/>
      <c r="CI14" s="396" t="s">
        <v>241</v>
      </c>
      <c r="CJ14" s="396"/>
      <c r="CK14" s="396"/>
      <c r="CL14" s="396" t="s">
        <v>849</v>
      </c>
      <c r="CM14" s="396"/>
      <c r="CN14" s="396"/>
      <c r="CO14" s="396" t="s">
        <v>850</v>
      </c>
      <c r="CP14" s="396"/>
      <c r="CQ14" s="396"/>
      <c r="CR14" s="396" t="s">
        <v>234</v>
      </c>
      <c r="CS14" s="396"/>
      <c r="CT14" s="397"/>
      <c r="CU14" s="398" t="s">
        <v>235</v>
      </c>
      <c r="CV14" s="396"/>
      <c r="CW14" s="397"/>
      <c r="CX14" s="398" t="s">
        <v>208</v>
      </c>
      <c r="CY14" s="396"/>
      <c r="CZ14" s="399"/>
    </row>
    <row r="15" spans="2:105" ht="52.5" customHeight="1" thickBot="1" x14ac:dyDescent="0.3">
      <c r="B15" s="1091"/>
      <c r="C15" s="1093"/>
      <c r="D15" s="1080"/>
      <c r="E15" s="1080"/>
      <c r="F15" s="1080"/>
      <c r="G15" s="735" t="s">
        <v>865</v>
      </c>
      <c r="H15" s="737" t="s">
        <v>866</v>
      </c>
      <c r="I15" s="736" t="s">
        <v>867</v>
      </c>
      <c r="J15" s="1080"/>
      <c r="K15" s="1080"/>
      <c r="L15" s="1080"/>
      <c r="M15" s="1080"/>
      <c r="N15" s="1080"/>
      <c r="O15" s="1095"/>
      <c r="P15" s="1084"/>
      <c r="Q15" s="1084"/>
      <c r="R15" s="347" t="s">
        <v>205</v>
      </c>
      <c r="S15" s="347" t="s">
        <v>206</v>
      </c>
      <c r="T15" s="347" t="s">
        <v>207</v>
      </c>
      <c r="U15" s="347" t="s">
        <v>205</v>
      </c>
      <c r="V15" s="347" t="s">
        <v>206</v>
      </c>
      <c r="W15" s="347" t="s">
        <v>207</v>
      </c>
      <c r="X15" s="347" t="s">
        <v>205</v>
      </c>
      <c r="Y15" s="347" t="s">
        <v>206</v>
      </c>
      <c r="Z15" s="347" t="s">
        <v>207</v>
      </c>
      <c r="AA15" s="347" t="s">
        <v>205</v>
      </c>
      <c r="AB15" s="347" t="s">
        <v>206</v>
      </c>
      <c r="AC15" s="347" t="s">
        <v>207</v>
      </c>
      <c r="AD15" s="347" t="s">
        <v>205</v>
      </c>
      <c r="AE15" s="347" t="s">
        <v>206</v>
      </c>
      <c r="AF15" s="347" t="s">
        <v>207</v>
      </c>
      <c r="AG15" s="347" t="s">
        <v>205</v>
      </c>
      <c r="AH15" s="347" t="s">
        <v>206</v>
      </c>
      <c r="AI15" s="347" t="s">
        <v>207</v>
      </c>
      <c r="AJ15" s="347" t="s">
        <v>205</v>
      </c>
      <c r="AK15" s="347" t="s">
        <v>206</v>
      </c>
      <c r="AL15" s="347" t="s">
        <v>207</v>
      </c>
      <c r="AM15" s="347" t="s">
        <v>205</v>
      </c>
      <c r="AN15" s="347" t="s">
        <v>206</v>
      </c>
      <c r="AO15" s="347" t="s">
        <v>207</v>
      </c>
      <c r="AP15" s="347" t="s">
        <v>205</v>
      </c>
      <c r="AQ15" s="347" t="s">
        <v>206</v>
      </c>
      <c r="AR15" s="347" t="s">
        <v>207</v>
      </c>
      <c r="AS15" s="363" t="s">
        <v>205</v>
      </c>
      <c r="AT15" s="363" t="s">
        <v>206</v>
      </c>
      <c r="AU15" s="364" t="s">
        <v>207</v>
      </c>
      <c r="AV15" s="363" t="s">
        <v>205</v>
      </c>
      <c r="AW15" s="363" t="s">
        <v>206</v>
      </c>
      <c r="AX15" s="364" t="s">
        <v>207</v>
      </c>
      <c r="AY15" s="363" t="s">
        <v>205</v>
      </c>
      <c r="AZ15" s="363" t="s">
        <v>206</v>
      </c>
      <c r="BA15" s="364" t="s">
        <v>207</v>
      </c>
      <c r="BC15" s="1082"/>
      <c r="BD15" s="1075"/>
      <c r="BE15" s="1075"/>
      <c r="BF15" s="401" t="s">
        <v>865</v>
      </c>
      <c r="BG15" s="401" t="s">
        <v>866</v>
      </c>
      <c r="BH15" s="401" t="s">
        <v>867</v>
      </c>
      <c r="BI15" s="1075"/>
      <c r="BJ15" s="1075"/>
      <c r="BK15" s="1075"/>
      <c r="BL15" s="1075"/>
      <c r="BM15" s="1075"/>
      <c r="BN15" s="1097"/>
      <c r="BO15" s="1097"/>
      <c r="BP15" s="1089"/>
      <c r="BQ15" s="400" t="s">
        <v>205</v>
      </c>
      <c r="BR15" s="400" t="s">
        <v>206</v>
      </c>
      <c r="BS15" s="400" t="s">
        <v>207</v>
      </c>
      <c r="BT15" s="400" t="s">
        <v>205</v>
      </c>
      <c r="BU15" s="400" t="s">
        <v>206</v>
      </c>
      <c r="BV15" s="400" t="s">
        <v>207</v>
      </c>
      <c r="BW15" s="400" t="s">
        <v>205</v>
      </c>
      <c r="BX15" s="400" t="s">
        <v>206</v>
      </c>
      <c r="BY15" s="400" t="s">
        <v>207</v>
      </c>
      <c r="BZ15" s="400" t="s">
        <v>205</v>
      </c>
      <c r="CA15" s="400" t="s">
        <v>206</v>
      </c>
      <c r="CB15" s="400" t="s">
        <v>207</v>
      </c>
      <c r="CC15" s="400" t="s">
        <v>205</v>
      </c>
      <c r="CD15" s="400" t="s">
        <v>206</v>
      </c>
      <c r="CE15" s="400" t="s">
        <v>207</v>
      </c>
      <c r="CF15" s="400" t="s">
        <v>205</v>
      </c>
      <c r="CG15" s="400" t="s">
        <v>206</v>
      </c>
      <c r="CH15" s="400" t="s">
        <v>207</v>
      </c>
      <c r="CI15" s="400" t="s">
        <v>205</v>
      </c>
      <c r="CJ15" s="400" t="s">
        <v>206</v>
      </c>
      <c r="CK15" s="400" t="s">
        <v>207</v>
      </c>
      <c r="CL15" s="400" t="s">
        <v>205</v>
      </c>
      <c r="CM15" s="400" t="s">
        <v>206</v>
      </c>
      <c r="CN15" s="400" t="s">
        <v>207</v>
      </c>
      <c r="CO15" s="400" t="s">
        <v>205</v>
      </c>
      <c r="CP15" s="400" t="s">
        <v>206</v>
      </c>
      <c r="CQ15" s="400" t="s">
        <v>207</v>
      </c>
      <c r="CR15" s="400" t="s">
        <v>205</v>
      </c>
      <c r="CS15" s="400" t="s">
        <v>206</v>
      </c>
      <c r="CT15" s="401" t="s">
        <v>207</v>
      </c>
      <c r="CU15" s="402" t="s">
        <v>205</v>
      </c>
      <c r="CV15" s="400" t="s">
        <v>206</v>
      </c>
      <c r="CW15" s="401" t="s">
        <v>207</v>
      </c>
      <c r="CX15" s="402" t="s">
        <v>205</v>
      </c>
      <c r="CY15" s="400" t="s">
        <v>206</v>
      </c>
      <c r="CZ15" s="403" t="s">
        <v>207</v>
      </c>
    </row>
    <row r="16" spans="2:105" ht="3.65" customHeight="1" x14ac:dyDescent="0.25">
      <c r="B16" s="6"/>
      <c r="C16" s="151"/>
      <c r="D16" s="152"/>
      <c r="E16" s="152"/>
      <c r="F16" s="152"/>
      <c r="G16" s="152"/>
      <c r="H16" s="152"/>
      <c r="I16" s="152"/>
      <c r="J16" s="152"/>
      <c r="K16" s="152"/>
      <c r="L16" s="152"/>
      <c r="M16" s="152"/>
      <c r="N16" s="152"/>
      <c r="O16" s="152"/>
      <c r="P16" s="152"/>
      <c r="Q16" s="152"/>
      <c r="R16" s="151"/>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365"/>
      <c r="AT16" s="365"/>
      <c r="AU16" s="365"/>
      <c r="AV16" s="365"/>
      <c r="AW16" s="365"/>
      <c r="AX16" s="365"/>
      <c r="AY16" s="365"/>
      <c r="AZ16" s="365"/>
      <c r="BA16" s="366"/>
      <c r="BC16" s="7"/>
      <c r="BD16" s="388"/>
      <c r="BE16" s="388"/>
      <c r="BF16" s="388"/>
      <c r="BG16" s="388"/>
      <c r="BH16" s="388"/>
      <c r="BI16" s="388"/>
      <c r="BJ16" s="388"/>
      <c r="BK16" s="388"/>
      <c r="BL16" s="388"/>
      <c r="BM16" s="388"/>
      <c r="BN16" s="1"/>
      <c r="BO16" s="1"/>
      <c r="BP16" s="368"/>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45"/>
    </row>
    <row r="17" spans="2:105" s="2" customFormat="1" ht="13" x14ac:dyDescent="0.3">
      <c r="B17" s="181">
        <f>'00 - Cover'!F14</f>
        <v>45473</v>
      </c>
      <c r="C17" s="375">
        <f>IF($B17=0,"",SUMIFS(INPUT_DATA!D:D,INPUT_DATA!$A:$A,$B17,INPUT_DATA!$C:$C,"S"))</f>
        <v>706842265.12000024</v>
      </c>
      <c r="D17" s="386">
        <f>IF($B17=0,"",SUMIFS(INPUT_DATA!E:E,INPUT_DATA!$A:$A,$B17,INPUT_DATA!$C:$C,"S"))</f>
        <v>0</v>
      </c>
      <c r="E17" s="376">
        <f>IF($B17=0,"",SUMIFS(INPUT_DATA!F:F,INPUT_DATA!$A:$A,$B17,INPUT_DATA!$C:$C,"S"))</f>
        <v>4887596.6399999978</v>
      </c>
      <c r="F17" s="376">
        <f>IF($B17=0,"",SUMIFS(INPUT_DATA!G:G,INPUT_DATA!$A:$A,$B17,INPUT_DATA!$C:$C,"S"))</f>
        <v>667655.79</v>
      </c>
      <c r="G17" s="376">
        <f>IF($B17=0,"",SUMIFS(INPUT_DATA!H:H,INPUT_DATA!$A:$A,$B17,INPUT_DATA!$C:$C,"S"))</f>
        <v>0</v>
      </c>
      <c r="H17" s="376">
        <f>IF($B17=0,"",SUMIFS(INPUT_DATA!I:I,INPUT_DATA!$A:$A,$B17,INPUT_DATA!$C:$C,"S"))</f>
        <v>250.18</v>
      </c>
      <c r="I17" s="376">
        <f>IF($B17=0,"",SUMIFS(INPUT_DATA!J:J,INPUT_DATA!$A:$A,$B17,INPUT_DATA!$C:$C,"S"))</f>
        <v>0</v>
      </c>
      <c r="J17" s="376">
        <f>IF($B17=0,"",SUMIFS(INPUT_DATA!K:K,INPUT_DATA!$A:$A,$B17,INPUT_DATA!$C:$C,"S"))</f>
        <v>0</v>
      </c>
      <c r="K17" s="376">
        <f>IF($B17=0,"",SUMIFS(INPUT_DATA!L:L,INPUT_DATA!$A:$A,$B17,INPUT_DATA!$C:$C,"S"))</f>
        <v>0</v>
      </c>
      <c r="L17" s="376">
        <f>IF($B17=0,"",SUMIFS(INPUT_DATA!M:M,INPUT_DATA!$A:$A,$B17,INPUT_DATA!$C:$C,"S"))</f>
        <v>0</v>
      </c>
      <c r="M17" s="376">
        <f>IF($B17=0,"",SUMIFS(INPUT_DATA!N:N,INPUT_DATA!$A:$A,$B17,INPUT_DATA!$C:$C,"S"))</f>
        <v>0</v>
      </c>
      <c r="N17" s="376">
        <f>IF($B17=0,"",SUMIFS(INPUT_DATA!O:O,INPUT_DATA!$A:$A,$B17,INPUT_DATA!$C:$C,"S"))</f>
        <v>0</v>
      </c>
      <c r="O17" s="377">
        <f t="shared" ref="O17:O22" si="0">IF($B17=0,"",C17+D17-E17-F17+G17+H17+I17-J17-K17+L17-M17-N17)</f>
        <v>701287262.87000024</v>
      </c>
      <c r="P17" s="378">
        <f>IF($B17=0,"",SUMIFS(INPUT_DATA!P:P,INPUT_DATA!$A:$A,$B17,INPUT_DATA!$C:$C,"S"))</f>
        <v>701287262.86999977</v>
      </c>
      <c r="Q17" s="378">
        <f t="shared" ref="Q17:Q22" si="1">IF($B17=0,"",O17-P17)</f>
        <v>4.76837158203125E-7</v>
      </c>
      <c r="R17" s="379">
        <f>IF($B17=0,"",SUMIFS(INPUT_DATA!Q:Q,INPUT_DATA!$A:$A,$B17,INPUT_DATA!$C:$C,"S"))</f>
        <v>57532.390000000014</v>
      </c>
      <c r="S17" s="379">
        <f>IF($B17=0,"",SUMIFS(INPUT_DATA!R:R,INPUT_DATA!$A:$A,$B17,INPUT_DATA!$C:$C,"S"))</f>
        <v>7687.0799999999981</v>
      </c>
      <c r="T17" s="379">
        <f>IF($B17=0,"",SUMIFS(INPUT_DATA!S:S,INPUT_DATA!$A:$A,$B17,INPUT_DATA!$C:$C,"S"))</f>
        <v>0</v>
      </c>
      <c r="U17" s="379">
        <f>IF($B17=0,"",SUMIFS(INPUT_DATA!T:T,INPUT_DATA!$A:$A,$B17,INPUT_DATA!$C:$C,"S"))</f>
        <v>92567.569999999992</v>
      </c>
      <c r="V17" s="379">
        <f>IF($B17=0,"",SUMIFS(INPUT_DATA!U:U,INPUT_DATA!$A:$A,$B17,INPUT_DATA!$C:$C,"S"))</f>
        <v>12093.820000000002</v>
      </c>
      <c r="W17" s="379">
        <f>IF($B17=0,"",SUMIFS(INPUT_DATA!V:V,INPUT_DATA!$A:$A,$B17,INPUT_DATA!$C:$C,"S"))</f>
        <v>0</v>
      </c>
      <c r="X17" s="379">
        <f>IF($B17=0,"",SUMIFS(INPUT_DATA!W:W,INPUT_DATA!$A:$A,$B17,INPUT_DATA!$C:$C,"S"))</f>
        <v>45633.520000000019</v>
      </c>
      <c r="Y17" s="379">
        <f>IF($B17=0,"",SUMIFS(INPUT_DATA!X:X,INPUT_DATA!$A:$A,$B17,INPUT_DATA!$C:$C,"S"))</f>
        <v>6985.619999999999</v>
      </c>
      <c r="Z17" s="379">
        <f>IF($B17=0,"",SUMIFS(INPUT_DATA!Y:Y,INPUT_DATA!$A:$A,$B17,INPUT_DATA!$C:$C,"S"))</f>
        <v>0</v>
      </c>
      <c r="AA17" s="379">
        <f>IF($B17=0,"",SUMIFS(INPUT_DATA!Z:Z,INPUT_DATA!$A:$A,$B17,INPUT_DATA!$C:$C,"S"))</f>
        <v>0</v>
      </c>
      <c r="AB17" s="379">
        <f>IF($B17=0,"",SUMIFS(INPUT_DATA!AA:AA,INPUT_DATA!$A:$A,$B17,INPUT_DATA!$C:$C,"S"))</f>
        <v>0</v>
      </c>
      <c r="AC17" s="379">
        <f>IF($B17=0,"",SUMIFS(INPUT_DATA!AB:AB,INPUT_DATA!$A:$A,$B17,INPUT_DATA!$C:$C,"S"))</f>
        <v>0</v>
      </c>
      <c r="AD17" s="379">
        <f>IF($B17=0,"",SUMIFS(INPUT_DATA!AC:AC,INPUT_DATA!$A:$A,$B17,INPUT_DATA!$C:$C,"S"))</f>
        <v>0</v>
      </c>
      <c r="AE17" s="379">
        <f>IF($B17=0,"",SUMIFS(INPUT_DATA!AD:AD,INPUT_DATA!$A:$A,$B17,INPUT_DATA!$C:$C,"S"))</f>
        <v>0</v>
      </c>
      <c r="AF17" s="379">
        <f>IF($B17=0,"",SUMIFS(INPUT_DATA!AE:AE,INPUT_DATA!$A:$A,$B17,INPUT_DATA!$C:$C,"S"))</f>
        <v>0</v>
      </c>
      <c r="AG17" s="379">
        <f>IF($B17=0,"",SUMIFS(INPUT_DATA!AF:AF,INPUT_DATA!$A:$A,$B17,INPUT_DATA!$C:$C,"S"))</f>
        <v>0</v>
      </c>
      <c r="AH17" s="379">
        <f>IF($B17=0,"",SUMIFS(INPUT_DATA!AG:AG,INPUT_DATA!$A:$A,$B17,INPUT_DATA!$C:$C,"S"))</f>
        <v>0</v>
      </c>
      <c r="AI17" s="379">
        <f>IF($B17=0,"",SUMIFS(INPUT_DATA!AH:AH,INPUT_DATA!$A:$A,$B17,INPUT_DATA!$C:$C,"S"))</f>
        <v>0</v>
      </c>
      <c r="AJ17" s="379">
        <f>IF($B17=0,"",SUMIFS(INPUT_DATA!AI:AI,INPUT_DATA!$A:$A,$B17,INPUT_DATA!$C:$C,"S"))</f>
        <v>0</v>
      </c>
      <c r="AK17" s="379">
        <f>IF($B17=0,"",SUMIFS(INPUT_DATA!AJ:AJ,INPUT_DATA!$A:$A,$B17,INPUT_DATA!$C:$C,"S"))</f>
        <v>0</v>
      </c>
      <c r="AL17" s="379">
        <f>IF($B17=0,"",SUMIFS(INPUT_DATA!AK:AK,INPUT_DATA!$A:$A,$B17,INPUT_DATA!$C:$C,"S"))</f>
        <v>0</v>
      </c>
      <c r="AM17" s="379">
        <f>IF($B17=0,"",SUMIFS(INPUT_DATA!AL:AL,INPUT_DATA!$A:$A,$B17,INPUT_DATA!$C:$C,"S"))</f>
        <v>0</v>
      </c>
      <c r="AN17" s="379">
        <f>IF($B17=0,"",SUMIFS(INPUT_DATA!AM:AM,INPUT_DATA!$A:$A,$B17,INPUT_DATA!$C:$C,"S"))</f>
        <v>0</v>
      </c>
      <c r="AO17" s="379">
        <f>IF($B17=0,"",SUMIFS(INPUT_DATA!AN:AN,INPUT_DATA!$A:$A,$B17,INPUT_DATA!$C:$C,"S"))</f>
        <v>0</v>
      </c>
      <c r="AP17" s="379">
        <f>IF($B17=0,"",SUMIFS(INPUT_DATA!AO:AO,INPUT_DATA!$A:$A,$B17,INPUT_DATA!$C:$C,"S"))</f>
        <v>0</v>
      </c>
      <c r="AQ17" s="379">
        <f>IF($B17=0,"",SUMIFS(INPUT_DATA!AP:AP,INPUT_DATA!$A:$A,$B17,INPUT_DATA!$C:$C,"S"))</f>
        <v>0</v>
      </c>
      <c r="AR17" s="379">
        <f>IF($B17=0,"",SUMIFS(INPUT_DATA!AQ:AQ,INPUT_DATA!$A:$A,$B17,INPUT_DATA!$C:$C,"S"))</f>
        <v>0</v>
      </c>
      <c r="AS17" s="380">
        <f t="shared" ref="AS17:AS21" si="2">IF($B17=0,"",R17+U17-X17-AA17-AD17-AG17+AJ17-AM17-AP17)</f>
        <v>104466.44</v>
      </c>
      <c r="AT17" s="381">
        <f t="shared" ref="AT17:AT21" si="3">IF($B17=0,"",S17+V17-Y17-AB17-AE17-AH17+AK17-AN17-AQ17)</f>
        <v>12795.280000000002</v>
      </c>
      <c r="AU17" s="382">
        <f t="shared" ref="AU17:AU21" si="4">IF($B17=0,"",T17+W17-Z17-AC17-AF17-AI17+AL17-AO17-AR17)</f>
        <v>0</v>
      </c>
      <c r="AV17" s="380">
        <f>IF($B17=0,"",SUMIFS(INPUT_DATA!AR:AR,INPUT_DATA!$A:$A,$B17,INPUT_DATA!$C:$C,"S"))</f>
        <v>104466.44</v>
      </c>
      <c r="AW17" s="381">
        <f>IF($B17=0,"",SUMIFS(INPUT_DATA!AS:AS,INPUT_DATA!$A:$A,$B17,INPUT_DATA!$C:$C,"S"))</f>
        <v>12795.280000000002</v>
      </c>
      <c r="AX17" s="382">
        <f>IF($B17=0,"",SUMIFS(INPUT_DATA!AT:AT,INPUT_DATA!$A:$A,$B17,INPUT_DATA!$C:$C,"S"))</f>
        <v>0</v>
      </c>
      <c r="AY17" s="380">
        <f>IF($B17=0,"",AS17-AV17)</f>
        <v>0</v>
      </c>
      <c r="AZ17" s="381">
        <f t="shared" ref="AZ17:BA17" si="5">IF($B17=0,"",AT17-AW17)</f>
        <v>0</v>
      </c>
      <c r="BA17" s="382">
        <f t="shared" si="5"/>
        <v>0</v>
      </c>
      <c r="BB17" s="383"/>
      <c r="BC17" s="375">
        <f>IF($B17=0,"",SUMIFS(INPUT_DATA!D:D,INPUT_DATA!$A:$A,$B17,INPUT_DATA!$C:$C,"D"))</f>
        <v>0</v>
      </c>
      <c r="BD17" s="752">
        <f>IF($B17=0,"",SUMIFS(INPUT_DATA!F:F,INPUT_DATA!$A:$A,$B17,INPUT_DATA!$C:$C,"D"))</f>
        <v>0</v>
      </c>
      <c r="BE17" s="752">
        <f>IF($B17=0,"",SUMIFS(INPUT_DATA!G:G,INPUT_DATA!$A:$A,$B17,INPUT_DATA!$C:$C,"D"))</f>
        <v>0</v>
      </c>
      <c r="BF17" s="752">
        <f>IF($B17=0,"",SUMIFS(INPUT_DATA!H:H,INPUT_DATA!$A:$A,$B17,INPUT_DATA!$C:$C,"D"))</f>
        <v>0</v>
      </c>
      <c r="BG17" s="752">
        <f>IF($B17=0,"",SUMIFS(INPUT_DATA!I:I,INPUT_DATA!$A:$A,$B17,INPUT_DATA!$C:$C,"D"))</f>
        <v>0</v>
      </c>
      <c r="BH17" s="752">
        <f>IF($B17=0,"",SUMIFS(INPUT_DATA!J:J,INPUT_DATA!$A:$A,$B17,INPUT_DATA!$C:$C,"D"))</f>
        <v>0</v>
      </c>
      <c r="BI17" s="752">
        <f>IF($B17=0,"",SUMIFS(INPUT_DATA!K:K,INPUT_DATA!$A:$A,$B17,INPUT_DATA!$C:$C,"D"))</f>
        <v>0</v>
      </c>
      <c r="BJ17" s="752">
        <f>IF($B17=0,"",SUMIFS(INPUT_DATA!L:L,INPUT_DATA!$A:$A,$B17,INPUT_DATA!$C:$C,"D"))</f>
        <v>0</v>
      </c>
      <c r="BK17" s="752">
        <f>IF($B17=0,"",SUMIFS(INPUT_DATA!M:M,INPUT_DATA!$A:$A,$B17,INPUT_DATA!$C:$C,"D"))</f>
        <v>0</v>
      </c>
      <c r="BL17" s="752">
        <f>IF($B17=0,"",SUMIFS(INPUT_DATA!N:N,INPUT_DATA!$A:$A,$B17,INPUT_DATA!$C:$C,"D"))</f>
        <v>0</v>
      </c>
      <c r="BM17" s="752">
        <f>IF($B17=0,"",SUMIFS(INPUT_DATA!O:O,INPUT_DATA!$A:$A,$B17,INPUT_DATA!$C:$C,"D"))</f>
        <v>0</v>
      </c>
      <c r="BN17" s="384">
        <f>IF($B17=0,"",BC17-BD17-BE17+BF17+BG17+BH17-BI17+BJ17-BK17-BL17-BM17)</f>
        <v>0</v>
      </c>
      <c r="BO17" s="384">
        <f>IF($B17=0,"",SUMIFS(INPUT_DATA!O:O,INPUT_DATA!$A:$A,$B17,INPUT_DATA!$C:$C,"D"))</f>
        <v>0</v>
      </c>
      <c r="BP17" s="384">
        <f>IF($B17=0,"",BN17-BO17)</f>
        <v>0</v>
      </c>
      <c r="BQ17" s="375">
        <f>IF($B17=0,"",SUMIFS(INPUT_DATA!Q:Q,INPUT_DATA!$A:$A,$B17,INPUT_DATA!$C:$C,"D"))</f>
        <v>0</v>
      </c>
      <c r="BR17" s="385">
        <f>IF($B17=0,"",SUMIFS(INPUT_DATA!R:R,INPUT_DATA!$A:$A,$B17,INPUT_DATA!$C:$C,"D"))</f>
        <v>0</v>
      </c>
      <c r="BS17" s="385">
        <f>IF($B17=0,"",SUMIFS(INPUT_DATA!S:S,INPUT_DATA!$A:$A,$B17,INPUT_DATA!$C:$C,"D"))</f>
        <v>0</v>
      </c>
      <c r="BT17" s="752">
        <f>IF($B17=0,"",SUMIFS(INPUT_DATA!T:T,INPUT_DATA!$A:$A,$B17,INPUT_DATA!$C:$C,"D"))</f>
        <v>0</v>
      </c>
      <c r="BU17" s="752">
        <f>IF($B17=0,"",SUMIFS(INPUT_DATA!U:U,INPUT_DATA!$A:$A,$B17,INPUT_DATA!$C:$C,"D"))</f>
        <v>0</v>
      </c>
      <c r="BV17" s="752">
        <f>IF($B17=0,"",SUMIFS(INPUT_DATA!V:V,INPUT_DATA!$A:$A,$B17,INPUT_DATA!$C:$C,"D"))</f>
        <v>0</v>
      </c>
      <c r="BW17" s="752">
        <f>IF($B17=0,"",SUMIFS(INPUT_DATA!W:W,INPUT_DATA!$A:$A,$B17,INPUT_DATA!$C:$C,"D"))</f>
        <v>0</v>
      </c>
      <c r="BX17" s="752">
        <f>IF($B17=0,"",SUMIFS(INPUT_DATA!X:X,INPUT_DATA!$A:$A,$B17,INPUT_DATA!$C:$C,"D"))</f>
        <v>0</v>
      </c>
      <c r="BY17" s="752">
        <f>IF($B17=0,"",SUMIFS(INPUT_DATA!Y:Y,INPUT_DATA!$A:$A,$B17,INPUT_DATA!$C:$C,"D"))</f>
        <v>0</v>
      </c>
      <c r="BZ17" s="753">
        <f>IF($B17=0,"",SUMIFS(INPUT_DATA!Z:Z,INPUT_DATA!$A:$A,$B17,INPUT_DATA!$C:$C,"D"))</f>
        <v>0</v>
      </c>
      <c r="CA17" s="753">
        <f>IF($B17=0,"",SUMIFS(INPUT_DATA!AA:AA,INPUT_DATA!$A:$A,$B17,INPUT_DATA!$C:$C,"D"))</f>
        <v>0</v>
      </c>
      <c r="CB17" s="753">
        <f>IF($B17=0,"",SUMIFS(INPUT_DATA!AB:AB,INPUT_DATA!$A:$A,$B17,INPUT_DATA!$C:$C,"D"))</f>
        <v>0</v>
      </c>
      <c r="CC17" s="752">
        <f>IF($B17=0,"",SUMIFS(INPUT_DATA!AC:AC,INPUT_DATA!$A:$A,$B17,INPUT_DATA!$C:$C,"D"))</f>
        <v>0</v>
      </c>
      <c r="CD17" s="752">
        <f>IF($B17=0,"",SUMIFS(INPUT_DATA!AD:AD,INPUT_DATA!$A:$A,$B17,INPUT_DATA!$C:$C,"D"))</f>
        <v>0</v>
      </c>
      <c r="CE17" s="752">
        <f>IF($B17=0,"",SUMIFS(INPUT_DATA!AE:AE,INPUT_DATA!$A:$A,$B17,INPUT_DATA!$C:$C,"D"))</f>
        <v>0</v>
      </c>
      <c r="CF17" s="753">
        <f>IF($B17=0,"",SUMIFS(INPUT_DATA!AF:AF,INPUT_DATA!$A:$A,$B17,INPUT_DATA!$C:$C,"D"))</f>
        <v>0</v>
      </c>
      <c r="CG17" s="753">
        <f>IF($B17=0,"",SUMIFS(INPUT_DATA!AG:AG,INPUT_DATA!$A:$A,$B17,INPUT_DATA!$C:$C,"D"))</f>
        <v>0</v>
      </c>
      <c r="CH17" s="753">
        <f>IF($B17=0,"",SUMIFS(INPUT_DATA!AH:AH,INPUT_DATA!$A:$A,$B17,INPUT_DATA!$C:$C,"D"))</f>
        <v>0</v>
      </c>
      <c r="CI17" s="759">
        <f>IF($B17=0,"",SUMIFS(INPUT_DATA!AI:AI,INPUT_DATA!$A:$A,$B17,INPUT_DATA!$C:$C,"D"))</f>
        <v>0</v>
      </c>
      <c r="CJ17" s="759">
        <f>IF($B17=0,"",SUMIFS(INPUT_DATA!AJ:AJ,INPUT_DATA!$A:$A,$B17,INPUT_DATA!$C:$C,"D"))</f>
        <v>0</v>
      </c>
      <c r="CK17" s="759">
        <f>IF($B17=0,"",SUMIFS(INPUT_DATA!AK:AK,INPUT_DATA!$A:$A,$B17,INPUT_DATA!$C:$C,"D"))</f>
        <v>0</v>
      </c>
      <c r="CL17" s="759">
        <f>IF($B17=0,"",SUMIFS(INPUT_DATA!AL:AL,INPUT_DATA!$A:$A,$B17,INPUT_DATA!$C:$C,"D"))</f>
        <v>0</v>
      </c>
      <c r="CM17" s="759">
        <f>IF($B17=0,"",SUMIFS(INPUT_DATA!AM:AM,INPUT_DATA!$A:$A,$B17,INPUT_DATA!$C:$C,"D"))</f>
        <v>0</v>
      </c>
      <c r="CN17" s="759">
        <f>IF($B17=0,"",SUMIFS(INPUT_DATA!AN:AN,INPUT_DATA!$A:$A,$B17,INPUT_DATA!$C:$C,"D"))</f>
        <v>0</v>
      </c>
      <c r="CO17" s="759">
        <f>IF($B17=0,"",SUMIFS(INPUT_DATA!AO:AO,INPUT_DATA!$A:$A,$B17,INPUT_DATA!$C:$C,"D"))</f>
        <v>0</v>
      </c>
      <c r="CP17" s="759">
        <f>IF($B17=0,"",SUMIFS(INPUT_DATA!AP:AP,INPUT_DATA!$A:$A,$B17,INPUT_DATA!$C:$C,"D"))</f>
        <v>0</v>
      </c>
      <c r="CQ17" s="759">
        <f>IF($B17=0,"",SUMIFS(INPUT_DATA!AQ:AQ,INPUT_DATA!$A:$A,$B17,INPUT_DATA!$C:$C,"D"))</f>
        <v>0</v>
      </c>
      <c r="CR17" s="381">
        <f>IF($B17=0,"",BQ17+BT17-BW17-BZ17-CC17+CF17-CI17-CL17-CO17)</f>
        <v>0</v>
      </c>
      <c r="CS17" s="381">
        <f t="shared" ref="CS17:CT17" si="6">IF($B17=0,"",BR17+BU17-BX17-CA17-CD17+CG17-CJ17-CM17-CP17)</f>
        <v>0</v>
      </c>
      <c r="CT17" s="381">
        <f t="shared" si="6"/>
        <v>0</v>
      </c>
      <c r="CU17" s="386">
        <f>IF($B17=0,"",SUMIFS(INPUT_DATA!AR:AR,INPUT_DATA!$A:$A,$B17,INPUT_DATA!$C:$C,"D"))</f>
        <v>0</v>
      </c>
      <c r="CV17" s="386">
        <f>IF($B17=0,"",SUMIFS(INPUT_DATA!AS:AS,INPUT_DATA!$A:$A,$B17,INPUT_DATA!$C:$C,"D"))</f>
        <v>0</v>
      </c>
      <c r="CW17" s="386">
        <f>IF($B17=0,"",SUMIFS(INPUT_DATA!AT:AT,INPUT_DATA!$A:$A,$B17,INPUT_DATA!$C:$C,"D"))</f>
        <v>0</v>
      </c>
      <c r="CX17" s="386">
        <f>IF($B17=0,"",CR17-CU17)</f>
        <v>0</v>
      </c>
      <c r="CY17" s="381">
        <f t="shared" ref="CY17" si="7">IF($B17=0,"",CS17-CV17)</f>
        <v>0</v>
      </c>
      <c r="CZ17" s="387">
        <f t="shared" ref="CZ17" si="8">IF($B17=0,"",CT17-CW17)</f>
        <v>0</v>
      </c>
      <c r="DA17" s="383"/>
    </row>
    <row r="18" spans="2:105" ht="13" x14ac:dyDescent="0.25">
      <c r="B18" s="733">
        <f>INPUT_DATA!BQ5</f>
        <v>45443</v>
      </c>
      <c r="C18" s="738">
        <f>IF($B18=0,"",SUMIFS(INPUT_DATA!D:D,INPUT_DATA!$A:$A,$B18,INPUT_DATA!$C:$C,"S"))</f>
        <v>712314813.96000087</v>
      </c>
      <c r="D18" s="367">
        <f>IF($B18=0,"",SUMIFS(INPUT_DATA!E:E,INPUT_DATA!$A:$A,$B18,INPUT_DATA!$C:$C,"S"))</f>
        <v>0</v>
      </c>
      <c r="E18" s="153">
        <f>IF($B18=0,"",SUMIFS(INPUT_DATA!F:F,INPUT_DATA!$A:$A,$B18,INPUT_DATA!$C:$C,"S"))</f>
        <v>4892047.1100000022</v>
      </c>
      <c r="F18" s="153">
        <f>IF($B18=0,"",SUMIFS(INPUT_DATA!G:G,INPUT_DATA!$A:$A,$B18,INPUT_DATA!$C:$C,"S"))</f>
        <v>581914.99</v>
      </c>
      <c r="G18" s="153">
        <f>IF($B18=0,"",SUMIFS(INPUT_DATA!H:H,INPUT_DATA!$A:$A,$B18,INPUT_DATA!$C:$C,"S"))</f>
        <v>0</v>
      </c>
      <c r="H18" s="153">
        <f>IF($B18=0,"",SUMIFS(INPUT_DATA!I:I,INPUT_DATA!$A:$A,$B18,INPUT_DATA!$C:$C,"S"))</f>
        <v>1413.2599999999998</v>
      </c>
      <c r="I18" s="153">
        <f>IF($B18=0,"",SUMIFS(INPUT_DATA!J:J,INPUT_DATA!$A:$A,$B18,INPUT_DATA!$C:$C,"S"))</f>
        <v>0</v>
      </c>
      <c r="J18" s="153">
        <f>IF($B18=0,"",SUMIFS(INPUT_DATA!K:K,INPUT_DATA!$A:$A,$B18,INPUT_DATA!$C:$C,"S"))</f>
        <v>0</v>
      </c>
      <c r="K18" s="153">
        <f>IF($B18=0,"",SUMIFS(INPUT_DATA!L:L,INPUT_DATA!$A:$A,$B18,INPUT_DATA!$C:$C,"S"))</f>
        <v>0</v>
      </c>
      <c r="L18" s="153">
        <f>IF($B18=0,"",SUMIFS(INPUT_DATA!M:M,INPUT_DATA!$A:$A,$B18,INPUT_DATA!$C:$C,"S"))</f>
        <v>0</v>
      </c>
      <c r="M18" s="153">
        <f>IF($B18=0,"",SUMIFS(INPUT_DATA!N:N,INPUT_DATA!$A:$A,$B18,INPUT_DATA!$C:$C,"S"))</f>
        <v>0</v>
      </c>
      <c r="N18" s="153">
        <f>IF($B18=0,"",SUMIFS(INPUT_DATA!O:O,INPUT_DATA!$A:$A,$B18,INPUT_DATA!$C:$C,"S"))</f>
        <v>0</v>
      </c>
      <c r="O18" s="741">
        <f t="shared" si="0"/>
        <v>706842265.12000084</v>
      </c>
      <c r="P18" s="742">
        <f>IF($B18=0,"",SUMIFS(INPUT_DATA!P:P,INPUT_DATA!$A:$A,$B18,INPUT_DATA!$C:$C,"S"))</f>
        <v>706842265.12000024</v>
      </c>
      <c r="Q18" s="742">
        <f t="shared" si="1"/>
        <v>5.9604644775390625E-7</v>
      </c>
      <c r="R18" s="748">
        <f>IF($B18=0,"",SUMIFS(INPUT_DATA!Q:Q,INPUT_DATA!$A:$A,$B18,INPUT_DATA!$C:$C,"S"))</f>
        <v>83181.740000000005</v>
      </c>
      <c r="S18" s="748">
        <f>IF($B18=0,"",SUMIFS(INPUT_DATA!R:R,INPUT_DATA!$A:$A,$B18,INPUT_DATA!$C:$C,"S"))</f>
        <v>5249.6399999999994</v>
      </c>
      <c r="T18" s="748">
        <f>IF($B18=0,"",SUMIFS(INPUT_DATA!S:S,INPUT_DATA!$A:$A,$B18,INPUT_DATA!$C:$C,"S"))</f>
        <v>0</v>
      </c>
      <c r="U18" s="313">
        <f>IF($B18=0,"",SUMIFS(INPUT_DATA!T:T,INPUT_DATA!$A:$A,$B18,INPUT_DATA!$C:$C,"S"))</f>
        <v>45638.840000000011</v>
      </c>
      <c r="V18" s="313">
        <f>IF($B18=0,"",SUMIFS(INPUT_DATA!U:U,INPUT_DATA!$A:$A,$B18,INPUT_DATA!$C:$C,"S"))</f>
        <v>6830.32</v>
      </c>
      <c r="W18" s="313">
        <f>IF($B18=0,"",SUMIFS(INPUT_DATA!V:V,INPUT_DATA!$A:$A,$B18,INPUT_DATA!$C:$C,"S"))</f>
        <v>0</v>
      </c>
      <c r="X18" s="313">
        <f>IF($B18=0,"",SUMIFS(INPUT_DATA!W:W,INPUT_DATA!$A:$A,$B18,INPUT_DATA!$C:$C,"S"))</f>
        <v>71288.189999999988</v>
      </c>
      <c r="Y18" s="313">
        <f>IF($B18=0,"",SUMIFS(INPUT_DATA!X:X,INPUT_DATA!$A:$A,$B18,INPUT_DATA!$C:$C,"S"))</f>
        <v>4392.8799999999992</v>
      </c>
      <c r="Z18" s="313">
        <f>IF($B18=0,"",SUMIFS(INPUT_DATA!Y:Y,INPUT_DATA!$A:$A,$B18,INPUT_DATA!$C:$C,"S"))</f>
        <v>0</v>
      </c>
      <c r="AA18" s="313">
        <f>IF($B18=0,"",SUMIFS(INPUT_DATA!Z:Z,INPUT_DATA!$A:$A,$B18,INPUT_DATA!$C:$C,"S"))</f>
        <v>0</v>
      </c>
      <c r="AB18" s="313">
        <f>IF($B18=0,"",SUMIFS(INPUT_DATA!AA:AA,INPUT_DATA!$A:$A,$B18,INPUT_DATA!$C:$C,"S"))</f>
        <v>0</v>
      </c>
      <c r="AC18" s="313">
        <f>IF($B18=0,"",SUMIFS(INPUT_DATA!AB:AB,INPUT_DATA!$A:$A,$B18,INPUT_DATA!$C:$C,"S"))</f>
        <v>0</v>
      </c>
      <c r="AD18" s="313">
        <f>IF($B18=0,"",SUMIFS(INPUT_DATA!AC:AC,INPUT_DATA!$A:$A,$B18,INPUT_DATA!$C:$C,"S"))</f>
        <v>0</v>
      </c>
      <c r="AE18" s="313">
        <f>IF($B18=0,"",SUMIFS(INPUT_DATA!AD:AD,INPUT_DATA!$A:$A,$B18,INPUT_DATA!$C:$C,"S"))</f>
        <v>0</v>
      </c>
      <c r="AF18" s="313">
        <f>IF($B18=0,"",SUMIFS(INPUT_DATA!AE:AE,INPUT_DATA!$A:$A,$B18,INPUT_DATA!$C:$C,"S"))</f>
        <v>0</v>
      </c>
      <c r="AG18" s="313">
        <f>IF($B18=0,"",SUMIFS(INPUT_DATA!AF:AF,INPUT_DATA!$A:$A,$B18,INPUT_DATA!$C:$C,"S"))</f>
        <v>0</v>
      </c>
      <c r="AH18" s="313">
        <f>IF($B18=0,"",SUMIFS(INPUT_DATA!AG:AG,INPUT_DATA!$A:$A,$B18,INPUT_DATA!$C:$C,"S"))</f>
        <v>0</v>
      </c>
      <c r="AI18" s="313">
        <f>IF($B18=0,"",SUMIFS(INPUT_DATA!AH:AH,INPUT_DATA!$A:$A,$B18,INPUT_DATA!$C:$C,"S"))</f>
        <v>0</v>
      </c>
      <c r="AJ18" s="313">
        <f>IF($B18=0,"",SUMIFS(INPUT_DATA!AI:AI,INPUT_DATA!$A:$A,$B18,INPUT_DATA!$C:$C,"S"))</f>
        <v>0</v>
      </c>
      <c r="AK18" s="313">
        <f>IF($B18=0,"",SUMIFS(INPUT_DATA!AJ:AJ,INPUT_DATA!$A:$A,$B18,INPUT_DATA!$C:$C,"S"))</f>
        <v>0</v>
      </c>
      <c r="AL18" s="313">
        <f>IF($B18=0,"",SUMIFS(INPUT_DATA!AK:AK,INPUT_DATA!$A:$A,$B18,INPUT_DATA!$C:$C,"S"))</f>
        <v>0</v>
      </c>
      <c r="AM18" s="313">
        <f>IF($B18=0,"",SUMIFS(INPUT_DATA!AL:AL,INPUT_DATA!$A:$A,$B18,INPUT_DATA!$C:$C,"S"))</f>
        <v>0</v>
      </c>
      <c r="AN18" s="313">
        <f>IF($B18=0,"",SUMIFS(INPUT_DATA!AM:AM,INPUT_DATA!$A:$A,$B18,INPUT_DATA!$C:$C,"S"))</f>
        <v>0</v>
      </c>
      <c r="AO18" s="313">
        <f>IF($B18=0,"",SUMIFS(INPUT_DATA!AN:AN,INPUT_DATA!$A:$A,$B18,INPUT_DATA!$C:$C,"S"))</f>
        <v>0</v>
      </c>
      <c r="AP18" s="313">
        <f>IF($B18=0,"",SUMIFS(INPUT_DATA!AO:AO,INPUT_DATA!$A:$A,$B18,INPUT_DATA!$C:$C,"S"))</f>
        <v>0</v>
      </c>
      <c r="AQ18" s="313">
        <f>IF($B18=0,"",SUMIFS(INPUT_DATA!AP:AP,INPUT_DATA!$A:$A,$B18,INPUT_DATA!$C:$C,"S"))</f>
        <v>0</v>
      </c>
      <c r="AR18" s="313">
        <f>IF($B18=0,"",SUMIFS(INPUT_DATA!AQ:AQ,INPUT_DATA!$A:$A,$B18,INPUT_DATA!$C:$C,"S"))</f>
        <v>0</v>
      </c>
      <c r="AS18" s="749">
        <f t="shared" si="2"/>
        <v>57532.390000000029</v>
      </c>
      <c r="AT18" s="750">
        <f t="shared" si="3"/>
        <v>7687.08</v>
      </c>
      <c r="AU18" s="751">
        <f t="shared" si="4"/>
        <v>0</v>
      </c>
      <c r="AV18" s="749">
        <f>IF($B18=0,"",SUMIFS(INPUT_DATA!AR:AR,INPUT_DATA!$A:$A,$B18,INPUT_DATA!$C:$C,"S"))</f>
        <v>57532.390000000014</v>
      </c>
      <c r="AW18" s="750">
        <f>IF($B18=0,"",SUMIFS(INPUT_DATA!AS:AS,INPUT_DATA!$A:$A,$B18,INPUT_DATA!$C:$C,"S"))</f>
        <v>7687.0799999999981</v>
      </c>
      <c r="AX18" s="751">
        <f>IF($B18=0,"",SUMIFS(INPUT_DATA!AT:AT,INPUT_DATA!$A:$A,$B18,INPUT_DATA!$C:$C,"S"))</f>
        <v>0</v>
      </c>
      <c r="AY18" s="749">
        <f>IF($B18=0,"",AS18-AV18)</f>
        <v>1.4551915228366852E-11</v>
      </c>
      <c r="AZ18" s="750">
        <f t="shared" ref="AZ18" si="9">IF($B18=0,"",AT18-AW18)</f>
        <v>1.8189894035458565E-12</v>
      </c>
      <c r="BA18" s="751">
        <f t="shared" ref="BA18" si="10">IF($B18=0,"",AU18-AX18)</f>
        <v>0</v>
      </c>
      <c r="BB18" s="150"/>
      <c r="BC18" s="738">
        <f>IF($B18=0,"",SUMIFS(INPUT_DATA!D:D,INPUT_DATA!$A:$A,$B18,INPUT_DATA!$C:$C,"D"))</f>
        <v>0</v>
      </c>
      <c r="BD18" s="312">
        <f>IF($B18=0,"",SUMIFS(INPUT_DATA!F:F,INPUT_DATA!$A:$A,$B18,INPUT_DATA!$C:$C,"D"))</f>
        <v>0</v>
      </c>
      <c r="BE18" s="312">
        <f>IF($B18=0,"",SUMIFS(INPUT_DATA!G:G,INPUT_DATA!$A:$A,$B18,INPUT_DATA!$C:$C,"D"))</f>
        <v>0</v>
      </c>
      <c r="BF18" s="312">
        <f>IF($B18=0,"",SUMIFS(INPUT_DATA!H:H,INPUT_DATA!$A:$A,$B18,INPUT_DATA!$C:$C,"D"))</f>
        <v>0</v>
      </c>
      <c r="BG18" s="312">
        <f>IF($B18=0,"",SUMIFS(INPUT_DATA!I:I,INPUT_DATA!$A:$A,$B18,INPUT_DATA!$C:$C,"D"))</f>
        <v>0</v>
      </c>
      <c r="BH18" s="312">
        <f>IF($B18=0,"",SUMIFS(INPUT_DATA!J:J,INPUT_DATA!$A:$A,$B18,INPUT_DATA!$C:$C,"D"))</f>
        <v>0</v>
      </c>
      <c r="BI18" s="312">
        <f>IF($B18=0,"",SUMIFS(INPUT_DATA!K:K,INPUT_DATA!$A:$A,$B18,INPUT_DATA!$C:$C,"D"))</f>
        <v>0</v>
      </c>
      <c r="BJ18" s="312">
        <f>IF($B18=0,"",SUMIFS(INPUT_DATA!L:L,INPUT_DATA!$A:$A,$B18,INPUT_DATA!$C:$C,"D"))</f>
        <v>0</v>
      </c>
      <c r="BK18" s="312">
        <f>IF($B18=0,"",SUMIFS(INPUT_DATA!M:M,INPUT_DATA!$A:$A,$B18,INPUT_DATA!$C:$C,"D"))</f>
        <v>0</v>
      </c>
      <c r="BL18" s="312">
        <f>IF($B18=0,"",SUMIFS(INPUT_DATA!N:N,INPUT_DATA!$A:$A,$B18,INPUT_DATA!$C:$C,"D"))</f>
        <v>0</v>
      </c>
      <c r="BM18" s="312">
        <f>IF($B18=0,"",SUMIFS(INPUT_DATA!O:O,INPUT_DATA!$A:$A,$B18,INPUT_DATA!$C:$C,"D"))</f>
        <v>0</v>
      </c>
      <c r="BN18" s="754">
        <f>IF($B18=0,"",BC18-BD18-BE18+BF18+BG18+BH18-BI18+BJ18-BK18-BL18-BM18)</f>
        <v>0</v>
      </c>
      <c r="BO18" s="754">
        <f>IF($B18=0,"",SUMIFS(INPUT_DATA!O:O,INPUT_DATA!$A:$A,$B18,INPUT_DATA!$C:$C,"D"))</f>
        <v>0</v>
      </c>
      <c r="BP18" s="754">
        <f>IF($B18=0,"",BN18-BO18)</f>
        <v>0</v>
      </c>
      <c r="BQ18" s="738">
        <f>IF($B18=0,"",SUMIFS(INPUT_DATA!Q:Q,INPUT_DATA!$A:$A,$B18,INPUT_DATA!$C:$C,"D"))</f>
        <v>0</v>
      </c>
      <c r="BR18" s="760">
        <f>IF($B18=0,"",SUMIFS(INPUT_DATA!R:R,INPUT_DATA!$A:$A,$B18,INPUT_DATA!$C:$C,"D"))</f>
        <v>0</v>
      </c>
      <c r="BS18" s="760">
        <f>IF($B18=0,"",SUMIFS(INPUT_DATA!S:S,INPUT_DATA!$A:$A,$B18,INPUT_DATA!$C:$C,"D"))</f>
        <v>0</v>
      </c>
      <c r="BT18" s="312">
        <f>IF($B18=0,"",SUMIFS(INPUT_DATA!T:T,INPUT_DATA!$A:$A,$B18,INPUT_DATA!$C:$C,"D"))</f>
        <v>0</v>
      </c>
      <c r="BU18" s="312">
        <f>IF($B18=0,"",SUMIFS(INPUT_DATA!U:U,INPUT_DATA!$A:$A,$B18,INPUT_DATA!$C:$C,"D"))</f>
        <v>0</v>
      </c>
      <c r="BV18" s="312">
        <f>IF($B18=0,"",SUMIFS(INPUT_DATA!V:V,INPUT_DATA!$A:$A,$B18,INPUT_DATA!$C:$C,"D"))</f>
        <v>0</v>
      </c>
      <c r="BW18" s="312">
        <f>IF($B18=0,"",SUMIFS(INPUT_DATA!W:W,INPUT_DATA!$A:$A,$B18,INPUT_DATA!$C:$C,"D"))</f>
        <v>0</v>
      </c>
      <c r="BX18" s="312">
        <f>IF($B18=0,"",SUMIFS(INPUT_DATA!X:X,INPUT_DATA!$A:$A,$B18,INPUT_DATA!$C:$C,"D"))</f>
        <v>0</v>
      </c>
      <c r="BY18" s="312">
        <f>IF($B18=0,"",SUMIFS(INPUT_DATA!Y:Y,INPUT_DATA!$A:$A,$B18,INPUT_DATA!$C:$C,"D"))</f>
        <v>0</v>
      </c>
      <c r="BZ18" s="353">
        <f>IF($B18=0,"",SUMIFS(INPUT_DATA!Z:Z,INPUT_DATA!$A:$A,$B18,INPUT_DATA!$C:$C,"D"))</f>
        <v>0</v>
      </c>
      <c r="CA18" s="353">
        <f>IF($B18=0,"",SUMIFS(INPUT_DATA!AA:AA,INPUT_DATA!$A:$A,$B18,INPUT_DATA!$C:$C,"D"))</f>
        <v>0</v>
      </c>
      <c r="CB18" s="353">
        <f>IF($B18=0,"",SUMIFS(INPUT_DATA!AB:AB,INPUT_DATA!$A:$A,$B18,INPUT_DATA!$C:$C,"D"))</f>
        <v>0</v>
      </c>
      <c r="CC18" s="312">
        <f>IF($B18=0,"",SUMIFS(INPUT_DATA!AC:AC,INPUT_DATA!$A:$A,$B18,INPUT_DATA!$C:$C,"D"))</f>
        <v>0</v>
      </c>
      <c r="CD18" s="312">
        <f>IF($B18=0,"",SUMIFS(INPUT_DATA!AD:AD,INPUT_DATA!$A:$A,$B18,INPUT_DATA!$C:$C,"D"))</f>
        <v>0</v>
      </c>
      <c r="CE18" s="312">
        <f>IF($B18=0,"",SUMIFS(INPUT_DATA!AE:AE,INPUT_DATA!$A:$A,$B18,INPUT_DATA!$C:$C,"D"))</f>
        <v>0</v>
      </c>
      <c r="CF18" s="353">
        <f>IF($B18=0,"",SUMIFS(INPUT_DATA!AF:AF,INPUT_DATA!$A:$A,$B18,INPUT_DATA!$C:$C,"D"))</f>
        <v>0</v>
      </c>
      <c r="CG18" s="353">
        <f>IF($B18=0,"",SUMIFS(INPUT_DATA!AG:AG,INPUT_DATA!$A:$A,$B18,INPUT_DATA!$C:$C,"D"))</f>
        <v>0</v>
      </c>
      <c r="CH18" s="353">
        <f>IF($B18=0,"",SUMIFS(INPUT_DATA!AH:AH,INPUT_DATA!$A:$A,$B18,INPUT_DATA!$C:$C,"D"))</f>
        <v>0</v>
      </c>
      <c r="CI18" s="153">
        <f>IF($B18=0,"",SUMIFS(INPUT_DATA!AI:AI,INPUT_DATA!$A:$A,$B18,INPUT_DATA!$C:$C,"D"))</f>
        <v>0</v>
      </c>
      <c r="CJ18" s="153">
        <f>IF($B18=0,"",SUMIFS(INPUT_DATA!AJ:AJ,INPUT_DATA!$A:$A,$B18,INPUT_DATA!$C:$C,"D"))</f>
        <v>0</v>
      </c>
      <c r="CK18" s="153">
        <f>IF($B18=0,"",SUMIFS(INPUT_DATA!AK:AK,INPUT_DATA!$A:$A,$B18,INPUT_DATA!$C:$C,"D"))</f>
        <v>0</v>
      </c>
      <c r="CL18" s="153">
        <f>IF($B18=0,"",SUMIFS(INPUT_DATA!AL:AL,INPUT_DATA!$A:$A,$B18,INPUT_DATA!$C:$C,"D"))</f>
        <v>0</v>
      </c>
      <c r="CM18" s="153">
        <f>IF($B18=0,"",SUMIFS(INPUT_DATA!AM:AM,INPUT_DATA!$A:$A,$B18,INPUT_DATA!$C:$C,"D"))</f>
        <v>0</v>
      </c>
      <c r="CN18" s="153">
        <f>IF($B18=0,"",SUMIFS(INPUT_DATA!AN:AN,INPUT_DATA!$A:$A,$B18,INPUT_DATA!$C:$C,"D"))</f>
        <v>0</v>
      </c>
      <c r="CO18" s="153">
        <f>IF($B18=0,"",SUMIFS(INPUT_DATA!AO:AO,INPUT_DATA!$A:$A,$B18,INPUT_DATA!$C:$C,"D"))</f>
        <v>0</v>
      </c>
      <c r="CP18" s="153">
        <f>IF($B18=0,"",SUMIFS(INPUT_DATA!AP:AP,INPUT_DATA!$A:$A,$B18,INPUT_DATA!$C:$C,"D"))</f>
        <v>0</v>
      </c>
      <c r="CQ18" s="153">
        <f>IF($B18=0,"",SUMIFS(INPUT_DATA!AQ:AQ,INPUT_DATA!$A:$A,$B18,INPUT_DATA!$C:$C,"D"))</f>
        <v>0</v>
      </c>
      <c r="CR18" s="750">
        <f>IF($B18=0,"",BQ18+BT18-BW18-BZ18-CC18+CF18-CI18-CL18-CO18)</f>
        <v>0</v>
      </c>
      <c r="CS18" s="750">
        <f t="shared" ref="CS18" si="11">IF($B18=0,"",BR18+BU18-BX18-CA18-CD18+CG18-CJ18-CM18-CP18)</f>
        <v>0</v>
      </c>
      <c r="CT18" s="750">
        <f t="shared" ref="CT18" si="12">IF($B18=0,"",BS18+BV18-BY18-CB18-CE18+CH18-CK18-CN18-CQ18)</f>
        <v>0</v>
      </c>
      <c r="CU18" s="739">
        <f>IF($B18=0,"",SUMIFS(INPUT_DATA!AR:AR,INPUT_DATA!$A:$A,$B18,INPUT_DATA!$C:$C,"D"))</f>
        <v>0</v>
      </c>
      <c r="CV18" s="739">
        <f>IF($B18=0,"",SUMIFS(INPUT_DATA!AS:AS,INPUT_DATA!$A:$A,$B18,INPUT_DATA!$C:$C,"D"))</f>
        <v>0</v>
      </c>
      <c r="CW18" s="739">
        <f>IF($B18=0,"",SUMIFS(INPUT_DATA!AT:AT,INPUT_DATA!$A:$A,$B18,INPUT_DATA!$C:$C,"D"))</f>
        <v>0</v>
      </c>
      <c r="CX18" s="739">
        <f>IF($B18=0,"",CR18-CU18)</f>
        <v>0</v>
      </c>
      <c r="CY18" s="750">
        <f t="shared" ref="CY18" si="13">IF($B18=0,"",CS18-CV18)</f>
        <v>0</v>
      </c>
      <c r="CZ18" s="761">
        <f t="shared" ref="CZ18" si="14">IF($B18=0,"",CT18-CW18)</f>
        <v>0</v>
      </c>
      <c r="DA18" s="150"/>
    </row>
    <row r="19" spans="2:105" ht="13" x14ac:dyDescent="0.25">
      <c r="B19" s="733">
        <f>INPUT_DATA!BQ6</f>
        <v>45412</v>
      </c>
      <c r="C19" s="738">
        <f>IF($B19=0,"",SUMIFS(INPUT_DATA!D:D,INPUT_DATA!$A:$A,$B19,INPUT_DATA!$C:$C,"S"))</f>
        <v>717784404.42000175</v>
      </c>
      <c r="D19" s="367">
        <f>IF($B19=0,"",SUMIFS(INPUT_DATA!E:E,INPUT_DATA!$A:$A,$B19,INPUT_DATA!$C:$C,"S"))</f>
        <v>0</v>
      </c>
      <c r="E19" s="153">
        <f>IF($B19=0,"",SUMIFS(INPUT_DATA!F:F,INPUT_DATA!$A:$A,$B19,INPUT_DATA!$C:$C,"S"))</f>
        <v>4955354.1600000011</v>
      </c>
      <c r="F19" s="153">
        <f>IF($B19=0,"",SUMIFS(INPUT_DATA!G:G,INPUT_DATA!$A:$A,$B19,INPUT_DATA!$C:$C,"S"))</f>
        <v>515506.72</v>
      </c>
      <c r="G19" s="153">
        <f>IF($B19=0,"",SUMIFS(INPUT_DATA!H:H,INPUT_DATA!$A:$A,$B19,INPUT_DATA!$C:$C,"S"))</f>
        <v>0</v>
      </c>
      <c r="H19" s="153">
        <f>IF($B19=0,"",SUMIFS(INPUT_DATA!I:I,INPUT_DATA!$A:$A,$B19,INPUT_DATA!$C:$C,"S"))</f>
        <v>1270.4199999999998</v>
      </c>
      <c r="I19" s="153">
        <f>IF($B19=0,"",SUMIFS(INPUT_DATA!J:J,INPUT_DATA!$A:$A,$B19,INPUT_DATA!$C:$C,"S"))</f>
        <v>0</v>
      </c>
      <c r="J19" s="153">
        <f>IF($B19=0,"",SUMIFS(INPUT_DATA!K:K,INPUT_DATA!$A:$A,$B19,INPUT_DATA!$C:$C,"S"))</f>
        <v>0</v>
      </c>
      <c r="K19" s="153">
        <f>IF($B19=0,"",SUMIFS(INPUT_DATA!L:L,INPUT_DATA!$A:$A,$B19,INPUT_DATA!$C:$C,"S"))</f>
        <v>0</v>
      </c>
      <c r="L19" s="153">
        <f>IF($B19=0,"",SUMIFS(INPUT_DATA!M:M,INPUT_DATA!$A:$A,$B19,INPUT_DATA!$C:$C,"S"))</f>
        <v>0</v>
      </c>
      <c r="M19" s="153">
        <f>IF($B19=0,"",SUMIFS(INPUT_DATA!N:N,INPUT_DATA!$A:$A,$B19,INPUT_DATA!$C:$C,"S"))</f>
        <v>0</v>
      </c>
      <c r="N19" s="153">
        <f>IF($B19=0,"",SUMIFS(INPUT_DATA!O:O,INPUT_DATA!$A:$A,$B19,INPUT_DATA!$C:$C,"S"))</f>
        <v>0</v>
      </c>
      <c r="O19" s="741">
        <f t="shared" si="0"/>
        <v>712314813.96000171</v>
      </c>
      <c r="P19" s="742">
        <f>IF($B19=0,"",SUMIFS(INPUT_DATA!P:P,INPUT_DATA!$A:$A,$B19,INPUT_DATA!$C:$C,"S"))</f>
        <v>712314813.96000087</v>
      </c>
      <c r="Q19" s="742">
        <f t="shared" si="1"/>
        <v>8.3446502685546875E-7</v>
      </c>
      <c r="R19" s="748">
        <f>IF($B19=0,"",SUMIFS(INPUT_DATA!Q:Q,INPUT_DATA!$A:$A,$B19,INPUT_DATA!$C:$C,"S"))</f>
        <v>84046.089999999967</v>
      </c>
      <c r="S19" s="748">
        <f>IF($B19=0,"",SUMIFS(INPUT_DATA!R:R,INPUT_DATA!$A:$A,$B19,INPUT_DATA!$C:$C,"S"))</f>
        <v>5659.4600000000009</v>
      </c>
      <c r="T19" s="748">
        <f>IF($B19=0,"",SUMIFS(INPUT_DATA!S:S,INPUT_DATA!$A:$A,$B19,INPUT_DATA!$C:$C,"S"))</f>
        <v>0</v>
      </c>
      <c r="U19" s="313">
        <f>IF($B19=0,"",SUMIFS(INPUT_DATA!T:T,INPUT_DATA!$A:$A,$B19,INPUT_DATA!$C:$C,"S"))</f>
        <v>74590.569999999992</v>
      </c>
      <c r="V19" s="313">
        <f>IF($B19=0,"",SUMIFS(INPUT_DATA!U:U,INPUT_DATA!$A:$A,$B19,INPUT_DATA!$C:$C,"S"))</f>
        <v>4421.66</v>
      </c>
      <c r="W19" s="313">
        <f>IF($B19=0,"",SUMIFS(INPUT_DATA!V:V,INPUT_DATA!$A:$A,$B19,INPUT_DATA!$C:$C,"S"))</f>
        <v>0</v>
      </c>
      <c r="X19" s="313">
        <f>IF($B19=0,"",SUMIFS(INPUT_DATA!W:W,INPUT_DATA!$A:$A,$B19,INPUT_DATA!$C:$C,"S"))</f>
        <v>75454.919999999984</v>
      </c>
      <c r="Y19" s="313">
        <f>IF($B19=0,"",SUMIFS(INPUT_DATA!X:X,INPUT_DATA!$A:$A,$B19,INPUT_DATA!$C:$C,"S"))</f>
        <v>4831.4800000000014</v>
      </c>
      <c r="Z19" s="313">
        <f>IF($B19=0,"",SUMIFS(INPUT_DATA!Y:Y,INPUT_DATA!$A:$A,$B19,INPUT_DATA!$C:$C,"S"))</f>
        <v>0</v>
      </c>
      <c r="AA19" s="313">
        <f>IF($B19=0,"",SUMIFS(INPUT_DATA!Z:Z,INPUT_DATA!$A:$A,$B19,INPUT_DATA!$C:$C,"S"))</f>
        <v>0</v>
      </c>
      <c r="AB19" s="313">
        <f>IF($B19=0,"",SUMIFS(INPUT_DATA!AA:AA,INPUT_DATA!$A:$A,$B19,INPUT_DATA!$C:$C,"S"))</f>
        <v>0</v>
      </c>
      <c r="AC19" s="313">
        <f>IF($B19=0,"",SUMIFS(INPUT_DATA!AB:AB,INPUT_DATA!$A:$A,$B19,INPUT_DATA!$C:$C,"S"))</f>
        <v>0</v>
      </c>
      <c r="AD19" s="313">
        <f>IF($B19=0,"",SUMIFS(INPUT_DATA!AC:AC,INPUT_DATA!$A:$A,$B19,INPUT_DATA!$C:$C,"S"))</f>
        <v>0</v>
      </c>
      <c r="AE19" s="313">
        <f>IF($B19=0,"",SUMIFS(INPUT_DATA!AD:AD,INPUT_DATA!$A:$A,$B19,INPUT_DATA!$C:$C,"S"))</f>
        <v>0</v>
      </c>
      <c r="AF19" s="313">
        <f>IF($B19=0,"",SUMIFS(INPUT_DATA!AE:AE,INPUT_DATA!$A:$A,$B19,INPUT_DATA!$C:$C,"S"))</f>
        <v>0</v>
      </c>
      <c r="AG19" s="313">
        <f>IF($B19=0,"",SUMIFS(INPUT_DATA!AF:AF,INPUT_DATA!$A:$A,$B19,INPUT_DATA!$C:$C,"S"))</f>
        <v>0</v>
      </c>
      <c r="AH19" s="313">
        <f>IF($B19=0,"",SUMIFS(INPUT_DATA!AG:AG,INPUT_DATA!$A:$A,$B19,INPUT_DATA!$C:$C,"S"))</f>
        <v>0</v>
      </c>
      <c r="AI19" s="313">
        <f>IF($B19=0,"",SUMIFS(INPUT_DATA!AH:AH,INPUT_DATA!$A:$A,$B19,INPUT_DATA!$C:$C,"S"))</f>
        <v>0</v>
      </c>
      <c r="AJ19" s="313">
        <f>IF($B19=0,"",SUMIFS(INPUT_DATA!AI:AI,INPUT_DATA!$A:$A,$B19,INPUT_DATA!$C:$C,"S"))</f>
        <v>0</v>
      </c>
      <c r="AK19" s="313">
        <f>IF($B19=0,"",SUMIFS(INPUT_DATA!AJ:AJ,INPUT_DATA!$A:$A,$B19,INPUT_DATA!$C:$C,"S"))</f>
        <v>0</v>
      </c>
      <c r="AL19" s="313">
        <f>IF($B19=0,"",SUMIFS(INPUT_DATA!AK:AK,INPUT_DATA!$A:$A,$B19,INPUT_DATA!$C:$C,"S"))</f>
        <v>0</v>
      </c>
      <c r="AM19" s="313">
        <f>IF($B19=0,"",SUMIFS(INPUT_DATA!AL:AL,INPUT_DATA!$A:$A,$B19,INPUT_DATA!$C:$C,"S"))</f>
        <v>0</v>
      </c>
      <c r="AN19" s="313">
        <f>IF($B19=0,"",SUMIFS(INPUT_DATA!AM:AM,INPUT_DATA!$A:$A,$B19,INPUT_DATA!$C:$C,"S"))</f>
        <v>0</v>
      </c>
      <c r="AO19" s="313">
        <f>IF($B19=0,"",SUMIFS(INPUT_DATA!AN:AN,INPUT_DATA!$A:$A,$B19,INPUT_DATA!$C:$C,"S"))</f>
        <v>0</v>
      </c>
      <c r="AP19" s="313">
        <f>IF($B19=0,"",SUMIFS(INPUT_DATA!AO:AO,INPUT_DATA!$A:$A,$B19,INPUT_DATA!$C:$C,"S"))</f>
        <v>0</v>
      </c>
      <c r="AQ19" s="313">
        <f>IF($B19=0,"",SUMIFS(INPUT_DATA!AP:AP,INPUT_DATA!$A:$A,$B19,INPUT_DATA!$C:$C,"S"))</f>
        <v>0</v>
      </c>
      <c r="AR19" s="313">
        <f>IF($B19=0,"",SUMIFS(INPUT_DATA!AQ:AQ,INPUT_DATA!$A:$A,$B19,INPUT_DATA!$C:$C,"S"))</f>
        <v>0</v>
      </c>
      <c r="AS19" s="749">
        <f t="shared" si="2"/>
        <v>83181.739999999991</v>
      </c>
      <c r="AT19" s="750">
        <f t="shared" si="3"/>
        <v>5249.6399999999994</v>
      </c>
      <c r="AU19" s="751">
        <f t="shared" si="4"/>
        <v>0</v>
      </c>
      <c r="AV19" s="749">
        <f>IF($B19=0,"",SUMIFS(INPUT_DATA!AR:AR,INPUT_DATA!$A:$A,$B19,INPUT_DATA!$C:$C,"S"))</f>
        <v>83181.740000000005</v>
      </c>
      <c r="AW19" s="750">
        <f>IF($B19=0,"",SUMIFS(INPUT_DATA!AS:AS,INPUT_DATA!$A:$A,$B19,INPUT_DATA!$C:$C,"S"))</f>
        <v>5249.6399999999994</v>
      </c>
      <c r="AX19" s="751">
        <f>IF($B19=0,"",SUMIFS(INPUT_DATA!AT:AT,INPUT_DATA!$A:$A,$B19,INPUT_DATA!$C:$C,"S"))</f>
        <v>0</v>
      </c>
      <c r="AY19" s="749">
        <f t="shared" ref="AY19:AY82" si="15">IF($B19=0,"",AS19-AV19)</f>
        <v>-1.4551915228366852E-11</v>
      </c>
      <c r="AZ19" s="750">
        <f t="shared" ref="AZ19:AZ82" si="16">IF($B19=0,"",AT19-AW19)</f>
        <v>0</v>
      </c>
      <c r="BA19" s="751">
        <f t="shared" ref="BA19:BA82" si="17">IF($B19=0,"",AU19-AX19)</f>
        <v>0</v>
      </c>
      <c r="BB19" s="150"/>
      <c r="BC19" s="738">
        <f>IF($B19=0,"",SUMIFS(INPUT_DATA!D:D,INPUT_DATA!$A:$A,$B19,INPUT_DATA!$C:$C,"D"))</f>
        <v>0</v>
      </c>
      <c r="BD19" s="312">
        <f>IF($B19=0,"",SUMIFS(INPUT_DATA!F:F,INPUT_DATA!$A:$A,$B19,INPUT_DATA!$C:$C,"D"))</f>
        <v>0</v>
      </c>
      <c r="BE19" s="312">
        <f>IF($B19=0,"",SUMIFS(INPUT_DATA!G:G,INPUT_DATA!$A:$A,$B19,INPUT_DATA!$C:$C,"D"))</f>
        <v>0</v>
      </c>
      <c r="BF19" s="312">
        <f>IF($B19=0,"",SUMIFS(INPUT_DATA!H:H,INPUT_DATA!$A:$A,$B19,INPUT_DATA!$C:$C,"D"))</f>
        <v>0</v>
      </c>
      <c r="BG19" s="312">
        <f>IF($B19=0,"",SUMIFS(INPUT_DATA!I:I,INPUT_DATA!$A:$A,$B19,INPUT_DATA!$C:$C,"D"))</f>
        <v>0</v>
      </c>
      <c r="BH19" s="312">
        <f>IF($B19=0,"",SUMIFS(INPUT_DATA!J:J,INPUT_DATA!$A:$A,$B19,INPUT_DATA!$C:$C,"D"))</f>
        <v>0</v>
      </c>
      <c r="BI19" s="312">
        <f>IF($B19=0,"",SUMIFS(INPUT_DATA!K:K,INPUT_DATA!$A:$A,$B19,INPUT_DATA!$C:$C,"D"))</f>
        <v>0</v>
      </c>
      <c r="BJ19" s="312">
        <f>IF($B19=0,"",SUMIFS(INPUT_DATA!L:L,INPUT_DATA!$A:$A,$B19,INPUT_DATA!$C:$C,"D"))</f>
        <v>0</v>
      </c>
      <c r="BK19" s="312">
        <f>IF($B19=0,"",SUMIFS(INPUT_DATA!M:M,INPUT_DATA!$A:$A,$B19,INPUT_DATA!$C:$C,"D"))</f>
        <v>0</v>
      </c>
      <c r="BL19" s="312">
        <f>IF($B19=0,"",SUMIFS(INPUT_DATA!N:N,INPUT_DATA!$A:$A,$B19,INPUT_DATA!$C:$C,"D"))</f>
        <v>0</v>
      </c>
      <c r="BM19" s="312">
        <f>IF($B19=0,"",SUMIFS(INPUT_DATA!O:O,INPUT_DATA!$A:$A,$B19,INPUT_DATA!$C:$C,"D"))</f>
        <v>0</v>
      </c>
      <c r="BN19" s="754">
        <f t="shared" ref="BN19:BN82" si="18">IF($B19=0,"",BC19-BD19-BE19+BF19+BG19+BH19-BI19+BJ19-BK19-BL19-BM19)</f>
        <v>0</v>
      </c>
      <c r="BO19" s="754">
        <f>IF($B19=0,"",SUMIFS(INPUT_DATA!O:O,INPUT_DATA!$A:$A,$B19,INPUT_DATA!$C:$C,"D"))</f>
        <v>0</v>
      </c>
      <c r="BP19" s="754">
        <f t="shared" ref="BP19:BP82" si="19">IF($B19=0,"",BN19-BO19)</f>
        <v>0</v>
      </c>
      <c r="BQ19" s="738">
        <f>IF($B19=0,"",SUMIFS(INPUT_DATA!Q:Q,INPUT_DATA!$A:$A,$B19,INPUT_DATA!$C:$C,"D"))</f>
        <v>0</v>
      </c>
      <c r="BR19" s="760">
        <f>IF($B19=0,"",SUMIFS(INPUT_DATA!R:R,INPUT_DATA!$A:$A,$B19,INPUT_DATA!$C:$C,"D"))</f>
        <v>0</v>
      </c>
      <c r="BS19" s="760">
        <f>IF($B19=0,"",SUMIFS(INPUT_DATA!S:S,INPUT_DATA!$A:$A,$B19,INPUT_DATA!$C:$C,"D"))</f>
        <v>0</v>
      </c>
      <c r="BT19" s="312">
        <f>IF($B19=0,"",SUMIFS(INPUT_DATA!T:T,INPUT_DATA!$A:$A,$B19,INPUT_DATA!$C:$C,"D"))</f>
        <v>0</v>
      </c>
      <c r="BU19" s="312">
        <f>IF($B19=0,"",SUMIFS(INPUT_DATA!U:U,INPUT_DATA!$A:$A,$B19,INPUT_DATA!$C:$C,"D"))</f>
        <v>0</v>
      </c>
      <c r="BV19" s="312">
        <f>IF($B19=0,"",SUMIFS(INPUT_DATA!V:V,INPUT_DATA!$A:$A,$B19,INPUT_DATA!$C:$C,"D"))</f>
        <v>0</v>
      </c>
      <c r="BW19" s="312">
        <f>IF($B19=0,"",SUMIFS(INPUT_DATA!W:W,INPUT_DATA!$A:$A,$B19,INPUT_DATA!$C:$C,"D"))</f>
        <v>0</v>
      </c>
      <c r="BX19" s="312">
        <f>IF($B19=0,"",SUMIFS(INPUT_DATA!X:X,INPUT_DATA!$A:$A,$B19,INPUT_DATA!$C:$C,"D"))</f>
        <v>0</v>
      </c>
      <c r="BY19" s="312">
        <f>IF($B19=0,"",SUMIFS(INPUT_DATA!Y:Y,INPUT_DATA!$A:$A,$B19,INPUT_DATA!$C:$C,"D"))</f>
        <v>0</v>
      </c>
      <c r="BZ19" s="353">
        <f>IF($B19=0,"",SUMIFS(INPUT_DATA!Z:Z,INPUT_DATA!$A:$A,$B19,INPUT_DATA!$C:$C,"D"))</f>
        <v>0</v>
      </c>
      <c r="CA19" s="353">
        <f>IF($B19=0,"",SUMIFS(INPUT_DATA!AA:AA,INPUT_DATA!$A:$A,$B19,INPUT_DATA!$C:$C,"D"))</f>
        <v>0</v>
      </c>
      <c r="CB19" s="353">
        <f>IF($B19=0,"",SUMIFS(INPUT_DATA!AB:AB,INPUT_DATA!$A:$A,$B19,INPUT_DATA!$C:$C,"D"))</f>
        <v>0</v>
      </c>
      <c r="CC19" s="312">
        <f>IF($B19=0,"",SUMIFS(INPUT_DATA!AC:AC,INPUT_DATA!$A:$A,$B19,INPUT_DATA!$C:$C,"D"))</f>
        <v>0</v>
      </c>
      <c r="CD19" s="312">
        <f>IF($B19=0,"",SUMIFS(INPUT_DATA!AD:AD,INPUT_DATA!$A:$A,$B19,INPUT_DATA!$C:$C,"D"))</f>
        <v>0</v>
      </c>
      <c r="CE19" s="312">
        <f>IF($B19=0,"",SUMIFS(INPUT_DATA!AE:AE,INPUT_DATA!$A:$A,$B19,INPUT_DATA!$C:$C,"D"))</f>
        <v>0</v>
      </c>
      <c r="CF19" s="353">
        <f>IF($B19=0,"",SUMIFS(INPUT_DATA!AF:AF,INPUT_DATA!$A:$A,$B19,INPUT_DATA!$C:$C,"D"))</f>
        <v>0</v>
      </c>
      <c r="CG19" s="353">
        <f>IF($B19=0,"",SUMIFS(INPUT_DATA!AG:AG,INPUT_DATA!$A:$A,$B19,INPUT_DATA!$C:$C,"D"))</f>
        <v>0</v>
      </c>
      <c r="CH19" s="353">
        <f>IF($B19=0,"",SUMIFS(INPUT_DATA!AH:AH,INPUT_DATA!$A:$A,$B19,INPUT_DATA!$C:$C,"D"))</f>
        <v>0</v>
      </c>
      <c r="CI19" s="153">
        <f>IF($B19=0,"",SUMIFS(INPUT_DATA!AI:AI,INPUT_DATA!$A:$A,$B19,INPUT_DATA!$C:$C,"D"))</f>
        <v>0</v>
      </c>
      <c r="CJ19" s="153">
        <f>IF($B19=0,"",SUMIFS(INPUT_DATA!AJ:AJ,INPUT_DATA!$A:$A,$B19,INPUT_DATA!$C:$C,"D"))</f>
        <v>0</v>
      </c>
      <c r="CK19" s="153">
        <f>IF($B19=0,"",SUMIFS(INPUT_DATA!AK:AK,INPUT_DATA!$A:$A,$B19,INPUT_DATA!$C:$C,"D"))</f>
        <v>0</v>
      </c>
      <c r="CL19" s="153">
        <f>IF($B19=0,"",SUMIFS(INPUT_DATA!AL:AL,INPUT_DATA!$A:$A,$B19,INPUT_DATA!$C:$C,"D"))</f>
        <v>0</v>
      </c>
      <c r="CM19" s="153">
        <f>IF($B19=0,"",SUMIFS(INPUT_DATA!AM:AM,INPUT_DATA!$A:$A,$B19,INPUT_DATA!$C:$C,"D"))</f>
        <v>0</v>
      </c>
      <c r="CN19" s="153">
        <f>IF($B19=0,"",SUMIFS(INPUT_DATA!AN:AN,INPUT_DATA!$A:$A,$B19,INPUT_DATA!$C:$C,"D"))</f>
        <v>0</v>
      </c>
      <c r="CO19" s="153">
        <f>IF($B19=0,"",SUMIFS(INPUT_DATA!AO:AO,INPUT_DATA!$A:$A,$B19,INPUT_DATA!$C:$C,"D"))</f>
        <v>0</v>
      </c>
      <c r="CP19" s="153">
        <f>IF($B19=0,"",SUMIFS(INPUT_DATA!AP:AP,INPUT_DATA!$A:$A,$B19,INPUT_DATA!$C:$C,"D"))</f>
        <v>0</v>
      </c>
      <c r="CQ19" s="153">
        <f>IF($B19=0,"",SUMIFS(INPUT_DATA!AQ:AQ,INPUT_DATA!$A:$A,$B19,INPUT_DATA!$C:$C,"D"))</f>
        <v>0</v>
      </c>
      <c r="CR19" s="750">
        <f t="shared" ref="CR19:CR22" si="20">IF($B19=0,"",BQ19+BT19-BW19-BZ19-CC19+CF19-CI19-CL19-CO19)</f>
        <v>0</v>
      </c>
      <c r="CS19" s="750">
        <f t="shared" ref="CS19:CS22" si="21">IF($B19=0,"",BR19+BU19-BX19-CA19-CD19+CG19-CJ19-CM19-CP19)</f>
        <v>0</v>
      </c>
      <c r="CT19" s="750">
        <f t="shared" ref="CT19:CT22" si="22">IF($B19=0,"",BS19+BV19-BY19-CB19-CE19+CH19-CK19-CN19-CQ19)</f>
        <v>0</v>
      </c>
      <c r="CU19" s="739">
        <f>IF($B19=0,"",SUMIFS(INPUT_DATA!AR:AR,INPUT_DATA!$A:$A,$B19,INPUT_DATA!$C:$C,"D"))</f>
        <v>0</v>
      </c>
      <c r="CV19" s="739">
        <f>IF($B19=0,"",SUMIFS(INPUT_DATA!AS:AS,INPUT_DATA!$A:$A,$B19,INPUT_DATA!$C:$C,"D"))</f>
        <v>0</v>
      </c>
      <c r="CW19" s="739">
        <f>IF($B19=0,"",SUMIFS(INPUT_DATA!AT:AT,INPUT_DATA!$A:$A,$B19,INPUT_DATA!$C:$C,"D"))</f>
        <v>0</v>
      </c>
      <c r="CX19" s="739">
        <f t="shared" ref="CX19:CX22" si="23">IF($B19=0,"",CR19-CU19)</f>
        <v>0</v>
      </c>
      <c r="CY19" s="750">
        <f t="shared" ref="CY19:CY22" si="24">IF($B19=0,"",CS19-CV19)</f>
        <v>0</v>
      </c>
      <c r="CZ19" s="761">
        <f t="shared" ref="CZ19:CZ22" si="25">IF($B19=0,"",CT19-CW19)</f>
        <v>0</v>
      </c>
      <c r="DA19" s="150"/>
    </row>
    <row r="20" spans="2:105" ht="13" x14ac:dyDescent="0.25">
      <c r="B20" s="733">
        <f>INPUT_DATA!BQ7</f>
        <v>45382</v>
      </c>
      <c r="C20" s="738">
        <f>IF($B20=0,"",SUMIFS(INPUT_DATA!D:D,INPUT_DATA!$A:$A,$B20,INPUT_DATA!$C:$C,"S"))</f>
        <v>724084667.10999954</v>
      </c>
      <c r="D20" s="367">
        <f>IF($B20=0,"",SUMIFS(INPUT_DATA!E:E,INPUT_DATA!$A:$A,$B20,INPUT_DATA!$C:$C,"S"))</f>
        <v>0</v>
      </c>
      <c r="E20" s="153">
        <f>IF($B20=0,"",SUMIFS(INPUT_DATA!F:F,INPUT_DATA!$A:$A,$B20,INPUT_DATA!$C:$C,"S"))</f>
        <v>4929820.2499999972</v>
      </c>
      <c r="F20" s="153">
        <f>IF($B20=0,"",SUMIFS(INPUT_DATA!G:G,INPUT_DATA!$A:$A,$B20,INPUT_DATA!$C:$C,"S"))</f>
        <v>1371710.64</v>
      </c>
      <c r="G20" s="153">
        <f>IF($B20=0,"",SUMIFS(INPUT_DATA!H:H,INPUT_DATA!$A:$A,$B20,INPUT_DATA!$C:$C,"S"))</f>
        <v>0</v>
      </c>
      <c r="H20" s="153">
        <f>IF($B20=0,"",SUMIFS(INPUT_DATA!I:I,INPUT_DATA!$A:$A,$B20,INPUT_DATA!$C:$C,"S"))</f>
        <v>1268.2</v>
      </c>
      <c r="I20" s="153">
        <f>IF($B20=0,"",SUMIFS(INPUT_DATA!J:J,INPUT_DATA!$A:$A,$B20,INPUT_DATA!$C:$C,"S"))</f>
        <v>0</v>
      </c>
      <c r="J20" s="153">
        <f>IF($B20=0,"",SUMIFS(INPUT_DATA!K:K,INPUT_DATA!$A:$A,$B20,INPUT_DATA!$C:$C,"S"))</f>
        <v>0</v>
      </c>
      <c r="K20" s="153">
        <f>IF($B20=0,"",SUMIFS(INPUT_DATA!L:L,INPUT_DATA!$A:$A,$B20,INPUT_DATA!$C:$C,"S"))</f>
        <v>0</v>
      </c>
      <c r="L20" s="153">
        <f>IF($B20=0,"",SUMIFS(INPUT_DATA!M:M,INPUT_DATA!$A:$A,$B20,INPUT_DATA!$C:$C,"S"))</f>
        <v>0</v>
      </c>
      <c r="M20" s="153">
        <f>IF($B20=0,"",SUMIFS(INPUT_DATA!N:N,INPUT_DATA!$A:$A,$B20,INPUT_DATA!$C:$C,"S"))</f>
        <v>0</v>
      </c>
      <c r="N20" s="153">
        <f>IF($B20=0,"",SUMIFS(INPUT_DATA!O:O,INPUT_DATA!$A:$A,$B20,INPUT_DATA!$C:$C,"S"))</f>
        <v>0</v>
      </c>
      <c r="O20" s="741">
        <f t="shared" si="0"/>
        <v>717784404.4199996</v>
      </c>
      <c r="P20" s="742">
        <f>IF($B20=0,"",SUMIFS(INPUT_DATA!P:P,INPUT_DATA!$A:$A,$B20,INPUT_DATA!$C:$C,"S"))</f>
        <v>717784404.41999996</v>
      </c>
      <c r="Q20" s="742">
        <f t="shared" si="1"/>
        <v>-3.5762786865234375E-7</v>
      </c>
      <c r="R20" s="748">
        <f>IF($B20=0,"",SUMIFS(INPUT_DATA!Q:Q,INPUT_DATA!$A:$A,$B20,INPUT_DATA!$C:$C,"S"))</f>
        <v>86286.680000000022</v>
      </c>
      <c r="S20" s="748">
        <f>IF($B20=0,"",SUMIFS(INPUT_DATA!R:R,INPUT_DATA!$A:$A,$B20,INPUT_DATA!$C:$C,"S"))</f>
        <v>6989.1299999999992</v>
      </c>
      <c r="T20" s="748">
        <f>IF($B20=0,"",SUMIFS(INPUT_DATA!S:S,INPUT_DATA!$A:$A,$B20,INPUT_DATA!$C:$C,"S"))</f>
        <v>0</v>
      </c>
      <c r="U20" s="313">
        <f>IF($B20=0,"",SUMIFS(INPUT_DATA!T:T,INPUT_DATA!$A:$A,$B20,INPUT_DATA!$C:$C,"S"))</f>
        <v>70299.989999999962</v>
      </c>
      <c r="V20" s="313">
        <f>IF($B20=0,"",SUMIFS(INPUT_DATA!U:U,INPUT_DATA!$A:$A,$B20,INPUT_DATA!$C:$C,"S"))</f>
        <v>4775.9099999999989</v>
      </c>
      <c r="W20" s="313">
        <f>IF($B20=0,"",SUMIFS(INPUT_DATA!V:V,INPUT_DATA!$A:$A,$B20,INPUT_DATA!$C:$C,"S"))</f>
        <v>0</v>
      </c>
      <c r="X20" s="313">
        <f>IF($B20=0,"",SUMIFS(INPUT_DATA!W:W,INPUT_DATA!$A:$A,$B20,INPUT_DATA!$C:$C,"S"))</f>
        <v>72540.579999999973</v>
      </c>
      <c r="Y20" s="313">
        <f>IF($B20=0,"",SUMIFS(INPUT_DATA!X:X,INPUT_DATA!$A:$A,$B20,INPUT_DATA!$C:$C,"S"))</f>
        <v>6105.58</v>
      </c>
      <c r="Z20" s="313">
        <f>IF($B20=0,"",SUMIFS(INPUT_DATA!Y:Y,INPUT_DATA!$A:$A,$B20,INPUT_DATA!$C:$C,"S"))</f>
        <v>0</v>
      </c>
      <c r="AA20" s="313">
        <f>IF($B20=0,"",SUMIFS(INPUT_DATA!Z:Z,INPUT_DATA!$A:$A,$B20,INPUT_DATA!$C:$C,"S"))</f>
        <v>0</v>
      </c>
      <c r="AB20" s="313">
        <f>IF($B20=0,"",SUMIFS(INPUT_DATA!AA:AA,INPUT_DATA!$A:$A,$B20,INPUT_DATA!$C:$C,"S"))</f>
        <v>0</v>
      </c>
      <c r="AC20" s="313">
        <f>IF($B20=0,"",SUMIFS(INPUT_DATA!AB:AB,INPUT_DATA!$A:$A,$B20,INPUT_DATA!$C:$C,"S"))</f>
        <v>0</v>
      </c>
      <c r="AD20" s="313">
        <f>IF($B20=0,"",SUMIFS(INPUT_DATA!AC:AC,INPUT_DATA!$A:$A,$B20,INPUT_DATA!$C:$C,"S"))</f>
        <v>0</v>
      </c>
      <c r="AE20" s="313">
        <f>IF($B20=0,"",SUMIFS(INPUT_DATA!AD:AD,INPUT_DATA!$A:$A,$B20,INPUT_DATA!$C:$C,"S"))</f>
        <v>0</v>
      </c>
      <c r="AF20" s="313">
        <f>IF($B20=0,"",SUMIFS(INPUT_DATA!AE:AE,INPUT_DATA!$A:$A,$B20,INPUT_DATA!$C:$C,"S"))</f>
        <v>0</v>
      </c>
      <c r="AG20" s="313">
        <f>IF($B20=0,"",SUMIFS(INPUT_DATA!AF:AF,INPUT_DATA!$A:$A,$B20,INPUT_DATA!$C:$C,"S"))</f>
        <v>0</v>
      </c>
      <c r="AH20" s="313">
        <f>IF($B20=0,"",SUMIFS(INPUT_DATA!AG:AG,INPUT_DATA!$A:$A,$B20,INPUT_DATA!$C:$C,"S"))</f>
        <v>0</v>
      </c>
      <c r="AI20" s="313">
        <f>IF($B20=0,"",SUMIFS(INPUT_DATA!AH:AH,INPUT_DATA!$A:$A,$B20,INPUT_DATA!$C:$C,"S"))</f>
        <v>0</v>
      </c>
      <c r="AJ20" s="313">
        <f>IF($B20=0,"",SUMIFS(INPUT_DATA!AI:AI,INPUT_DATA!$A:$A,$B20,INPUT_DATA!$C:$C,"S"))</f>
        <v>0</v>
      </c>
      <c r="AK20" s="313">
        <f>IF($B20=0,"",SUMIFS(INPUT_DATA!AJ:AJ,INPUT_DATA!$A:$A,$B20,INPUT_DATA!$C:$C,"S"))</f>
        <v>0</v>
      </c>
      <c r="AL20" s="313">
        <f>IF($B20=0,"",SUMIFS(INPUT_DATA!AK:AK,INPUT_DATA!$A:$A,$B20,INPUT_DATA!$C:$C,"S"))</f>
        <v>0</v>
      </c>
      <c r="AM20" s="313">
        <f>IF($B20=0,"",SUMIFS(INPUT_DATA!AL:AL,INPUT_DATA!$A:$A,$B20,INPUT_DATA!$C:$C,"S"))</f>
        <v>0</v>
      </c>
      <c r="AN20" s="313">
        <f>IF($B20=0,"",SUMIFS(INPUT_DATA!AM:AM,INPUT_DATA!$A:$A,$B20,INPUT_DATA!$C:$C,"S"))</f>
        <v>0</v>
      </c>
      <c r="AO20" s="313">
        <f>IF($B20=0,"",SUMIFS(INPUT_DATA!AN:AN,INPUT_DATA!$A:$A,$B20,INPUT_DATA!$C:$C,"S"))</f>
        <v>0</v>
      </c>
      <c r="AP20" s="313">
        <f>IF($B20=0,"",SUMIFS(INPUT_DATA!AO:AO,INPUT_DATA!$A:$A,$B20,INPUT_DATA!$C:$C,"S"))</f>
        <v>0</v>
      </c>
      <c r="AQ20" s="313">
        <f>IF($B20=0,"",SUMIFS(INPUT_DATA!AP:AP,INPUT_DATA!$A:$A,$B20,INPUT_DATA!$C:$C,"S"))</f>
        <v>0</v>
      </c>
      <c r="AR20" s="313">
        <f>IF($B20=0,"",SUMIFS(INPUT_DATA!AQ:AQ,INPUT_DATA!$A:$A,$B20,INPUT_DATA!$C:$C,"S"))</f>
        <v>0</v>
      </c>
      <c r="AS20" s="749">
        <f t="shared" si="2"/>
        <v>84046.090000000011</v>
      </c>
      <c r="AT20" s="750">
        <f t="shared" si="3"/>
        <v>5659.4599999999973</v>
      </c>
      <c r="AU20" s="751">
        <f t="shared" si="4"/>
        <v>0</v>
      </c>
      <c r="AV20" s="749">
        <f>IF($B20=0,"",SUMIFS(INPUT_DATA!AR:AR,INPUT_DATA!$A:$A,$B20,INPUT_DATA!$C:$C,"S"))</f>
        <v>84046.089999999967</v>
      </c>
      <c r="AW20" s="750">
        <f>IF($B20=0,"",SUMIFS(INPUT_DATA!AS:AS,INPUT_DATA!$A:$A,$B20,INPUT_DATA!$C:$C,"S"))</f>
        <v>5659.4600000000009</v>
      </c>
      <c r="AX20" s="751">
        <f>IF($B20=0,"",SUMIFS(INPUT_DATA!AT:AT,INPUT_DATA!$A:$A,$B20,INPUT_DATA!$C:$C,"S"))</f>
        <v>0</v>
      </c>
      <c r="AY20" s="749">
        <f t="shared" si="15"/>
        <v>4.3655745685100555E-11</v>
      </c>
      <c r="AZ20" s="750">
        <f t="shared" si="16"/>
        <v>-3.637978807091713E-12</v>
      </c>
      <c r="BA20" s="751">
        <f t="shared" si="17"/>
        <v>0</v>
      </c>
      <c r="BB20" s="150"/>
      <c r="BC20" s="738">
        <f>IF($B20=0,"",SUMIFS(INPUT_DATA!D:D,INPUT_DATA!$A:$A,$B20,INPUT_DATA!$C:$C,"D"))</f>
        <v>0</v>
      </c>
      <c r="BD20" s="312">
        <f>IF($B20=0,"",SUMIFS(INPUT_DATA!F:F,INPUT_DATA!$A:$A,$B20,INPUT_DATA!$C:$C,"D"))</f>
        <v>0</v>
      </c>
      <c r="BE20" s="312">
        <f>IF($B20=0,"",SUMIFS(INPUT_DATA!G:G,INPUT_DATA!$A:$A,$B20,INPUT_DATA!$C:$C,"D"))</f>
        <v>0</v>
      </c>
      <c r="BF20" s="312">
        <f>IF($B20=0,"",SUMIFS(INPUT_DATA!H:H,INPUT_DATA!$A:$A,$B20,INPUT_DATA!$C:$C,"D"))</f>
        <v>0</v>
      </c>
      <c r="BG20" s="312">
        <f>IF($B20=0,"",SUMIFS(INPUT_DATA!I:I,INPUT_DATA!$A:$A,$B20,INPUT_DATA!$C:$C,"D"))</f>
        <v>0</v>
      </c>
      <c r="BH20" s="312">
        <f>IF($B20=0,"",SUMIFS(INPUT_DATA!J:J,INPUT_DATA!$A:$A,$B20,INPUT_DATA!$C:$C,"D"))</f>
        <v>0</v>
      </c>
      <c r="BI20" s="312">
        <f>IF($B20=0,"",SUMIFS(INPUT_DATA!K:K,INPUT_DATA!$A:$A,$B20,INPUT_DATA!$C:$C,"D"))</f>
        <v>0</v>
      </c>
      <c r="BJ20" s="312">
        <f>IF($B20=0,"",SUMIFS(INPUT_DATA!L:L,INPUT_DATA!$A:$A,$B20,INPUT_DATA!$C:$C,"D"))</f>
        <v>0</v>
      </c>
      <c r="BK20" s="312">
        <f>IF($B20=0,"",SUMIFS(INPUT_DATA!M:M,INPUT_DATA!$A:$A,$B20,INPUT_DATA!$C:$C,"D"))</f>
        <v>0</v>
      </c>
      <c r="BL20" s="312">
        <f>IF($B20=0,"",SUMIFS(INPUT_DATA!N:N,INPUT_DATA!$A:$A,$B20,INPUT_DATA!$C:$C,"D"))</f>
        <v>0</v>
      </c>
      <c r="BM20" s="312">
        <f>IF($B20=0,"",SUMIFS(INPUT_DATA!O:O,INPUT_DATA!$A:$A,$B20,INPUT_DATA!$C:$C,"D"))</f>
        <v>0</v>
      </c>
      <c r="BN20" s="754">
        <f t="shared" si="18"/>
        <v>0</v>
      </c>
      <c r="BO20" s="754">
        <f>IF($B20=0,"",SUMIFS(INPUT_DATA!O:O,INPUT_DATA!$A:$A,$B20,INPUT_DATA!$C:$C,"D"))</f>
        <v>0</v>
      </c>
      <c r="BP20" s="754">
        <f t="shared" si="19"/>
        <v>0</v>
      </c>
      <c r="BQ20" s="738">
        <f>IF($B20=0,"",SUMIFS(INPUT_DATA!Q:Q,INPUT_DATA!$A:$A,$B20,INPUT_DATA!$C:$C,"D"))</f>
        <v>0</v>
      </c>
      <c r="BR20" s="760">
        <f>IF($B20=0,"",SUMIFS(INPUT_DATA!R:R,INPUT_DATA!$A:$A,$B20,INPUT_DATA!$C:$C,"D"))</f>
        <v>0</v>
      </c>
      <c r="BS20" s="760">
        <f>IF($B20=0,"",SUMIFS(INPUT_DATA!S:S,INPUT_DATA!$A:$A,$B20,INPUT_DATA!$C:$C,"D"))</f>
        <v>0</v>
      </c>
      <c r="BT20" s="312">
        <f>IF($B20=0,"",SUMIFS(INPUT_DATA!T:T,INPUT_DATA!$A:$A,$B20,INPUT_DATA!$C:$C,"D"))</f>
        <v>0</v>
      </c>
      <c r="BU20" s="312">
        <f>IF($B20=0,"",SUMIFS(INPUT_DATA!U:U,INPUT_DATA!$A:$A,$B20,INPUT_DATA!$C:$C,"D"))</f>
        <v>0</v>
      </c>
      <c r="BV20" s="312">
        <f>IF($B20=0,"",SUMIFS(INPUT_DATA!V:V,INPUT_DATA!$A:$A,$B20,INPUT_DATA!$C:$C,"D"))</f>
        <v>0</v>
      </c>
      <c r="BW20" s="312">
        <f>IF($B20=0,"",SUMIFS(INPUT_DATA!W:W,INPUT_DATA!$A:$A,$B20,INPUT_DATA!$C:$C,"D"))</f>
        <v>0</v>
      </c>
      <c r="BX20" s="312">
        <f>IF($B20=0,"",SUMIFS(INPUT_DATA!X:X,INPUT_DATA!$A:$A,$B20,INPUT_DATA!$C:$C,"D"))</f>
        <v>0</v>
      </c>
      <c r="BY20" s="312">
        <f>IF($B20=0,"",SUMIFS(INPUT_DATA!Y:Y,INPUT_DATA!$A:$A,$B20,INPUT_DATA!$C:$C,"D"))</f>
        <v>0</v>
      </c>
      <c r="BZ20" s="353">
        <f>IF($B20=0,"",SUMIFS(INPUT_DATA!Z:Z,INPUT_DATA!$A:$A,$B20,INPUT_DATA!$C:$C,"D"))</f>
        <v>0</v>
      </c>
      <c r="CA20" s="353">
        <f>IF($B20=0,"",SUMIFS(INPUT_DATA!AA:AA,INPUT_DATA!$A:$A,$B20,INPUT_DATA!$C:$C,"D"))</f>
        <v>0</v>
      </c>
      <c r="CB20" s="353">
        <f>IF($B20=0,"",SUMIFS(INPUT_DATA!AB:AB,INPUT_DATA!$A:$A,$B20,INPUT_DATA!$C:$C,"D"))</f>
        <v>0</v>
      </c>
      <c r="CC20" s="312">
        <f>IF($B20=0,"",SUMIFS(INPUT_DATA!AC:AC,INPUT_DATA!$A:$A,$B20,INPUT_DATA!$C:$C,"D"))</f>
        <v>0</v>
      </c>
      <c r="CD20" s="312">
        <f>IF($B20=0,"",SUMIFS(INPUT_DATA!AD:AD,INPUT_DATA!$A:$A,$B20,INPUT_DATA!$C:$C,"D"))</f>
        <v>0</v>
      </c>
      <c r="CE20" s="312">
        <f>IF($B20=0,"",SUMIFS(INPUT_DATA!AE:AE,INPUT_DATA!$A:$A,$B20,INPUT_DATA!$C:$C,"D"))</f>
        <v>0</v>
      </c>
      <c r="CF20" s="353">
        <f>IF($B20=0,"",SUMIFS(INPUT_DATA!AF:AF,INPUT_DATA!$A:$A,$B20,INPUT_DATA!$C:$C,"D"))</f>
        <v>0</v>
      </c>
      <c r="CG20" s="353">
        <f>IF($B20=0,"",SUMIFS(INPUT_DATA!AG:AG,INPUT_DATA!$A:$A,$B20,INPUT_DATA!$C:$C,"D"))</f>
        <v>0</v>
      </c>
      <c r="CH20" s="353">
        <f>IF($B20=0,"",SUMIFS(INPUT_DATA!AH:AH,INPUT_DATA!$A:$A,$B20,INPUT_DATA!$C:$C,"D"))</f>
        <v>0</v>
      </c>
      <c r="CI20" s="153">
        <f>IF($B20=0,"",SUMIFS(INPUT_DATA!AI:AI,INPUT_DATA!$A:$A,$B20,INPUT_DATA!$C:$C,"D"))</f>
        <v>0</v>
      </c>
      <c r="CJ20" s="153">
        <f>IF($B20=0,"",SUMIFS(INPUT_DATA!AJ:AJ,INPUT_DATA!$A:$A,$B20,INPUT_DATA!$C:$C,"D"))</f>
        <v>0</v>
      </c>
      <c r="CK20" s="153">
        <f>IF($B20=0,"",SUMIFS(INPUT_DATA!AK:AK,INPUT_DATA!$A:$A,$B20,INPUT_DATA!$C:$C,"D"))</f>
        <v>0</v>
      </c>
      <c r="CL20" s="153">
        <f>IF($B20=0,"",SUMIFS(INPUT_DATA!AL:AL,INPUT_DATA!$A:$A,$B20,INPUT_DATA!$C:$C,"D"))</f>
        <v>0</v>
      </c>
      <c r="CM20" s="153">
        <f>IF($B20=0,"",SUMIFS(INPUT_DATA!AM:AM,INPUT_DATA!$A:$A,$B20,INPUT_DATA!$C:$C,"D"))</f>
        <v>0</v>
      </c>
      <c r="CN20" s="153">
        <f>IF($B20=0,"",SUMIFS(INPUT_DATA!AN:AN,INPUT_DATA!$A:$A,$B20,INPUT_DATA!$C:$C,"D"))</f>
        <v>0</v>
      </c>
      <c r="CO20" s="153">
        <f>IF($B20=0,"",SUMIFS(INPUT_DATA!AO:AO,INPUT_DATA!$A:$A,$B20,INPUT_DATA!$C:$C,"D"))</f>
        <v>0</v>
      </c>
      <c r="CP20" s="153">
        <f>IF($B20=0,"",SUMIFS(INPUT_DATA!AP:AP,INPUT_DATA!$A:$A,$B20,INPUT_DATA!$C:$C,"D"))</f>
        <v>0</v>
      </c>
      <c r="CQ20" s="153">
        <f>IF($B20=0,"",SUMIFS(INPUT_DATA!AQ:AQ,INPUT_DATA!$A:$A,$B20,INPUT_DATA!$C:$C,"D"))</f>
        <v>0</v>
      </c>
      <c r="CR20" s="750">
        <f t="shared" si="20"/>
        <v>0</v>
      </c>
      <c r="CS20" s="750">
        <f t="shared" si="21"/>
        <v>0</v>
      </c>
      <c r="CT20" s="750">
        <f t="shared" si="22"/>
        <v>0</v>
      </c>
      <c r="CU20" s="739">
        <f>IF($B20=0,"",SUMIFS(INPUT_DATA!AR:AR,INPUT_DATA!$A:$A,$B20,INPUT_DATA!$C:$C,"D"))</f>
        <v>0</v>
      </c>
      <c r="CV20" s="739">
        <f>IF($B20=0,"",SUMIFS(INPUT_DATA!AS:AS,INPUT_DATA!$A:$A,$B20,INPUT_DATA!$C:$C,"D"))</f>
        <v>0</v>
      </c>
      <c r="CW20" s="739">
        <f>IF($B20=0,"",SUMIFS(INPUT_DATA!AT:AT,INPUT_DATA!$A:$A,$B20,INPUT_DATA!$C:$C,"D"))</f>
        <v>0</v>
      </c>
      <c r="CX20" s="739">
        <f t="shared" si="23"/>
        <v>0</v>
      </c>
      <c r="CY20" s="750">
        <f t="shared" si="24"/>
        <v>0</v>
      </c>
      <c r="CZ20" s="761">
        <f t="shared" si="25"/>
        <v>0</v>
      </c>
      <c r="DA20" s="150"/>
    </row>
    <row r="21" spans="2:105" ht="13" x14ac:dyDescent="0.25">
      <c r="B21" s="733">
        <f>INPUT_DATA!BQ8</f>
        <v>45351</v>
      </c>
      <c r="C21" s="738">
        <f>IF($B21=0,"",SUMIFS(INPUT_DATA!D:D,INPUT_DATA!$A:$A,$B21,INPUT_DATA!$C:$C,"S"))</f>
        <v>732697498</v>
      </c>
      <c r="D21" s="367">
        <f>IF($B21=0,"",SUMIFS(INPUT_DATA!E:E,INPUT_DATA!$A:$A,$B21,INPUT_DATA!$C:$C,"S"))</f>
        <v>0</v>
      </c>
      <c r="E21" s="153">
        <f>IF($B21=0,"",SUMIFS(INPUT_DATA!F:F,INPUT_DATA!$A:$A,$B21,INPUT_DATA!$C:$C,"S"))</f>
        <v>4937474.88</v>
      </c>
      <c r="F21" s="153">
        <f>IF($B21=0,"",SUMIFS(INPUT_DATA!G:G,INPUT_DATA!$A:$A,$B21,INPUT_DATA!$C:$C,"S"))</f>
        <v>3676512.91</v>
      </c>
      <c r="G21" s="153">
        <f>IF($B21=0,"",SUMIFS(INPUT_DATA!H:H,INPUT_DATA!$A:$A,$B21,INPUT_DATA!$C:$C,"S"))</f>
        <v>0</v>
      </c>
      <c r="H21" s="153">
        <f>IF($B21=0,"",SUMIFS(INPUT_DATA!I:I,INPUT_DATA!$A:$A,$B21,INPUT_DATA!$C:$C,"S"))</f>
        <v>1156.9000000000001</v>
      </c>
      <c r="I21" s="153">
        <f>IF($B21=0,"",SUMIFS(INPUT_DATA!J:J,INPUT_DATA!$A:$A,$B21,INPUT_DATA!$C:$C,"S"))</f>
        <v>0</v>
      </c>
      <c r="J21" s="153">
        <f>IF($B21=0,"",SUMIFS(INPUT_DATA!K:K,INPUT_DATA!$A:$A,$B21,INPUT_DATA!$C:$C,"S"))</f>
        <v>0</v>
      </c>
      <c r="K21" s="153">
        <f>IF($B21=0,"",SUMIFS(INPUT_DATA!L:L,INPUT_DATA!$A:$A,$B21,INPUT_DATA!$C:$C,"S"))</f>
        <v>0</v>
      </c>
      <c r="L21" s="153">
        <f>IF($B21=0,"",SUMIFS(INPUT_DATA!M:M,INPUT_DATA!$A:$A,$B21,INPUT_DATA!$C:$C,"S"))</f>
        <v>0</v>
      </c>
      <c r="M21" s="153">
        <f>IF($B21=0,"",SUMIFS(INPUT_DATA!N:N,INPUT_DATA!$A:$A,$B21,INPUT_DATA!$C:$C,"S"))</f>
        <v>0</v>
      </c>
      <c r="N21" s="153">
        <f>IF($B21=0,"",SUMIFS(INPUT_DATA!O:O,INPUT_DATA!$A:$A,$B21,INPUT_DATA!$C:$C,"S"))</f>
        <v>0</v>
      </c>
      <c r="O21" s="741">
        <f t="shared" si="0"/>
        <v>724084667.11000001</v>
      </c>
      <c r="P21" s="742">
        <f>IF($B21=0,"",SUMIFS(INPUT_DATA!P:P,INPUT_DATA!$A:$A,$B21,INPUT_DATA!$C:$C,"S"))</f>
        <v>724084667.11000001</v>
      </c>
      <c r="Q21" s="742">
        <f t="shared" si="1"/>
        <v>0</v>
      </c>
      <c r="R21" s="748">
        <f>IF($B21=0,"",SUMIFS(INPUT_DATA!Q:Q,INPUT_DATA!$A:$A,$B21,INPUT_DATA!$C:$C,"S"))</f>
        <v>75111.850000000006</v>
      </c>
      <c r="S21" s="748">
        <f>IF($B21=0,"",SUMIFS(INPUT_DATA!R:R,INPUT_DATA!$A:$A,$B21,INPUT_DATA!$C:$C,"S"))</f>
        <v>8781.85</v>
      </c>
      <c r="T21" s="748">
        <f>IF($B21=0,"",SUMIFS(INPUT_DATA!S:S,INPUT_DATA!$A:$A,$B21,INPUT_DATA!$C:$C,"S"))</f>
        <v>0</v>
      </c>
      <c r="U21" s="313">
        <f>IF($B21=0,"",SUMIFS(INPUT_DATA!T:T,INPUT_DATA!$A:$A,$B21,INPUT_DATA!$C:$C,"S"))</f>
        <v>75747.429999999993</v>
      </c>
      <c r="V21" s="313">
        <f>IF($B21=0,"",SUMIFS(INPUT_DATA!U:U,INPUT_DATA!$A:$A,$B21,INPUT_DATA!$C:$C,"S"))</f>
        <v>5365.94</v>
      </c>
      <c r="W21" s="313">
        <f>IF($B21=0,"",SUMIFS(INPUT_DATA!V:V,INPUT_DATA!$A:$A,$B21,INPUT_DATA!$C:$C,"S"))</f>
        <v>0</v>
      </c>
      <c r="X21" s="313">
        <f>IF($B21=0,"",SUMIFS(INPUT_DATA!W:W,INPUT_DATA!$A:$A,$B21,INPUT_DATA!$C:$C,"S"))</f>
        <v>64572.6</v>
      </c>
      <c r="Y21" s="313">
        <f>IF($B21=0,"",SUMIFS(INPUT_DATA!X:X,INPUT_DATA!$A:$A,$B21,INPUT_DATA!$C:$C,"S"))</f>
        <v>7158.66</v>
      </c>
      <c r="Z21" s="313">
        <f>IF($B21=0,"",SUMIFS(INPUT_DATA!Y:Y,INPUT_DATA!$A:$A,$B21,INPUT_DATA!$C:$C,"S"))</f>
        <v>0</v>
      </c>
      <c r="AA21" s="313">
        <f>IF($B21=0,"",SUMIFS(INPUT_DATA!Z:Z,INPUT_DATA!$A:$A,$B21,INPUT_DATA!$C:$C,"S"))</f>
        <v>0</v>
      </c>
      <c r="AB21" s="313">
        <f>IF($B21=0,"",SUMIFS(INPUT_DATA!AA:AA,INPUT_DATA!$A:$A,$B21,INPUT_DATA!$C:$C,"S"))</f>
        <v>0</v>
      </c>
      <c r="AC21" s="313">
        <f>IF($B21=0,"",SUMIFS(INPUT_DATA!AB:AB,INPUT_DATA!$A:$A,$B21,INPUT_DATA!$C:$C,"S"))</f>
        <v>0</v>
      </c>
      <c r="AD21" s="313">
        <f>IF($B21=0,"",SUMIFS(INPUT_DATA!AC:AC,INPUT_DATA!$A:$A,$B21,INPUT_DATA!$C:$C,"S"))</f>
        <v>0</v>
      </c>
      <c r="AE21" s="313">
        <f>IF($B21=0,"",SUMIFS(INPUT_DATA!AD:AD,INPUT_DATA!$A:$A,$B21,INPUT_DATA!$C:$C,"S"))</f>
        <v>0</v>
      </c>
      <c r="AF21" s="313">
        <f>IF($B21=0,"",SUMIFS(INPUT_DATA!AE:AE,INPUT_DATA!$A:$A,$B21,INPUT_DATA!$C:$C,"S"))</f>
        <v>0</v>
      </c>
      <c r="AG21" s="313">
        <f>IF($B21=0,"",SUMIFS(INPUT_DATA!AF:AF,INPUT_DATA!$A:$A,$B21,INPUT_DATA!$C:$C,"S"))</f>
        <v>0</v>
      </c>
      <c r="AH21" s="313">
        <f>IF($B21=0,"",SUMIFS(INPUT_DATA!AG:AG,INPUT_DATA!$A:$A,$B21,INPUT_DATA!$C:$C,"S"))</f>
        <v>0</v>
      </c>
      <c r="AI21" s="313">
        <f>IF($B21=0,"",SUMIFS(INPUT_DATA!AH:AH,INPUT_DATA!$A:$A,$B21,INPUT_DATA!$C:$C,"S"))</f>
        <v>0</v>
      </c>
      <c r="AJ21" s="313">
        <f>IF($B21=0,"",SUMIFS(INPUT_DATA!AI:AI,INPUT_DATA!$A:$A,$B21,INPUT_DATA!$C:$C,"S"))</f>
        <v>0</v>
      </c>
      <c r="AK21" s="313">
        <f>IF($B21=0,"",SUMIFS(INPUT_DATA!AJ:AJ,INPUT_DATA!$A:$A,$B21,INPUT_DATA!$C:$C,"S"))</f>
        <v>0</v>
      </c>
      <c r="AL21" s="313">
        <f>IF($B21=0,"",SUMIFS(INPUT_DATA!AK:AK,INPUT_DATA!$A:$A,$B21,INPUT_DATA!$C:$C,"S"))</f>
        <v>0</v>
      </c>
      <c r="AM21" s="313">
        <f>IF($B21=0,"",SUMIFS(INPUT_DATA!AL:AL,INPUT_DATA!$A:$A,$B21,INPUT_DATA!$C:$C,"S"))</f>
        <v>0</v>
      </c>
      <c r="AN21" s="313">
        <f>IF($B21=0,"",SUMIFS(INPUT_DATA!AM:AM,INPUT_DATA!$A:$A,$B21,INPUT_DATA!$C:$C,"S"))</f>
        <v>0</v>
      </c>
      <c r="AO21" s="313">
        <f>IF($B21=0,"",SUMIFS(INPUT_DATA!AN:AN,INPUT_DATA!$A:$A,$B21,INPUT_DATA!$C:$C,"S"))</f>
        <v>0</v>
      </c>
      <c r="AP21" s="313">
        <f>IF($B21=0,"",SUMIFS(INPUT_DATA!AO:AO,INPUT_DATA!$A:$A,$B21,INPUT_DATA!$C:$C,"S"))</f>
        <v>0</v>
      </c>
      <c r="AQ21" s="313">
        <f>IF($B21=0,"",SUMIFS(INPUT_DATA!AP:AP,INPUT_DATA!$A:$A,$B21,INPUT_DATA!$C:$C,"S"))</f>
        <v>0</v>
      </c>
      <c r="AR21" s="313">
        <f>IF($B21=0,"",SUMIFS(INPUT_DATA!AQ:AQ,INPUT_DATA!$A:$A,$B21,INPUT_DATA!$C:$C,"S"))</f>
        <v>0</v>
      </c>
      <c r="AS21" s="749">
        <f t="shared" si="2"/>
        <v>86286.68</v>
      </c>
      <c r="AT21" s="750">
        <f t="shared" si="3"/>
        <v>6989.130000000001</v>
      </c>
      <c r="AU21" s="751">
        <f t="shared" si="4"/>
        <v>0</v>
      </c>
      <c r="AV21" s="749">
        <f>IF($B21=0,"",SUMIFS(INPUT_DATA!AR:AR,INPUT_DATA!$A:$A,$B21,INPUT_DATA!$C:$C,"S"))</f>
        <v>86286.68</v>
      </c>
      <c r="AW21" s="750">
        <f>IF($B21=0,"",SUMIFS(INPUT_DATA!AS:AS,INPUT_DATA!$A:$A,$B21,INPUT_DATA!$C:$C,"S"))</f>
        <v>6989.13</v>
      </c>
      <c r="AX21" s="751">
        <f>IF($B21=0,"",SUMIFS(INPUT_DATA!AT:AT,INPUT_DATA!$A:$A,$B21,INPUT_DATA!$C:$C,"S"))</f>
        <v>0</v>
      </c>
      <c r="AY21" s="749">
        <f t="shared" si="15"/>
        <v>0</v>
      </c>
      <c r="AZ21" s="750">
        <f t="shared" si="16"/>
        <v>9.0949470177292824E-13</v>
      </c>
      <c r="BA21" s="751">
        <f t="shared" si="17"/>
        <v>0</v>
      </c>
      <c r="BB21" s="150"/>
      <c r="BC21" s="738">
        <f>IF($B21=0,"",SUMIFS(INPUT_DATA!D:D,INPUT_DATA!$A:$A,$B21,INPUT_DATA!$C:$C,"D"))</f>
        <v>0</v>
      </c>
      <c r="BD21" s="312">
        <f>IF($B21=0,"",SUMIFS(INPUT_DATA!F:F,INPUT_DATA!$A:$A,$B21,INPUT_DATA!$C:$C,"D"))</f>
        <v>0</v>
      </c>
      <c r="BE21" s="312">
        <f>IF($B21=0,"",SUMIFS(INPUT_DATA!G:G,INPUT_DATA!$A:$A,$B21,INPUT_DATA!$C:$C,"D"))</f>
        <v>0</v>
      </c>
      <c r="BF21" s="312">
        <f>IF($B21=0,"",SUMIFS(INPUT_DATA!H:H,INPUT_DATA!$A:$A,$B21,INPUT_DATA!$C:$C,"D"))</f>
        <v>0</v>
      </c>
      <c r="BG21" s="312">
        <f>IF($B21=0,"",SUMIFS(INPUT_DATA!I:I,INPUT_DATA!$A:$A,$B21,INPUT_DATA!$C:$C,"D"))</f>
        <v>0</v>
      </c>
      <c r="BH21" s="312">
        <f>IF($B21=0,"",SUMIFS(INPUT_DATA!J:J,INPUT_DATA!$A:$A,$B21,INPUT_DATA!$C:$C,"D"))</f>
        <v>0</v>
      </c>
      <c r="BI21" s="312">
        <f>IF($B21=0,"",SUMIFS(INPUT_DATA!K:K,INPUT_DATA!$A:$A,$B21,INPUT_DATA!$C:$C,"D"))</f>
        <v>0</v>
      </c>
      <c r="BJ21" s="312">
        <f>IF($B21=0,"",SUMIFS(INPUT_DATA!L:L,INPUT_DATA!$A:$A,$B21,INPUT_DATA!$C:$C,"D"))</f>
        <v>0</v>
      </c>
      <c r="BK21" s="312">
        <f>IF($B21=0,"",SUMIFS(INPUT_DATA!M:M,INPUT_DATA!$A:$A,$B21,INPUT_DATA!$C:$C,"D"))</f>
        <v>0</v>
      </c>
      <c r="BL21" s="312">
        <f>IF($B21=0,"",SUMIFS(INPUT_DATA!N:N,INPUT_DATA!$A:$A,$B21,INPUT_DATA!$C:$C,"D"))</f>
        <v>0</v>
      </c>
      <c r="BM21" s="312">
        <f>IF($B21=0,"",SUMIFS(INPUT_DATA!O:O,INPUT_DATA!$A:$A,$B21,INPUT_DATA!$C:$C,"D"))</f>
        <v>0</v>
      </c>
      <c r="BN21" s="754">
        <f t="shared" si="18"/>
        <v>0</v>
      </c>
      <c r="BO21" s="754">
        <f>IF($B21=0,"",SUMIFS(INPUT_DATA!O:O,INPUT_DATA!$A:$A,$B21,INPUT_DATA!$C:$C,"D"))</f>
        <v>0</v>
      </c>
      <c r="BP21" s="754">
        <f t="shared" si="19"/>
        <v>0</v>
      </c>
      <c r="BQ21" s="738">
        <f>IF($B21=0,"",SUMIFS(INPUT_DATA!Q:Q,INPUT_DATA!$A:$A,$B21,INPUT_DATA!$C:$C,"D"))</f>
        <v>0</v>
      </c>
      <c r="BR21" s="760">
        <f>IF($B21=0,"",SUMIFS(INPUT_DATA!R:R,INPUT_DATA!$A:$A,$B21,INPUT_DATA!$C:$C,"D"))</f>
        <v>0</v>
      </c>
      <c r="BS21" s="760">
        <f>IF($B21=0,"",SUMIFS(INPUT_DATA!S:S,INPUT_DATA!$A:$A,$B21,INPUT_DATA!$C:$C,"D"))</f>
        <v>0</v>
      </c>
      <c r="BT21" s="312">
        <f>IF($B21=0,"",SUMIFS(INPUT_DATA!T:T,INPUT_DATA!$A:$A,$B21,INPUT_DATA!$C:$C,"D"))</f>
        <v>0</v>
      </c>
      <c r="BU21" s="312">
        <f>IF($B21=0,"",SUMIFS(INPUT_DATA!U:U,INPUT_DATA!$A:$A,$B21,INPUT_DATA!$C:$C,"D"))</f>
        <v>0</v>
      </c>
      <c r="BV21" s="312">
        <f>IF($B21=0,"",SUMIFS(INPUT_DATA!V:V,INPUT_DATA!$A:$A,$B21,INPUT_DATA!$C:$C,"D"))</f>
        <v>0</v>
      </c>
      <c r="BW21" s="312">
        <f>IF($B21=0,"",SUMIFS(INPUT_DATA!W:W,INPUT_DATA!$A:$A,$B21,INPUT_DATA!$C:$C,"D"))</f>
        <v>0</v>
      </c>
      <c r="BX21" s="312">
        <f>IF($B21=0,"",SUMIFS(INPUT_DATA!X:X,INPUT_DATA!$A:$A,$B21,INPUT_DATA!$C:$C,"D"))</f>
        <v>0</v>
      </c>
      <c r="BY21" s="312">
        <f>IF($B21=0,"",SUMIFS(INPUT_DATA!Y:Y,INPUT_DATA!$A:$A,$B21,INPUT_DATA!$C:$C,"D"))</f>
        <v>0</v>
      </c>
      <c r="BZ21" s="353">
        <f>IF($B21=0,"",SUMIFS(INPUT_DATA!Z:Z,INPUT_DATA!$A:$A,$B21,INPUT_DATA!$C:$C,"D"))</f>
        <v>0</v>
      </c>
      <c r="CA21" s="353">
        <f>IF($B21=0,"",SUMIFS(INPUT_DATA!AA:AA,INPUT_DATA!$A:$A,$B21,INPUT_DATA!$C:$C,"D"))</f>
        <v>0</v>
      </c>
      <c r="CB21" s="353">
        <f>IF($B21=0,"",SUMIFS(INPUT_DATA!AB:AB,INPUT_DATA!$A:$A,$B21,INPUT_DATA!$C:$C,"D"))</f>
        <v>0</v>
      </c>
      <c r="CC21" s="312">
        <f>IF($B21=0,"",SUMIFS(INPUT_DATA!AC:AC,INPUT_DATA!$A:$A,$B21,INPUT_DATA!$C:$C,"D"))</f>
        <v>0</v>
      </c>
      <c r="CD21" s="312">
        <f>IF($B21=0,"",SUMIFS(INPUT_DATA!AD:AD,INPUT_DATA!$A:$A,$B21,INPUT_DATA!$C:$C,"D"))</f>
        <v>0</v>
      </c>
      <c r="CE21" s="312">
        <f>IF($B21=0,"",SUMIFS(INPUT_DATA!AE:AE,INPUT_DATA!$A:$A,$B21,INPUT_DATA!$C:$C,"D"))</f>
        <v>0</v>
      </c>
      <c r="CF21" s="353">
        <f>IF($B21=0,"",SUMIFS(INPUT_DATA!AF:AF,INPUT_DATA!$A:$A,$B21,INPUT_DATA!$C:$C,"D"))</f>
        <v>0</v>
      </c>
      <c r="CG21" s="353">
        <f>IF($B21=0,"",SUMIFS(INPUT_DATA!AG:AG,INPUT_DATA!$A:$A,$B21,INPUT_DATA!$C:$C,"D"))</f>
        <v>0</v>
      </c>
      <c r="CH21" s="353">
        <f>IF($B21=0,"",SUMIFS(INPUT_DATA!AH:AH,INPUT_DATA!$A:$A,$B21,INPUT_DATA!$C:$C,"D"))</f>
        <v>0</v>
      </c>
      <c r="CI21" s="153">
        <f>IF($B21=0,"",SUMIFS(INPUT_DATA!AI:AI,INPUT_DATA!$A:$A,$B21,INPUT_DATA!$C:$C,"D"))</f>
        <v>0</v>
      </c>
      <c r="CJ21" s="153">
        <f>IF($B21=0,"",SUMIFS(INPUT_DATA!AJ:AJ,INPUT_DATA!$A:$A,$B21,INPUT_DATA!$C:$C,"D"))</f>
        <v>0</v>
      </c>
      <c r="CK21" s="153">
        <f>IF($B21=0,"",SUMIFS(INPUT_DATA!AK:AK,INPUT_DATA!$A:$A,$B21,INPUT_DATA!$C:$C,"D"))</f>
        <v>0</v>
      </c>
      <c r="CL21" s="153">
        <f>IF($B21=0,"",SUMIFS(INPUT_DATA!AL:AL,INPUT_DATA!$A:$A,$B21,INPUT_DATA!$C:$C,"D"))</f>
        <v>0</v>
      </c>
      <c r="CM21" s="153">
        <f>IF($B21=0,"",SUMIFS(INPUT_DATA!AM:AM,INPUT_DATA!$A:$A,$B21,INPUT_DATA!$C:$C,"D"))</f>
        <v>0</v>
      </c>
      <c r="CN21" s="153">
        <f>IF($B21=0,"",SUMIFS(INPUT_DATA!AN:AN,INPUT_DATA!$A:$A,$B21,INPUT_DATA!$C:$C,"D"))</f>
        <v>0</v>
      </c>
      <c r="CO21" s="153">
        <f>IF($B21=0,"",SUMIFS(INPUT_DATA!AO:AO,INPUT_DATA!$A:$A,$B21,INPUT_DATA!$C:$C,"D"))</f>
        <v>0</v>
      </c>
      <c r="CP21" s="153">
        <f>IF($B21=0,"",SUMIFS(INPUT_DATA!AP:AP,INPUT_DATA!$A:$A,$B21,INPUT_DATA!$C:$C,"D"))</f>
        <v>0</v>
      </c>
      <c r="CQ21" s="153">
        <f>IF($B21=0,"",SUMIFS(INPUT_DATA!AQ:AQ,INPUT_DATA!$A:$A,$B21,INPUT_DATA!$C:$C,"D"))</f>
        <v>0</v>
      </c>
      <c r="CR21" s="750">
        <f t="shared" si="20"/>
        <v>0</v>
      </c>
      <c r="CS21" s="750">
        <f t="shared" si="21"/>
        <v>0</v>
      </c>
      <c r="CT21" s="750">
        <f t="shared" si="22"/>
        <v>0</v>
      </c>
      <c r="CU21" s="739">
        <f>IF($B21=0,"",SUMIFS(INPUT_DATA!AR:AR,INPUT_DATA!$A:$A,$B21,INPUT_DATA!$C:$C,"D"))</f>
        <v>0</v>
      </c>
      <c r="CV21" s="739">
        <f>IF($B21=0,"",SUMIFS(INPUT_DATA!AS:AS,INPUT_DATA!$A:$A,$B21,INPUT_DATA!$C:$C,"D"))</f>
        <v>0</v>
      </c>
      <c r="CW21" s="739">
        <f>IF($B21=0,"",SUMIFS(INPUT_DATA!AT:AT,INPUT_DATA!$A:$A,$B21,INPUT_DATA!$C:$C,"D"))</f>
        <v>0</v>
      </c>
      <c r="CX21" s="739">
        <f t="shared" si="23"/>
        <v>0</v>
      </c>
      <c r="CY21" s="750">
        <f t="shared" si="24"/>
        <v>0</v>
      </c>
      <c r="CZ21" s="761">
        <f t="shared" si="25"/>
        <v>0</v>
      </c>
      <c r="DA21" s="150"/>
    </row>
    <row r="22" spans="2:105" ht="13" x14ac:dyDescent="0.25">
      <c r="B22" s="733">
        <f>INPUT_DATA!BQ9</f>
        <v>45322</v>
      </c>
      <c r="C22" s="738">
        <f>IF($B22=0,"",SUMIFS(INPUT_DATA!D:D,INPUT_DATA!$A:$A,$B22,INPUT_DATA!$C:$C,"S"))</f>
        <v>739186357.27999997</v>
      </c>
      <c r="D22" s="367">
        <f>IF($B22=0,"",SUMIFS(INPUT_DATA!E:E,INPUT_DATA!$A:$A,$B22,INPUT_DATA!$C:$C,"S"))</f>
        <v>0</v>
      </c>
      <c r="E22" s="153">
        <f>IF($B22=0,"",SUMIFS(INPUT_DATA!F:F,INPUT_DATA!$A:$A,$B22,INPUT_DATA!$C:$C,"S"))</f>
        <v>5002402.3099999996</v>
      </c>
      <c r="F22" s="153">
        <f>IF($B22=0,"",SUMIFS(INPUT_DATA!G:G,INPUT_DATA!$A:$A,$B22,INPUT_DATA!$C:$C,"S"))</f>
        <v>1486537.02</v>
      </c>
      <c r="G22" s="153">
        <f>IF($B22=0,"",SUMIFS(INPUT_DATA!H:H,INPUT_DATA!$A:$A,$B22,INPUT_DATA!$C:$C,"S"))</f>
        <v>0</v>
      </c>
      <c r="H22" s="153">
        <f>IF($B22=0,"",SUMIFS(INPUT_DATA!I:I,INPUT_DATA!$A:$A,$B22,INPUT_DATA!$C:$C,"S"))</f>
        <v>80.05</v>
      </c>
      <c r="I22" s="153">
        <f>IF($B22=0,"",SUMIFS(INPUT_DATA!J:J,INPUT_DATA!$A:$A,$B22,INPUT_DATA!$C:$C,"S"))</f>
        <v>0</v>
      </c>
      <c r="J22" s="153">
        <f>IF($B22=0,"",SUMIFS(INPUT_DATA!K:K,INPUT_DATA!$A:$A,$B22,INPUT_DATA!$C:$C,"S"))</f>
        <v>0</v>
      </c>
      <c r="K22" s="153">
        <f>IF($B22=0,"",SUMIFS(INPUT_DATA!L:L,INPUT_DATA!$A:$A,$B22,INPUT_DATA!$C:$C,"S"))</f>
        <v>0</v>
      </c>
      <c r="L22" s="153">
        <f>IF($B22=0,"",SUMIFS(INPUT_DATA!M:M,INPUT_DATA!$A:$A,$B22,INPUT_DATA!$C:$C,"S"))</f>
        <v>0</v>
      </c>
      <c r="M22" s="153">
        <f>IF($B22=0,"",SUMIFS(INPUT_DATA!N:N,INPUT_DATA!$A:$A,$B22,INPUT_DATA!$C:$C,"S"))</f>
        <v>0</v>
      </c>
      <c r="N22" s="153">
        <f>IF($B22=0,"",SUMIFS(INPUT_DATA!O:O,INPUT_DATA!$A:$A,$B22,INPUT_DATA!$C:$C,"S"))</f>
        <v>0</v>
      </c>
      <c r="O22" s="741">
        <f t="shared" si="0"/>
        <v>732697498</v>
      </c>
      <c r="P22" s="742">
        <f>IF($B22=0,"",SUMIFS(INPUT_DATA!P:P,INPUT_DATA!$A:$A,$B22,INPUT_DATA!$C:$C,"S"))</f>
        <v>732697498</v>
      </c>
      <c r="Q22" s="742">
        <f t="shared" si="1"/>
        <v>0</v>
      </c>
      <c r="R22" s="748">
        <f>IF($B22=0,"",SUMIFS(INPUT_DATA!Q:Q,INPUT_DATA!$A:$A,$B22,INPUT_DATA!$C:$C,"S"))</f>
        <v>92529.64</v>
      </c>
      <c r="S22" s="748">
        <f>IF($B22=0,"",SUMIFS(INPUT_DATA!R:R,INPUT_DATA!$A:$A,$B22,INPUT_DATA!$C:$C,"S"))</f>
        <v>10202.25</v>
      </c>
      <c r="T22" s="748">
        <f>IF($B22=0,"",SUMIFS(INPUT_DATA!S:S,INPUT_DATA!$A:$A,$B22,INPUT_DATA!$C:$C,"S"))</f>
        <v>0</v>
      </c>
      <c r="U22" s="313">
        <f>IF($B22=0,"",SUMIFS(INPUT_DATA!T:T,INPUT_DATA!$A:$A,$B22,INPUT_DATA!$C:$C,"S"))</f>
        <v>69781.22</v>
      </c>
      <c r="V22" s="313">
        <f>IF($B22=0,"",SUMIFS(INPUT_DATA!U:U,INPUT_DATA!$A:$A,$B22,INPUT_DATA!$C:$C,"S"))</f>
        <v>8565.07</v>
      </c>
      <c r="W22" s="313">
        <f>IF($B22=0,"",SUMIFS(INPUT_DATA!V:V,INPUT_DATA!$A:$A,$B22,INPUT_DATA!$C:$C,"S"))</f>
        <v>0</v>
      </c>
      <c r="X22" s="313">
        <f>IF($B22=0,"",SUMIFS(INPUT_DATA!W:W,INPUT_DATA!$A:$A,$B22,INPUT_DATA!$C:$C,"S"))</f>
        <v>87199.01</v>
      </c>
      <c r="Y22" s="313">
        <f>IF($B22=0,"",SUMIFS(INPUT_DATA!X:X,INPUT_DATA!$A:$A,$B22,INPUT_DATA!$C:$C,"S"))</f>
        <v>9985.4699999999993</v>
      </c>
      <c r="Z22" s="313">
        <f>IF($B22=0,"",SUMIFS(INPUT_DATA!Y:Y,INPUT_DATA!$A:$A,$B22,INPUT_DATA!$C:$C,"S"))</f>
        <v>0</v>
      </c>
      <c r="AA22" s="313">
        <f>IF($B22=0,"",SUMIFS(INPUT_DATA!Z:Z,INPUT_DATA!$A:$A,$B22,INPUT_DATA!$C:$C,"S"))</f>
        <v>0</v>
      </c>
      <c r="AB22" s="313">
        <f>IF($B22=0,"",SUMIFS(INPUT_DATA!AA:AA,INPUT_DATA!$A:$A,$B22,INPUT_DATA!$C:$C,"S"))</f>
        <v>0</v>
      </c>
      <c r="AC22" s="313">
        <f>IF($B22=0,"",SUMIFS(INPUT_DATA!AB:AB,INPUT_DATA!$A:$A,$B22,INPUT_DATA!$C:$C,"S"))</f>
        <v>0</v>
      </c>
      <c r="AD22" s="313">
        <f>IF($B22=0,"",SUMIFS(INPUT_DATA!AC:AC,INPUT_DATA!$A:$A,$B22,INPUT_DATA!$C:$C,"S"))</f>
        <v>0</v>
      </c>
      <c r="AE22" s="313">
        <f>IF($B22=0,"",SUMIFS(INPUT_DATA!AD:AD,INPUT_DATA!$A:$A,$B22,INPUT_DATA!$C:$C,"S"))</f>
        <v>0</v>
      </c>
      <c r="AF22" s="313">
        <f>IF($B22=0,"",SUMIFS(INPUT_DATA!AE:AE,INPUT_DATA!$A:$A,$B22,INPUT_DATA!$C:$C,"S"))</f>
        <v>0</v>
      </c>
      <c r="AG22" s="313">
        <f>IF($B22=0,"",SUMIFS(INPUT_DATA!AF:AF,INPUT_DATA!$A:$A,$B22,INPUT_DATA!$C:$C,"S"))</f>
        <v>0</v>
      </c>
      <c r="AH22" s="313">
        <f>IF($B22=0,"",SUMIFS(INPUT_DATA!AG:AG,INPUT_DATA!$A:$A,$B22,INPUT_DATA!$C:$C,"S"))</f>
        <v>0</v>
      </c>
      <c r="AI22" s="313">
        <f>IF($B22=0,"",SUMIFS(INPUT_DATA!AH:AH,INPUT_DATA!$A:$A,$B22,INPUT_DATA!$C:$C,"S"))</f>
        <v>0</v>
      </c>
      <c r="AJ22" s="313">
        <f>IF($B22=0,"",SUMIFS(INPUT_DATA!AI:AI,INPUT_DATA!$A:$A,$B22,INPUT_DATA!$C:$C,"S"))</f>
        <v>0</v>
      </c>
      <c r="AK22" s="313">
        <f>IF($B22=0,"",SUMIFS(INPUT_DATA!AJ:AJ,INPUT_DATA!$A:$A,$B22,INPUT_DATA!$C:$C,"S"))</f>
        <v>0</v>
      </c>
      <c r="AL22" s="313">
        <f>IF($B22=0,"",SUMIFS(INPUT_DATA!AK:AK,INPUT_DATA!$A:$A,$B22,INPUT_DATA!$C:$C,"S"))</f>
        <v>0</v>
      </c>
      <c r="AM22" s="313">
        <f>IF($B22=0,"",SUMIFS(INPUT_DATA!AL:AL,INPUT_DATA!$A:$A,$B22,INPUT_DATA!$C:$C,"S"))</f>
        <v>0</v>
      </c>
      <c r="AN22" s="313">
        <f>IF($B22=0,"",SUMIFS(INPUT_DATA!AM:AM,INPUT_DATA!$A:$A,$B22,INPUT_DATA!$C:$C,"S"))</f>
        <v>0</v>
      </c>
      <c r="AO22" s="313">
        <f>IF($B22=0,"",SUMIFS(INPUT_DATA!AN:AN,INPUT_DATA!$A:$A,$B22,INPUT_DATA!$C:$C,"S"))</f>
        <v>0</v>
      </c>
      <c r="AP22" s="313">
        <f>IF($B22=0,"",SUMIFS(INPUT_DATA!AO:AO,INPUT_DATA!$A:$A,$B22,INPUT_DATA!$C:$C,"S"))</f>
        <v>0</v>
      </c>
      <c r="AQ22" s="313">
        <f>IF($B22=0,"",SUMIFS(INPUT_DATA!AP:AP,INPUT_DATA!$A:$A,$B22,INPUT_DATA!$C:$C,"S"))</f>
        <v>0</v>
      </c>
      <c r="AR22" s="313">
        <f>IF($B22=0,"",SUMIFS(INPUT_DATA!AQ:AQ,INPUT_DATA!$A:$A,$B22,INPUT_DATA!$C:$C,"S"))</f>
        <v>0</v>
      </c>
      <c r="AS22" s="749">
        <f t="shared" ref="AS22" si="26">IF($B22=0,"",R22+U22-X22-AA22-AD22-AG22+AJ22-AM22-AP22)</f>
        <v>75111.849999999991</v>
      </c>
      <c r="AT22" s="750">
        <f t="shared" ref="AT22" si="27">IF($B22=0,"",S22+V22-Y22-AB22-AE22-AH22+AK22-AN22-AQ22)</f>
        <v>8781.85</v>
      </c>
      <c r="AU22" s="751">
        <f t="shared" ref="AU22" si="28">IF($B22=0,"",T22+W22-Z22-AC22-AF22-AI22+AL22-AO22-AR22)</f>
        <v>0</v>
      </c>
      <c r="AV22" s="749">
        <f>IF($B22=0,"",SUMIFS(INPUT_DATA!AR:AR,INPUT_DATA!$A:$A,$B22,INPUT_DATA!$C:$C,"S"))</f>
        <v>75111.850000000006</v>
      </c>
      <c r="AW22" s="750">
        <f>IF($B22=0,"",SUMIFS(INPUT_DATA!AS:AS,INPUT_DATA!$A:$A,$B22,INPUT_DATA!$C:$C,"S"))</f>
        <v>8781.85</v>
      </c>
      <c r="AX22" s="751">
        <f>IF($B22=0,"",SUMIFS(INPUT_DATA!AT:AT,INPUT_DATA!$A:$A,$B22,INPUT_DATA!$C:$C,"S"))</f>
        <v>0</v>
      </c>
      <c r="AY22" s="749">
        <f t="shared" si="15"/>
        <v>-1.4551915228366852E-11</v>
      </c>
      <c r="AZ22" s="750">
        <f t="shared" si="16"/>
        <v>0</v>
      </c>
      <c r="BA22" s="751">
        <f t="shared" si="17"/>
        <v>0</v>
      </c>
      <c r="BB22" s="150"/>
      <c r="BC22" s="738">
        <f>IF($B22=0,"",SUMIFS(INPUT_DATA!D:D,INPUT_DATA!$A:$A,$B22,INPUT_DATA!$C:$C,"D"))</f>
        <v>0</v>
      </c>
      <c r="BD22" s="312">
        <f>IF($B22=0,"",SUMIFS(INPUT_DATA!F:F,INPUT_DATA!$A:$A,$B22,INPUT_DATA!$C:$C,"D"))</f>
        <v>0</v>
      </c>
      <c r="BE22" s="312">
        <f>IF($B22=0,"",SUMIFS(INPUT_DATA!G:G,INPUT_DATA!$A:$A,$B22,INPUT_DATA!$C:$C,"D"))</f>
        <v>0</v>
      </c>
      <c r="BF22" s="312">
        <f>IF($B22=0,"",SUMIFS(INPUT_DATA!H:H,INPUT_DATA!$A:$A,$B22,INPUT_DATA!$C:$C,"D"))</f>
        <v>0</v>
      </c>
      <c r="BG22" s="312">
        <f>IF($B22=0,"",SUMIFS(INPUT_DATA!I:I,INPUT_DATA!$A:$A,$B22,INPUT_DATA!$C:$C,"D"))</f>
        <v>0</v>
      </c>
      <c r="BH22" s="312">
        <f>IF($B22=0,"",SUMIFS(INPUT_DATA!J:J,INPUT_DATA!$A:$A,$B22,INPUT_DATA!$C:$C,"D"))</f>
        <v>0</v>
      </c>
      <c r="BI22" s="312">
        <f>IF($B22=0,"",SUMIFS(INPUT_DATA!K:K,INPUT_DATA!$A:$A,$B22,INPUT_DATA!$C:$C,"D"))</f>
        <v>0</v>
      </c>
      <c r="BJ22" s="312">
        <f>IF($B22=0,"",SUMIFS(INPUT_DATA!L:L,INPUT_DATA!$A:$A,$B22,INPUT_DATA!$C:$C,"D"))</f>
        <v>0</v>
      </c>
      <c r="BK22" s="312">
        <f>IF($B22=0,"",SUMIFS(INPUT_DATA!M:M,INPUT_DATA!$A:$A,$B22,INPUT_DATA!$C:$C,"D"))</f>
        <v>0</v>
      </c>
      <c r="BL22" s="312">
        <f>IF($B22=0,"",SUMIFS(INPUT_DATA!N:N,INPUT_DATA!$A:$A,$B22,INPUT_DATA!$C:$C,"D"))</f>
        <v>0</v>
      </c>
      <c r="BM22" s="312">
        <f>IF($B22=0,"",SUMIFS(INPUT_DATA!O:O,INPUT_DATA!$A:$A,$B22,INPUT_DATA!$C:$C,"D"))</f>
        <v>0</v>
      </c>
      <c r="BN22" s="754">
        <f t="shared" si="18"/>
        <v>0</v>
      </c>
      <c r="BO22" s="754">
        <f>IF($B22=0,"",SUMIFS(INPUT_DATA!O:O,INPUT_DATA!$A:$A,$B22,INPUT_DATA!$C:$C,"D"))</f>
        <v>0</v>
      </c>
      <c r="BP22" s="754">
        <f t="shared" si="19"/>
        <v>0</v>
      </c>
      <c r="BQ22" s="738">
        <f>IF($B22=0,"",SUMIFS(INPUT_DATA!Q:Q,INPUT_DATA!$A:$A,$B22,INPUT_DATA!$C:$C,"D"))</f>
        <v>0</v>
      </c>
      <c r="BR22" s="760">
        <f>IF($B22=0,"",SUMIFS(INPUT_DATA!R:R,INPUT_DATA!$A:$A,$B22,INPUT_DATA!$C:$C,"D"))</f>
        <v>0</v>
      </c>
      <c r="BS22" s="760">
        <f>IF($B22=0,"",SUMIFS(INPUT_DATA!S:S,INPUT_DATA!$A:$A,$B22,INPUT_DATA!$C:$C,"D"))</f>
        <v>0</v>
      </c>
      <c r="BT22" s="312">
        <f>IF($B22=0,"",SUMIFS(INPUT_DATA!T:T,INPUT_DATA!$A:$A,$B22,INPUT_DATA!$C:$C,"D"))</f>
        <v>0</v>
      </c>
      <c r="BU22" s="312">
        <f>IF($B22=0,"",SUMIFS(INPUT_DATA!U:U,INPUT_DATA!$A:$A,$B22,INPUT_DATA!$C:$C,"D"))</f>
        <v>0</v>
      </c>
      <c r="BV22" s="312">
        <f>IF($B22=0,"",SUMIFS(INPUT_DATA!V:V,INPUT_DATA!$A:$A,$B22,INPUT_DATA!$C:$C,"D"))</f>
        <v>0</v>
      </c>
      <c r="BW22" s="312">
        <f>IF($B22=0,"",SUMIFS(INPUT_DATA!W:W,INPUT_DATA!$A:$A,$B22,INPUT_DATA!$C:$C,"D"))</f>
        <v>0</v>
      </c>
      <c r="BX22" s="312">
        <f>IF($B22=0,"",SUMIFS(INPUT_DATA!X:X,INPUT_DATA!$A:$A,$B22,INPUT_DATA!$C:$C,"D"))</f>
        <v>0</v>
      </c>
      <c r="BY22" s="312">
        <f>IF($B22=0,"",SUMIFS(INPUT_DATA!Y:Y,INPUT_DATA!$A:$A,$B22,INPUT_DATA!$C:$C,"D"))</f>
        <v>0</v>
      </c>
      <c r="BZ22" s="353">
        <f>IF($B22=0,"",SUMIFS(INPUT_DATA!Z:Z,INPUT_DATA!$A:$A,$B22,INPUT_DATA!$C:$C,"D"))</f>
        <v>0</v>
      </c>
      <c r="CA22" s="353">
        <f>IF($B22=0,"",SUMIFS(INPUT_DATA!AA:AA,INPUT_DATA!$A:$A,$B22,INPUT_DATA!$C:$C,"D"))</f>
        <v>0</v>
      </c>
      <c r="CB22" s="353">
        <f>IF($B22=0,"",SUMIFS(INPUT_DATA!AB:AB,INPUT_DATA!$A:$A,$B22,INPUT_DATA!$C:$C,"D"))</f>
        <v>0</v>
      </c>
      <c r="CC22" s="312">
        <f>IF($B22=0,"",SUMIFS(INPUT_DATA!AC:AC,INPUT_DATA!$A:$A,$B22,INPUT_DATA!$C:$C,"D"))</f>
        <v>0</v>
      </c>
      <c r="CD22" s="312">
        <f>IF($B22=0,"",SUMIFS(INPUT_DATA!AD:AD,INPUT_DATA!$A:$A,$B22,INPUT_DATA!$C:$C,"D"))</f>
        <v>0</v>
      </c>
      <c r="CE22" s="312">
        <f>IF($B22=0,"",SUMIFS(INPUT_DATA!AE:AE,INPUT_DATA!$A:$A,$B22,INPUT_DATA!$C:$C,"D"))</f>
        <v>0</v>
      </c>
      <c r="CF22" s="353">
        <f>IF($B22=0,"",SUMIFS(INPUT_DATA!AF:AF,INPUT_DATA!$A:$A,$B22,INPUT_DATA!$C:$C,"D"))</f>
        <v>0</v>
      </c>
      <c r="CG22" s="353">
        <f>IF($B22=0,"",SUMIFS(INPUT_DATA!AG:AG,INPUT_DATA!$A:$A,$B22,INPUT_DATA!$C:$C,"D"))</f>
        <v>0</v>
      </c>
      <c r="CH22" s="353">
        <f>IF($B22=0,"",SUMIFS(INPUT_DATA!AH:AH,INPUT_DATA!$A:$A,$B22,INPUT_DATA!$C:$C,"D"))</f>
        <v>0</v>
      </c>
      <c r="CI22" s="153">
        <f>IF($B22=0,"",SUMIFS(INPUT_DATA!AI:AI,INPUT_DATA!$A:$A,$B22,INPUT_DATA!$C:$C,"D"))</f>
        <v>0</v>
      </c>
      <c r="CJ22" s="153">
        <f>IF($B22=0,"",SUMIFS(INPUT_DATA!AJ:AJ,INPUT_DATA!$A:$A,$B22,INPUT_DATA!$C:$C,"D"))</f>
        <v>0</v>
      </c>
      <c r="CK22" s="153">
        <f>IF($B22=0,"",SUMIFS(INPUT_DATA!AK:AK,INPUT_DATA!$A:$A,$B22,INPUT_DATA!$C:$C,"D"))</f>
        <v>0</v>
      </c>
      <c r="CL22" s="153">
        <f>IF($B22=0,"",SUMIFS(INPUT_DATA!AL:AL,INPUT_DATA!$A:$A,$B22,INPUT_DATA!$C:$C,"D"))</f>
        <v>0</v>
      </c>
      <c r="CM22" s="153">
        <f>IF($B22=0,"",SUMIFS(INPUT_DATA!AM:AM,INPUT_DATA!$A:$A,$B22,INPUT_DATA!$C:$C,"D"))</f>
        <v>0</v>
      </c>
      <c r="CN22" s="153">
        <f>IF($B22=0,"",SUMIFS(INPUT_DATA!AN:AN,INPUT_DATA!$A:$A,$B22,INPUT_DATA!$C:$C,"D"))</f>
        <v>0</v>
      </c>
      <c r="CO22" s="153">
        <f>IF($B22=0,"",SUMIFS(INPUT_DATA!AO:AO,INPUT_DATA!$A:$A,$B22,INPUT_DATA!$C:$C,"D"))</f>
        <v>0</v>
      </c>
      <c r="CP22" s="153">
        <f>IF($B22=0,"",SUMIFS(INPUT_DATA!AP:AP,INPUT_DATA!$A:$A,$B22,INPUT_DATA!$C:$C,"D"))</f>
        <v>0</v>
      </c>
      <c r="CQ22" s="153">
        <f>IF($B22=0,"",SUMIFS(INPUT_DATA!AQ:AQ,INPUT_DATA!$A:$A,$B22,INPUT_DATA!$C:$C,"D"))</f>
        <v>0</v>
      </c>
      <c r="CR22" s="750">
        <f t="shared" si="20"/>
        <v>0</v>
      </c>
      <c r="CS22" s="750">
        <f t="shared" si="21"/>
        <v>0</v>
      </c>
      <c r="CT22" s="750">
        <f t="shared" si="22"/>
        <v>0</v>
      </c>
      <c r="CU22" s="739">
        <f>IF($B22=0,"",SUMIFS(INPUT_DATA!AR:AR,INPUT_DATA!$A:$A,$B22,INPUT_DATA!$C:$C,"D"))</f>
        <v>0</v>
      </c>
      <c r="CV22" s="739">
        <f>IF($B22=0,"",SUMIFS(INPUT_DATA!AS:AS,INPUT_DATA!$A:$A,$B22,INPUT_DATA!$C:$C,"D"))</f>
        <v>0</v>
      </c>
      <c r="CW22" s="739">
        <f>IF($B22=0,"",SUMIFS(INPUT_DATA!AT:AT,INPUT_DATA!$A:$A,$B22,INPUT_DATA!$C:$C,"D"))</f>
        <v>0</v>
      </c>
      <c r="CX22" s="739">
        <f t="shared" si="23"/>
        <v>0</v>
      </c>
      <c r="CY22" s="750">
        <f t="shared" si="24"/>
        <v>0</v>
      </c>
      <c r="CZ22" s="761">
        <f t="shared" si="25"/>
        <v>0</v>
      </c>
      <c r="DA22" s="150"/>
    </row>
    <row r="23" spans="2:105" ht="13" x14ac:dyDescent="0.25">
      <c r="B23" s="733">
        <f>INPUT_DATA!BQ10</f>
        <v>45291</v>
      </c>
      <c r="C23" s="738">
        <f>IF($B23=0,"",SUMIFS(INPUT_DATA!D:D,INPUT_DATA!$A:$A,$B23,INPUT_DATA!$C:$C,"S"))</f>
        <v>744799789.46000004</v>
      </c>
      <c r="D23" s="739">
        <f>IF($B23=0,"",SUMIFS(INPUT_DATA!E:E,INPUT_DATA!$A:$A,$B23,INPUT_DATA!$C:$C,"S"))</f>
        <v>0</v>
      </c>
      <c r="E23" s="740">
        <f>IF($B23=0,"",SUMIFS(INPUT_DATA!F:F,INPUT_DATA!$A:$A,$B23,INPUT_DATA!$C:$C,"S"))</f>
        <v>4997383.97</v>
      </c>
      <c r="F23" s="740">
        <f>IF($B23=0,"",SUMIFS(INPUT_DATA!G:G,INPUT_DATA!$A:$A,$B23,INPUT_DATA!$C:$C,"S"))</f>
        <v>616128.16</v>
      </c>
      <c r="G23" s="740">
        <f>IF($B23=0,"",SUMIFS(INPUT_DATA!H:H,INPUT_DATA!$A:$A,$B23,INPUT_DATA!$C:$C,"S"))</f>
        <v>0</v>
      </c>
      <c r="H23" s="740">
        <f>IF($B23=0,"",SUMIFS(INPUT_DATA!I:I,INPUT_DATA!$A:$A,$B23,INPUT_DATA!$C:$C,"S"))</f>
        <v>79.95</v>
      </c>
      <c r="I23" s="740">
        <f>IF($B23=0,"",SUMIFS(INPUT_DATA!J:J,INPUT_DATA!$A:$A,$B23,INPUT_DATA!$C:$C,"S"))</f>
        <v>0</v>
      </c>
      <c r="J23" s="740">
        <f>IF($B23=0,"",SUMIFS(INPUT_DATA!K:K,INPUT_DATA!$A:$A,$B23,INPUT_DATA!$C:$C,"S"))</f>
        <v>0</v>
      </c>
      <c r="K23" s="740">
        <f>IF($B23=0,"",SUMIFS(INPUT_DATA!L:L,INPUT_DATA!$A:$A,$B23,INPUT_DATA!$C:$C,"S"))</f>
        <v>0</v>
      </c>
      <c r="L23" s="740">
        <f>IF($B23=0,"",SUMIFS(INPUT_DATA!M:M,INPUT_DATA!$A:$A,$B23,INPUT_DATA!$C:$C,"S"))</f>
        <v>0</v>
      </c>
      <c r="M23" s="740">
        <f>IF($B23=0,"",SUMIFS(INPUT_DATA!N:N,INPUT_DATA!$A:$A,$B23,INPUT_DATA!$C:$C,"S"))</f>
        <v>0</v>
      </c>
      <c r="N23" s="740">
        <f>IF($B23=0,"",SUMIFS(INPUT_DATA!O:O,INPUT_DATA!$A:$A,$B23,INPUT_DATA!$C:$C,"S"))</f>
        <v>0</v>
      </c>
      <c r="O23" s="741">
        <f>IF($B23=0,"",C23+D23-E23-F23+G23+H23+I23-J23-K23+L23-M23-N23)</f>
        <v>739186357.28000009</v>
      </c>
      <c r="P23" s="742">
        <f>IF($B23=0,"",SUMIFS(INPUT_DATA!P:P,INPUT_DATA!$A:$A,$B23,INPUT_DATA!$C:$C,"S"))</f>
        <v>739186357.27999997</v>
      </c>
      <c r="Q23" s="742">
        <f>IF($B23=0,"",O23-P23)</f>
        <v>1.1920928955078125E-7</v>
      </c>
      <c r="R23" s="748">
        <f>IF($B23=0,"",SUMIFS(INPUT_DATA!Q:Q,INPUT_DATA!$A:$A,$B23,INPUT_DATA!$C:$C,"S"))</f>
        <v>66580.289999999994</v>
      </c>
      <c r="S23" s="748">
        <f>IF($B23=0,"",SUMIFS(INPUT_DATA!R:R,INPUT_DATA!$A:$A,$B23,INPUT_DATA!$C:$C,"S"))</f>
        <v>8602.0499999999993</v>
      </c>
      <c r="T23" s="748">
        <f>IF($B23=0,"",SUMIFS(INPUT_DATA!S:S,INPUT_DATA!$A:$A,$B23,INPUT_DATA!$C:$C,"S"))</f>
        <v>0</v>
      </c>
      <c r="U23" s="313">
        <f>IF($B23=0,"",SUMIFS(INPUT_DATA!T:T,INPUT_DATA!$A:$A,$B23,INPUT_DATA!$C:$C,"S"))</f>
        <v>85973.3</v>
      </c>
      <c r="V23" s="313">
        <f>IF($B23=0,"",SUMIFS(INPUT_DATA!U:U,INPUT_DATA!$A:$A,$B23,INPUT_DATA!$C:$C,"S"))</f>
        <v>9514.19</v>
      </c>
      <c r="W23" s="313">
        <f>IF($B23=0,"",SUMIFS(INPUT_DATA!V:V,INPUT_DATA!$A:$A,$B23,INPUT_DATA!$C:$C,"S"))</f>
        <v>0</v>
      </c>
      <c r="X23" s="313">
        <f>IF($B23=0,"",SUMIFS(INPUT_DATA!W:W,INPUT_DATA!$A:$A,$B23,INPUT_DATA!$C:$C,"S"))</f>
        <v>60023.95</v>
      </c>
      <c r="Y23" s="313">
        <f>IF($B23=0,"",SUMIFS(INPUT_DATA!X:X,INPUT_DATA!$A:$A,$B23,INPUT_DATA!$C:$C,"S"))</f>
        <v>7913.99</v>
      </c>
      <c r="Z23" s="313">
        <f>IF($B23=0,"",SUMIFS(INPUT_DATA!Y:Y,INPUT_DATA!$A:$A,$B23,INPUT_DATA!$C:$C,"S"))</f>
        <v>0</v>
      </c>
      <c r="AA23" s="313">
        <f>IF($B23=0,"",SUMIFS(INPUT_DATA!Z:Z,INPUT_DATA!$A:$A,$B23,INPUT_DATA!$C:$C,"S"))</f>
        <v>0</v>
      </c>
      <c r="AB23" s="313">
        <f>IF($B23=0,"",SUMIFS(INPUT_DATA!AA:AA,INPUT_DATA!$A:$A,$B23,INPUT_DATA!$C:$C,"S"))</f>
        <v>0</v>
      </c>
      <c r="AC23" s="313">
        <f>IF($B23=0,"",SUMIFS(INPUT_DATA!AB:AB,INPUT_DATA!$A:$A,$B23,INPUT_DATA!$C:$C,"S"))</f>
        <v>0</v>
      </c>
      <c r="AD23" s="313">
        <f>IF($B23=0,"",SUMIFS(INPUT_DATA!AC:AC,INPUT_DATA!$A:$A,$B23,INPUT_DATA!$C:$C,"S"))</f>
        <v>0</v>
      </c>
      <c r="AE23" s="313">
        <f>IF($B23=0,"",SUMIFS(INPUT_DATA!AD:AD,INPUT_DATA!$A:$A,$B23,INPUT_DATA!$C:$C,"S"))</f>
        <v>0</v>
      </c>
      <c r="AF23" s="313">
        <f>IF($B23=0,"",SUMIFS(INPUT_DATA!AE:AE,INPUT_DATA!$A:$A,$B23,INPUT_DATA!$C:$C,"S"))</f>
        <v>0</v>
      </c>
      <c r="AG23" s="313">
        <f>IF($B23=0,"",SUMIFS(INPUT_DATA!AF:AF,INPUT_DATA!$A:$A,$B23,INPUT_DATA!$C:$C,"S"))</f>
        <v>0</v>
      </c>
      <c r="AH23" s="313">
        <f>IF($B23=0,"",SUMIFS(INPUT_DATA!AG:AG,INPUT_DATA!$A:$A,$B23,INPUT_DATA!$C:$C,"S"))</f>
        <v>0</v>
      </c>
      <c r="AI23" s="313">
        <f>IF($B23=0,"",SUMIFS(INPUT_DATA!AH:AH,INPUT_DATA!$A:$A,$B23,INPUT_DATA!$C:$C,"S"))</f>
        <v>0</v>
      </c>
      <c r="AJ23" s="313">
        <f>IF($B23=0,"",SUMIFS(INPUT_DATA!AI:AI,INPUT_DATA!$A:$A,$B23,INPUT_DATA!$C:$C,"S"))</f>
        <v>0</v>
      </c>
      <c r="AK23" s="313">
        <f>IF($B23=0,"",SUMIFS(INPUT_DATA!AJ:AJ,INPUT_DATA!$A:$A,$B23,INPUT_DATA!$C:$C,"S"))</f>
        <v>0</v>
      </c>
      <c r="AL23" s="313">
        <f>IF($B23=0,"",SUMIFS(INPUT_DATA!AK:AK,INPUT_DATA!$A:$A,$B23,INPUT_DATA!$C:$C,"S"))</f>
        <v>0</v>
      </c>
      <c r="AM23" s="313">
        <f>IF($B23=0,"",SUMIFS(INPUT_DATA!AL:AL,INPUT_DATA!$A:$A,$B23,INPUT_DATA!$C:$C,"S"))</f>
        <v>0</v>
      </c>
      <c r="AN23" s="313">
        <f>IF($B23=0,"",SUMIFS(INPUT_DATA!AM:AM,INPUT_DATA!$A:$A,$B23,INPUT_DATA!$C:$C,"S"))</f>
        <v>0</v>
      </c>
      <c r="AO23" s="313">
        <f>IF($B23=0,"",SUMIFS(INPUT_DATA!AN:AN,INPUT_DATA!$A:$A,$B23,INPUT_DATA!$C:$C,"S"))</f>
        <v>0</v>
      </c>
      <c r="AP23" s="313">
        <f>IF($B23=0,"",SUMIFS(INPUT_DATA!AO:AO,INPUT_DATA!$A:$A,$B23,INPUT_DATA!$C:$C,"S"))</f>
        <v>0</v>
      </c>
      <c r="AQ23" s="313">
        <f>IF($B23=0,"",SUMIFS(INPUT_DATA!AP:AP,INPUT_DATA!$A:$A,$B23,INPUT_DATA!$C:$C,"S"))</f>
        <v>0</v>
      </c>
      <c r="AR23" s="313">
        <f>IF($B23=0,"",SUMIFS(INPUT_DATA!AQ:AQ,INPUT_DATA!$A:$A,$B23,INPUT_DATA!$C:$C,"S"))</f>
        <v>0</v>
      </c>
      <c r="AS23" s="749">
        <f t="shared" ref="AS23:AS86" si="29">IF($B23=0,"",R23+U23-X23-AA23-AD23-AG23+AJ23-AM23-AP23)</f>
        <v>92529.64</v>
      </c>
      <c r="AT23" s="750">
        <f t="shared" ref="AT23:AT86" si="30">IF($B23=0,"",S23+V23-Y23-AB23-AE23-AH23+AK23-AN23-AQ23)</f>
        <v>10202.249999999998</v>
      </c>
      <c r="AU23" s="751">
        <f t="shared" ref="AU23:AU86" si="31">IF($B23=0,"",T23+W23-Z23-AC23-AF23-AI23+AL23-AO23-AR23)</f>
        <v>0</v>
      </c>
      <c r="AV23" s="749">
        <f>IF($B23=0,"",SUMIFS(INPUT_DATA!AR:AR,INPUT_DATA!$A:$A,$B23,INPUT_DATA!$C:$C,"S"))</f>
        <v>92529.64</v>
      </c>
      <c r="AW23" s="750">
        <f>IF($B23=0,"",SUMIFS(INPUT_DATA!AS:AS,INPUT_DATA!$A:$A,$B23,INPUT_DATA!$C:$C,"S"))</f>
        <v>10202.25</v>
      </c>
      <c r="AX23" s="751">
        <f>IF($B23=0,"",SUMIFS(INPUT_DATA!AT:AT,INPUT_DATA!$A:$A,$B23,INPUT_DATA!$C:$C,"S"))</f>
        <v>0</v>
      </c>
      <c r="AY23" s="749">
        <f t="shared" si="15"/>
        <v>0</v>
      </c>
      <c r="AZ23" s="750">
        <f t="shared" si="16"/>
        <v>-1.8189894035458565E-12</v>
      </c>
      <c r="BA23" s="751">
        <f t="shared" si="17"/>
        <v>0</v>
      </c>
      <c r="BB23" s="150"/>
      <c r="BC23" s="738">
        <f>IF($B23=0,"",SUMIFS(INPUT_DATA!D:D,INPUT_DATA!$A:$A,$B23,INPUT_DATA!$C:$C,"D"))</f>
        <v>0</v>
      </c>
      <c r="BD23" s="312">
        <f>IF($B23=0,"",SUMIFS(INPUT_DATA!F:F,INPUT_DATA!$A:$A,$B23,INPUT_DATA!$C:$C,"D"))</f>
        <v>0</v>
      </c>
      <c r="BE23" s="312">
        <f>IF($B23=0,"",SUMIFS(INPUT_DATA!G:G,INPUT_DATA!$A:$A,$B23,INPUT_DATA!$C:$C,"D"))</f>
        <v>0</v>
      </c>
      <c r="BF23" s="312">
        <f>IF($B23=0,"",SUMIFS(INPUT_DATA!H:H,INPUT_DATA!$A:$A,$B23,INPUT_DATA!$C:$C,"D"))</f>
        <v>0</v>
      </c>
      <c r="BG23" s="312">
        <f>IF($B23=0,"",SUMIFS(INPUT_DATA!I:I,INPUT_DATA!$A:$A,$B23,INPUT_DATA!$C:$C,"D"))</f>
        <v>0</v>
      </c>
      <c r="BH23" s="312">
        <f>IF($B23=0,"",SUMIFS(INPUT_DATA!J:J,INPUT_DATA!$A:$A,$B23,INPUT_DATA!$C:$C,"D"))</f>
        <v>0</v>
      </c>
      <c r="BI23" s="312">
        <f>IF($B23=0,"",SUMIFS(INPUT_DATA!K:K,INPUT_DATA!$A:$A,$B23,INPUT_DATA!$C:$C,"D"))</f>
        <v>0</v>
      </c>
      <c r="BJ23" s="312">
        <f>IF($B23=0,"",SUMIFS(INPUT_DATA!L:L,INPUT_DATA!$A:$A,$B23,INPUT_DATA!$C:$C,"D"))</f>
        <v>0</v>
      </c>
      <c r="BK23" s="312">
        <f>IF($B23=0,"",SUMIFS(INPUT_DATA!M:M,INPUT_DATA!$A:$A,$B23,INPUT_DATA!$C:$C,"D"))</f>
        <v>0</v>
      </c>
      <c r="BL23" s="312">
        <f>IF($B23=0,"",SUMIFS(INPUT_DATA!N:N,INPUT_DATA!$A:$A,$B23,INPUT_DATA!$C:$C,"D"))</f>
        <v>0</v>
      </c>
      <c r="BM23" s="312">
        <f>IF($B23=0,"",SUMIFS(INPUT_DATA!O:O,INPUT_DATA!$A:$A,$B23,INPUT_DATA!$C:$C,"D"))</f>
        <v>0</v>
      </c>
      <c r="BN23" s="754">
        <f t="shared" si="18"/>
        <v>0</v>
      </c>
      <c r="BO23" s="754">
        <f>IF($B23=0,"",SUMIFS(INPUT_DATA!O:O,INPUT_DATA!$A:$A,$B23,INPUT_DATA!$C:$C,"D"))</f>
        <v>0</v>
      </c>
      <c r="BP23" s="754">
        <f t="shared" si="19"/>
        <v>0</v>
      </c>
      <c r="BQ23" s="738">
        <f>IF($B23=0,"",SUMIFS(INPUT_DATA!Q:Q,INPUT_DATA!$A:$A,$B23,INPUT_DATA!$C:$C,"D"))</f>
        <v>0</v>
      </c>
      <c r="BR23" s="760">
        <f>IF($B23=0,"",SUMIFS(INPUT_DATA!R:R,INPUT_DATA!$A:$A,$B23,INPUT_DATA!$C:$C,"D"))</f>
        <v>0</v>
      </c>
      <c r="BS23" s="760">
        <f>IF($B23=0,"",SUMIFS(INPUT_DATA!S:S,INPUT_DATA!$A:$A,$B23,INPUT_DATA!$C:$C,"D"))</f>
        <v>0</v>
      </c>
      <c r="BT23" s="312">
        <f>IF($B23=0,"",SUMIFS(INPUT_DATA!T:T,INPUT_DATA!$A:$A,$B23,INPUT_DATA!$C:$C,"D"))</f>
        <v>0</v>
      </c>
      <c r="BU23" s="312">
        <f>IF($B23=0,"",SUMIFS(INPUT_DATA!U:U,INPUT_DATA!$A:$A,$B23,INPUT_DATA!$C:$C,"D"))</f>
        <v>0</v>
      </c>
      <c r="BV23" s="312">
        <f>IF($B23=0,"",SUMIFS(INPUT_DATA!V:V,INPUT_DATA!$A:$A,$B23,INPUT_DATA!$C:$C,"D"))</f>
        <v>0</v>
      </c>
      <c r="BW23" s="312">
        <f>IF($B23=0,"",SUMIFS(INPUT_DATA!W:W,INPUT_DATA!$A:$A,$B23,INPUT_DATA!$C:$C,"D"))</f>
        <v>0</v>
      </c>
      <c r="BX23" s="312">
        <f>IF($B23=0,"",SUMIFS(INPUT_DATA!X:X,INPUT_DATA!$A:$A,$B23,INPUT_DATA!$C:$C,"D"))</f>
        <v>0</v>
      </c>
      <c r="BY23" s="312">
        <f>IF($B23=0,"",SUMIFS(INPUT_DATA!Y:Y,INPUT_DATA!$A:$A,$B23,INPUT_DATA!$C:$C,"D"))</f>
        <v>0</v>
      </c>
      <c r="BZ23" s="353">
        <f>IF($B23=0,"",SUMIFS(INPUT_DATA!Z:Z,INPUT_DATA!$A:$A,$B23,INPUT_DATA!$C:$C,"D"))</f>
        <v>0</v>
      </c>
      <c r="CA23" s="353">
        <f>IF($B23=0,"",SUMIFS(INPUT_DATA!AA:AA,INPUT_DATA!$A:$A,$B23,INPUT_DATA!$C:$C,"D"))</f>
        <v>0</v>
      </c>
      <c r="CB23" s="353">
        <f>IF($B23=0,"",SUMIFS(INPUT_DATA!AB:AB,INPUT_DATA!$A:$A,$B23,INPUT_DATA!$C:$C,"D"))</f>
        <v>0</v>
      </c>
      <c r="CC23" s="312">
        <f>IF($B23=0,"",SUMIFS(INPUT_DATA!AC:AC,INPUT_DATA!$A:$A,$B23,INPUT_DATA!$C:$C,"D"))</f>
        <v>0</v>
      </c>
      <c r="CD23" s="312">
        <f>IF($B23=0,"",SUMIFS(INPUT_DATA!AD:AD,INPUT_DATA!$A:$A,$B23,INPUT_DATA!$C:$C,"D"))</f>
        <v>0</v>
      </c>
      <c r="CE23" s="312">
        <f>IF($B23=0,"",SUMIFS(INPUT_DATA!AE:AE,INPUT_DATA!$A:$A,$B23,INPUT_DATA!$C:$C,"D"))</f>
        <v>0</v>
      </c>
      <c r="CF23" s="353">
        <f>IF($B23=0,"",SUMIFS(INPUT_DATA!AF:AF,INPUT_DATA!$A:$A,$B23,INPUT_DATA!$C:$C,"D"))</f>
        <v>0</v>
      </c>
      <c r="CG23" s="353">
        <f>IF($B23=0,"",SUMIFS(INPUT_DATA!AG:AG,INPUT_DATA!$A:$A,$B23,INPUT_DATA!$C:$C,"D"))</f>
        <v>0</v>
      </c>
      <c r="CH23" s="353">
        <f>IF($B23=0,"",SUMIFS(INPUT_DATA!AH:AH,INPUT_DATA!$A:$A,$B23,INPUT_DATA!$C:$C,"D"))</f>
        <v>0</v>
      </c>
      <c r="CI23" s="153">
        <f>IF($B23=0,"",SUMIFS(INPUT_DATA!AI:AI,INPUT_DATA!$A:$A,$B23,INPUT_DATA!$C:$C,"D"))</f>
        <v>0</v>
      </c>
      <c r="CJ23" s="153">
        <f>IF($B23=0,"",SUMIFS(INPUT_DATA!AJ:AJ,INPUT_DATA!$A:$A,$B23,INPUT_DATA!$C:$C,"D"))</f>
        <v>0</v>
      </c>
      <c r="CK23" s="153">
        <f>IF($B23=0,"",SUMIFS(INPUT_DATA!AK:AK,INPUT_DATA!$A:$A,$B23,INPUT_DATA!$C:$C,"D"))</f>
        <v>0</v>
      </c>
      <c r="CL23" s="153">
        <f>IF($B23=0,"",SUMIFS(INPUT_DATA!AL:AL,INPUT_DATA!$A:$A,$B23,INPUT_DATA!$C:$C,"D"))</f>
        <v>0</v>
      </c>
      <c r="CM23" s="153">
        <f>IF($B23=0,"",SUMIFS(INPUT_DATA!AM:AM,INPUT_DATA!$A:$A,$B23,INPUT_DATA!$C:$C,"D"))</f>
        <v>0</v>
      </c>
      <c r="CN23" s="153">
        <f>IF($B23=0,"",SUMIFS(INPUT_DATA!AN:AN,INPUT_DATA!$A:$A,$B23,INPUT_DATA!$C:$C,"D"))</f>
        <v>0</v>
      </c>
      <c r="CO23" s="153">
        <f>IF($B23=0,"",SUMIFS(INPUT_DATA!AO:AO,INPUT_DATA!$A:$A,$B23,INPUT_DATA!$C:$C,"D"))</f>
        <v>0</v>
      </c>
      <c r="CP23" s="153">
        <f>IF($B23=0,"",SUMIFS(INPUT_DATA!AP:AP,INPUT_DATA!$A:$A,$B23,INPUT_DATA!$C:$C,"D"))</f>
        <v>0</v>
      </c>
      <c r="CQ23" s="153">
        <f>IF($B23=0,"",SUMIFS(INPUT_DATA!AQ:AQ,INPUT_DATA!$A:$A,$B23,INPUT_DATA!$C:$C,"D"))</f>
        <v>0</v>
      </c>
      <c r="CR23" s="750">
        <f t="shared" ref="CR23:CR86" si="32">IF($B23=0,"",BQ23+BT23-BW23-BZ23-CC23+CF23-CI23-CL23-CO23)</f>
        <v>0</v>
      </c>
      <c r="CS23" s="750">
        <f t="shared" ref="CS23:CS86" si="33">IF($B23=0,"",BR23+BU23-BX23-CA23-CD23+CG23-CJ23-CM23-CP23)</f>
        <v>0</v>
      </c>
      <c r="CT23" s="750">
        <f t="shared" ref="CT23:CT86" si="34">IF($B23=0,"",BS23+BV23-BY23-CB23-CE23+CH23-CK23-CN23-CQ23)</f>
        <v>0</v>
      </c>
      <c r="CU23" s="739">
        <f>IF($B23=0,"",SUMIFS(INPUT_DATA!AR:AR,INPUT_DATA!$A:$A,$B23,INPUT_DATA!$C:$C,"D"))</f>
        <v>0</v>
      </c>
      <c r="CV23" s="739">
        <f>IF($B23=0,"",SUMIFS(INPUT_DATA!AS:AS,INPUT_DATA!$A:$A,$B23,INPUT_DATA!$C:$C,"D"))</f>
        <v>0</v>
      </c>
      <c r="CW23" s="739">
        <f>IF($B23=0,"",SUMIFS(INPUT_DATA!AT:AT,INPUT_DATA!$A:$A,$B23,INPUT_DATA!$C:$C,"D"))</f>
        <v>0</v>
      </c>
      <c r="CX23" s="739">
        <f t="shared" ref="CX23:CX86" si="35">IF($B23=0,"",CR23-CU23)</f>
        <v>0</v>
      </c>
      <c r="CY23" s="750">
        <f t="shared" ref="CY23:CY86" si="36">IF($B23=0,"",CS23-CV23)</f>
        <v>0</v>
      </c>
      <c r="CZ23" s="761">
        <f t="shared" ref="CZ23:CZ86" si="37">IF($B23=0,"",CT23-CW23)</f>
        <v>0</v>
      </c>
      <c r="DA23" s="150"/>
    </row>
    <row r="24" spans="2:105" ht="13" x14ac:dyDescent="0.25">
      <c r="B24" s="733">
        <f>INPUT_DATA!BQ11</f>
        <v>45260</v>
      </c>
      <c r="C24" s="738">
        <f>IF($B24=0,"",SUMIFS(INPUT_DATA!D:D,INPUT_DATA!$A:$A,$B24,INPUT_DATA!$C:$C,"S"))</f>
        <v>751085014.37</v>
      </c>
      <c r="D24" s="739">
        <f>IF($B24=0,"",SUMIFS(INPUT_DATA!E:E,INPUT_DATA!$A:$A,$B24,INPUT_DATA!$C:$C,"S"))</f>
        <v>0</v>
      </c>
      <c r="E24" s="740">
        <f>IF($B24=0,"",SUMIFS(INPUT_DATA!F:F,INPUT_DATA!$A:$A,$B24,INPUT_DATA!$C:$C,"S"))</f>
        <v>4999969.28</v>
      </c>
      <c r="F24" s="740">
        <f>IF($B24=0,"",SUMIFS(INPUT_DATA!G:G,INPUT_DATA!$A:$A,$B24,INPUT_DATA!$C:$C,"S"))</f>
        <v>1285255.6299999999</v>
      </c>
      <c r="G24" s="740">
        <f>IF($B24=0,"",SUMIFS(INPUT_DATA!H:H,INPUT_DATA!$A:$A,$B24,INPUT_DATA!$C:$C,"S"))</f>
        <v>0</v>
      </c>
      <c r="H24" s="740">
        <f>IF($B24=0,"",SUMIFS(INPUT_DATA!I:I,INPUT_DATA!$A:$A,$B24,INPUT_DATA!$C:$C,"S"))</f>
        <v>0</v>
      </c>
      <c r="I24" s="740">
        <f>IF($B24=0,"",SUMIFS(INPUT_DATA!J:J,INPUT_DATA!$A:$A,$B24,INPUT_DATA!$C:$C,"S"))</f>
        <v>0</v>
      </c>
      <c r="J24" s="740">
        <f>IF($B24=0,"",SUMIFS(INPUT_DATA!K:K,INPUT_DATA!$A:$A,$B24,INPUT_DATA!$C:$C,"S"))</f>
        <v>0</v>
      </c>
      <c r="K24" s="740">
        <f>IF($B24=0,"",SUMIFS(INPUT_DATA!L:L,INPUT_DATA!$A:$A,$B24,INPUT_DATA!$C:$C,"S"))</f>
        <v>0</v>
      </c>
      <c r="L24" s="740">
        <f>IF($B24=0,"",SUMIFS(INPUT_DATA!M:M,INPUT_DATA!$A:$A,$B24,INPUT_DATA!$C:$C,"S"))</f>
        <v>0</v>
      </c>
      <c r="M24" s="740">
        <f>IF($B24=0,"",SUMIFS(INPUT_DATA!N:N,INPUT_DATA!$A:$A,$B24,INPUT_DATA!$C:$C,"S"))</f>
        <v>0</v>
      </c>
      <c r="N24" s="740">
        <f>IF($B24=0,"",SUMIFS(INPUT_DATA!O:O,INPUT_DATA!$A:$A,$B24,INPUT_DATA!$C:$C,"S"))</f>
        <v>0</v>
      </c>
      <c r="O24" s="741">
        <f t="shared" ref="O24:O87" si="38">IF($B24=0,"",C24+D24-E24-F24+G24+H24+I24-J24-K24+L24-M24-N24)</f>
        <v>744799789.46000004</v>
      </c>
      <c r="P24" s="742">
        <f>IF($B24=0,"",SUMIFS(INPUT_DATA!P:P,INPUT_DATA!$A:$A,$B24,INPUT_DATA!$C:$C,"S"))</f>
        <v>744799789.46000004</v>
      </c>
      <c r="Q24" s="742">
        <f t="shared" ref="Q24:Q87" si="39">IF($B24=0,"",O24-P24)</f>
        <v>0</v>
      </c>
      <c r="R24" s="748">
        <f>IF($B24=0,"",SUMIFS(INPUT_DATA!Q:Q,INPUT_DATA!$A:$A,$B24,INPUT_DATA!$C:$C,"S"))</f>
        <v>0</v>
      </c>
      <c r="S24" s="748">
        <f>IF($B24=0,"",SUMIFS(INPUT_DATA!R:R,INPUT_DATA!$A:$A,$B24,INPUT_DATA!$C:$C,"S"))</f>
        <v>0</v>
      </c>
      <c r="T24" s="748">
        <f>IF($B24=0,"",SUMIFS(INPUT_DATA!S:S,INPUT_DATA!$A:$A,$B24,INPUT_DATA!$C:$C,"S"))</f>
        <v>0</v>
      </c>
      <c r="U24" s="313">
        <f>IF($B24=0,"",SUMIFS(INPUT_DATA!T:T,INPUT_DATA!$A:$A,$B24,INPUT_DATA!$C:$C,"S"))</f>
        <v>66580.289999999994</v>
      </c>
      <c r="V24" s="313">
        <f>IF($B24=0,"",SUMIFS(INPUT_DATA!U:U,INPUT_DATA!$A:$A,$B24,INPUT_DATA!$C:$C,"S"))</f>
        <v>8602.0499999999993</v>
      </c>
      <c r="W24" s="313">
        <f>IF($B24=0,"",SUMIFS(INPUT_DATA!V:V,INPUT_DATA!$A:$A,$B24,INPUT_DATA!$C:$C,"S"))</f>
        <v>0</v>
      </c>
      <c r="X24" s="313">
        <f>IF($B24=0,"",SUMIFS(INPUT_DATA!W:W,INPUT_DATA!$A:$A,$B24,INPUT_DATA!$C:$C,"S"))</f>
        <v>0</v>
      </c>
      <c r="Y24" s="313">
        <f>IF($B24=0,"",SUMIFS(INPUT_DATA!X:X,INPUT_DATA!$A:$A,$B24,INPUT_DATA!$C:$C,"S"))</f>
        <v>0</v>
      </c>
      <c r="Z24" s="313">
        <f>IF($B24=0,"",SUMIFS(INPUT_DATA!Y:Y,INPUT_DATA!$A:$A,$B24,INPUT_DATA!$C:$C,"S"))</f>
        <v>0</v>
      </c>
      <c r="AA24" s="313">
        <f>IF($B24=0,"",SUMIFS(INPUT_DATA!Z:Z,INPUT_DATA!$A:$A,$B24,INPUT_DATA!$C:$C,"S"))</f>
        <v>0</v>
      </c>
      <c r="AB24" s="313">
        <f>IF($B24=0,"",SUMIFS(INPUT_DATA!AA:AA,INPUT_DATA!$A:$A,$B24,INPUT_DATA!$C:$C,"S"))</f>
        <v>0</v>
      </c>
      <c r="AC24" s="313">
        <f>IF($B24=0,"",SUMIFS(INPUT_DATA!AB:AB,INPUT_DATA!$A:$A,$B24,INPUT_DATA!$C:$C,"S"))</f>
        <v>0</v>
      </c>
      <c r="AD24" s="313">
        <f>IF($B24=0,"",SUMIFS(INPUT_DATA!AC:AC,INPUT_DATA!$A:$A,$B24,INPUT_DATA!$C:$C,"S"))</f>
        <v>0</v>
      </c>
      <c r="AE24" s="313">
        <f>IF($B24=0,"",SUMIFS(INPUT_DATA!AD:AD,INPUT_DATA!$A:$A,$B24,INPUT_DATA!$C:$C,"S"))</f>
        <v>0</v>
      </c>
      <c r="AF24" s="313">
        <f>IF($B24=0,"",SUMIFS(INPUT_DATA!AE:AE,INPUT_DATA!$A:$A,$B24,INPUT_DATA!$C:$C,"S"))</f>
        <v>0</v>
      </c>
      <c r="AG24" s="313">
        <f>IF($B24=0,"",SUMIFS(INPUT_DATA!AF:AF,INPUT_DATA!$A:$A,$B24,INPUT_DATA!$C:$C,"S"))</f>
        <v>0</v>
      </c>
      <c r="AH24" s="313">
        <f>IF($B24=0,"",SUMIFS(INPUT_DATA!AG:AG,INPUT_DATA!$A:$A,$B24,INPUT_DATA!$C:$C,"S"))</f>
        <v>0</v>
      </c>
      <c r="AI24" s="313">
        <f>IF($B24=0,"",SUMIFS(INPUT_DATA!AH:AH,INPUT_DATA!$A:$A,$B24,INPUT_DATA!$C:$C,"S"))</f>
        <v>0</v>
      </c>
      <c r="AJ24" s="313">
        <f>IF($B24=0,"",SUMIFS(INPUT_DATA!AI:AI,INPUT_DATA!$A:$A,$B24,INPUT_DATA!$C:$C,"S"))</f>
        <v>0</v>
      </c>
      <c r="AK24" s="313">
        <f>IF($B24=0,"",SUMIFS(INPUT_DATA!AJ:AJ,INPUT_DATA!$A:$A,$B24,INPUT_DATA!$C:$C,"S"))</f>
        <v>0</v>
      </c>
      <c r="AL24" s="313">
        <f>IF($B24=0,"",SUMIFS(INPUT_DATA!AK:AK,INPUT_DATA!$A:$A,$B24,INPUT_DATA!$C:$C,"S"))</f>
        <v>0</v>
      </c>
      <c r="AM24" s="313">
        <f>IF($B24=0,"",SUMIFS(INPUT_DATA!AL:AL,INPUT_DATA!$A:$A,$B24,INPUT_DATA!$C:$C,"S"))</f>
        <v>0</v>
      </c>
      <c r="AN24" s="313">
        <f>IF($B24=0,"",SUMIFS(INPUT_DATA!AM:AM,INPUT_DATA!$A:$A,$B24,INPUT_DATA!$C:$C,"S"))</f>
        <v>0</v>
      </c>
      <c r="AO24" s="313">
        <f>IF($B24=0,"",SUMIFS(INPUT_DATA!AN:AN,INPUT_DATA!$A:$A,$B24,INPUT_DATA!$C:$C,"S"))</f>
        <v>0</v>
      </c>
      <c r="AP24" s="313">
        <f>IF($B24=0,"",SUMIFS(INPUT_DATA!AO:AO,INPUT_DATA!$A:$A,$B24,INPUT_DATA!$C:$C,"S"))</f>
        <v>0</v>
      </c>
      <c r="AQ24" s="313">
        <f>IF($B24=0,"",SUMIFS(INPUT_DATA!AP:AP,INPUT_DATA!$A:$A,$B24,INPUT_DATA!$C:$C,"S"))</f>
        <v>0</v>
      </c>
      <c r="AR24" s="313">
        <f>IF($B24=0,"",SUMIFS(INPUT_DATA!AQ:AQ,INPUT_DATA!$A:$A,$B24,INPUT_DATA!$C:$C,"S"))</f>
        <v>0</v>
      </c>
      <c r="AS24" s="749">
        <f t="shared" si="29"/>
        <v>66580.289999999994</v>
      </c>
      <c r="AT24" s="750">
        <f t="shared" si="30"/>
        <v>8602.0499999999993</v>
      </c>
      <c r="AU24" s="751">
        <f t="shared" si="31"/>
        <v>0</v>
      </c>
      <c r="AV24" s="749">
        <f>IF($B24=0,"",SUMIFS(INPUT_DATA!AR:AR,INPUT_DATA!$A:$A,$B24,INPUT_DATA!$C:$C,"S"))</f>
        <v>66580.289999999994</v>
      </c>
      <c r="AW24" s="750">
        <f>IF($B24=0,"",SUMIFS(INPUT_DATA!AS:AS,INPUT_DATA!$A:$A,$B24,INPUT_DATA!$C:$C,"S"))</f>
        <v>8602.0499999999993</v>
      </c>
      <c r="AX24" s="751">
        <f>IF($B24=0,"",SUMIFS(INPUT_DATA!AT:AT,INPUT_DATA!$A:$A,$B24,INPUT_DATA!$C:$C,"S"))</f>
        <v>0</v>
      </c>
      <c r="AY24" s="749">
        <f t="shared" si="15"/>
        <v>0</v>
      </c>
      <c r="AZ24" s="750">
        <f t="shared" si="16"/>
        <v>0</v>
      </c>
      <c r="BA24" s="751">
        <f t="shared" si="17"/>
        <v>0</v>
      </c>
      <c r="BB24" s="150"/>
      <c r="BC24" s="738">
        <f>IF($B24=0,"",SUMIFS(INPUT_DATA!D:D,INPUT_DATA!$A:$A,$B24,INPUT_DATA!$C:$C,"D"))</f>
        <v>0</v>
      </c>
      <c r="BD24" s="312">
        <f>IF($B24=0,"",SUMIFS(INPUT_DATA!F:F,INPUT_DATA!$A:$A,$B24,INPUT_DATA!$C:$C,"D"))</f>
        <v>0</v>
      </c>
      <c r="BE24" s="312">
        <f>IF($B24=0,"",SUMIFS(INPUT_DATA!G:G,INPUT_DATA!$A:$A,$B24,INPUT_DATA!$C:$C,"D"))</f>
        <v>0</v>
      </c>
      <c r="BF24" s="312">
        <f>IF($B24=0,"",SUMIFS(INPUT_DATA!H:H,INPUT_DATA!$A:$A,$B24,INPUT_DATA!$C:$C,"D"))</f>
        <v>0</v>
      </c>
      <c r="BG24" s="312">
        <f>IF($B24=0,"",SUMIFS(INPUT_DATA!I:I,INPUT_DATA!$A:$A,$B24,INPUT_DATA!$C:$C,"D"))</f>
        <v>0</v>
      </c>
      <c r="BH24" s="312">
        <f>IF($B24=0,"",SUMIFS(INPUT_DATA!J:J,INPUT_DATA!$A:$A,$B24,INPUT_DATA!$C:$C,"D"))</f>
        <v>0</v>
      </c>
      <c r="BI24" s="312">
        <f>IF($B24=0,"",SUMIFS(INPUT_DATA!K:K,INPUT_DATA!$A:$A,$B24,INPUT_DATA!$C:$C,"D"))</f>
        <v>0</v>
      </c>
      <c r="BJ24" s="312">
        <f>IF($B24=0,"",SUMIFS(INPUT_DATA!L:L,INPUT_DATA!$A:$A,$B24,INPUT_DATA!$C:$C,"D"))</f>
        <v>0</v>
      </c>
      <c r="BK24" s="312">
        <f>IF($B24=0,"",SUMIFS(INPUT_DATA!M:M,INPUT_DATA!$A:$A,$B24,INPUT_DATA!$C:$C,"D"))</f>
        <v>0</v>
      </c>
      <c r="BL24" s="312">
        <f>IF($B24=0,"",SUMIFS(INPUT_DATA!N:N,INPUT_DATA!$A:$A,$B24,INPUT_DATA!$C:$C,"D"))</f>
        <v>0</v>
      </c>
      <c r="BM24" s="312">
        <f>IF($B24=0,"",SUMIFS(INPUT_DATA!O:O,INPUT_DATA!$A:$A,$B24,INPUT_DATA!$C:$C,"D"))</f>
        <v>0</v>
      </c>
      <c r="BN24" s="754">
        <f t="shared" si="18"/>
        <v>0</v>
      </c>
      <c r="BO24" s="754">
        <f>IF($B24=0,"",SUMIFS(INPUT_DATA!O:O,INPUT_DATA!$A:$A,$B24,INPUT_DATA!$C:$C,"D"))</f>
        <v>0</v>
      </c>
      <c r="BP24" s="754">
        <f t="shared" si="19"/>
        <v>0</v>
      </c>
      <c r="BQ24" s="738">
        <f>IF($B24=0,"",SUMIFS(INPUT_DATA!Q:Q,INPUT_DATA!$A:$A,$B24,INPUT_DATA!$C:$C,"D"))</f>
        <v>0</v>
      </c>
      <c r="BR24" s="760">
        <f>IF($B24=0,"",SUMIFS(INPUT_DATA!R:R,INPUT_DATA!$A:$A,$B24,INPUT_DATA!$C:$C,"D"))</f>
        <v>0</v>
      </c>
      <c r="BS24" s="760">
        <f>IF($B24=0,"",SUMIFS(INPUT_DATA!S:S,INPUT_DATA!$A:$A,$B24,INPUT_DATA!$C:$C,"D"))</f>
        <v>0</v>
      </c>
      <c r="BT24" s="312">
        <f>IF($B24=0,"",SUMIFS(INPUT_DATA!T:T,INPUT_DATA!$A:$A,$B24,INPUT_DATA!$C:$C,"D"))</f>
        <v>0</v>
      </c>
      <c r="BU24" s="312">
        <f>IF($B24=0,"",SUMIFS(INPUT_DATA!U:U,INPUT_DATA!$A:$A,$B24,INPUT_DATA!$C:$C,"D"))</f>
        <v>0</v>
      </c>
      <c r="BV24" s="312">
        <f>IF($B24=0,"",SUMIFS(INPUT_DATA!V:V,INPUT_DATA!$A:$A,$B24,INPUT_DATA!$C:$C,"D"))</f>
        <v>0</v>
      </c>
      <c r="BW24" s="312">
        <f>IF($B24=0,"",SUMIFS(INPUT_DATA!W:W,INPUT_DATA!$A:$A,$B24,INPUT_DATA!$C:$C,"D"))</f>
        <v>0</v>
      </c>
      <c r="BX24" s="312">
        <f>IF($B24=0,"",SUMIFS(INPUT_DATA!X:X,INPUT_DATA!$A:$A,$B24,INPUT_DATA!$C:$C,"D"))</f>
        <v>0</v>
      </c>
      <c r="BY24" s="312">
        <f>IF($B24=0,"",SUMIFS(INPUT_DATA!Y:Y,INPUT_DATA!$A:$A,$B24,INPUT_DATA!$C:$C,"D"))</f>
        <v>0</v>
      </c>
      <c r="BZ24" s="353">
        <f>IF($B24=0,"",SUMIFS(INPUT_DATA!Z:Z,INPUT_DATA!$A:$A,$B24,INPUT_DATA!$C:$C,"D"))</f>
        <v>0</v>
      </c>
      <c r="CA24" s="353">
        <f>IF($B24=0,"",SUMIFS(INPUT_DATA!AA:AA,INPUT_DATA!$A:$A,$B24,INPUT_DATA!$C:$C,"D"))</f>
        <v>0</v>
      </c>
      <c r="CB24" s="353">
        <f>IF($B24=0,"",SUMIFS(INPUT_DATA!AB:AB,INPUT_DATA!$A:$A,$B24,INPUT_DATA!$C:$C,"D"))</f>
        <v>0</v>
      </c>
      <c r="CC24" s="312">
        <f>IF($B24=0,"",SUMIFS(INPUT_DATA!AC:AC,INPUT_DATA!$A:$A,$B24,INPUT_DATA!$C:$C,"D"))</f>
        <v>0</v>
      </c>
      <c r="CD24" s="312">
        <f>IF($B24=0,"",SUMIFS(INPUT_DATA!AD:AD,INPUT_DATA!$A:$A,$B24,INPUT_DATA!$C:$C,"D"))</f>
        <v>0</v>
      </c>
      <c r="CE24" s="312">
        <f>IF($B24=0,"",SUMIFS(INPUT_DATA!AE:AE,INPUT_DATA!$A:$A,$B24,INPUT_DATA!$C:$C,"D"))</f>
        <v>0</v>
      </c>
      <c r="CF24" s="353">
        <f>IF($B24=0,"",SUMIFS(INPUT_DATA!AF:AF,INPUT_DATA!$A:$A,$B24,INPUT_DATA!$C:$C,"D"))</f>
        <v>0</v>
      </c>
      <c r="CG24" s="353">
        <f>IF($B24=0,"",SUMIFS(INPUT_DATA!AG:AG,INPUT_DATA!$A:$A,$B24,INPUT_DATA!$C:$C,"D"))</f>
        <v>0</v>
      </c>
      <c r="CH24" s="353">
        <f>IF($B24=0,"",SUMIFS(INPUT_DATA!AH:AH,INPUT_DATA!$A:$A,$B24,INPUT_DATA!$C:$C,"D"))</f>
        <v>0</v>
      </c>
      <c r="CI24" s="153">
        <f>IF($B24=0,"",SUMIFS(INPUT_DATA!AI:AI,INPUT_DATA!$A:$A,$B24,INPUT_DATA!$C:$C,"D"))</f>
        <v>0</v>
      </c>
      <c r="CJ24" s="153">
        <f>IF($B24=0,"",SUMIFS(INPUT_DATA!AJ:AJ,INPUT_DATA!$A:$A,$B24,INPUT_DATA!$C:$C,"D"))</f>
        <v>0</v>
      </c>
      <c r="CK24" s="153">
        <f>IF($B24=0,"",SUMIFS(INPUT_DATA!AK:AK,INPUT_DATA!$A:$A,$B24,INPUT_DATA!$C:$C,"D"))</f>
        <v>0</v>
      </c>
      <c r="CL24" s="153">
        <f>IF($B24=0,"",SUMIFS(INPUT_DATA!AL:AL,INPUT_DATA!$A:$A,$B24,INPUT_DATA!$C:$C,"D"))</f>
        <v>0</v>
      </c>
      <c r="CM24" s="153">
        <f>IF($B24=0,"",SUMIFS(INPUT_DATA!AM:AM,INPUT_DATA!$A:$A,$B24,INPUT_DATA!$C:$C,"D"))</f>
        <v>0</v>
      </c>
      <c r="CN24" s="153">
        <f>IF($B24=0,"",SUMIFS(INPUT_DATA!AN:AN,INPUT_DATA!$A:$A,$B24,INPUT_DATA!$C:$C,"D"))</f>
        <v>0</v>
      </c>
      <c r="CO24" s="153">
        <f>IF($B24=0,"",SUMIFS(INPUT_DATA!AO:AO,INPUT_DATA!$A:$A,$B24,INPUT_DATA!$C:$C,"D"))</f>
        <v>0</v>
      </c>
      <c r="CP24" s="153">
        <f>IF($B24=0,"",SUMIFS(INPUT_DATA!AP:AP,INPUT_DATA!$A:$A,$B24,INPUT_DATA!$C:$C,"D"))</f>
        <v>0</v>
      </c>
      <c r="CQ24" s="153">
        <f>IF($B24=0,"",SUMIFS(INPUT_DATA!AQ:AQ,INPUT_DATA!$A:$A,$B24,INPUT_DATA!$C:$C,"D"))</f>
        <v>0</v>
      </c>
      <c r="CR24" s="750">
        <f t="shared" si="32"/>
        <v>0</v>
      </c>
      <c r="CS24" s="750">
        <f t="shared" si="33"/>
        <v>0</v>
      </c>
      <c r="CT24" s="750">
        <f t="shared" si="34"/>
        <v>0</v>
      </c>
      <c r="CU24" s="739">
        <f>IF($B24=0,"",SUMIFS(INPUT_DATA!AR:AR,INPUT_DATA!$A:$A,$B24,INPUT_DATA!$C:$C,"D"))</f>
        <v>0</v>
      </c>
      <c r="CV24" s="739">
        <f>IF($B24=0,"",SUMIFS(INPUT_DATA!AS:AS,INPUT_DATA!$A:$A,$B24,INPUT_DATA!$C:$C,"D"))</f>
        <v>0</v>
      </c>
      <c r="CW24" s="739">
        <f>IF($B24=0,"",SUMIFS(INPUT_DATA!AT:AT,INPUT_DATA!$A:$A,$B24,INPUT_DATA!$C:$C,"D"))</f>
        <v>0</v>
      </c>
      <c r="CX24" s="739">
        <f t="shared" si="35"/>
        <v>0</v>
      </c>
      <c r="CY24" s="750">
        <f t="shared" si="36"/>
        <v>0</v>
      </c>
      <c r="CZ24" s="761">
        <f t="shared" si="37"/>
        <v>0</v>
      </c>
      <c r="DA24" s="150"/>
    </row>
    <row r="25" spans="2:105" ht="13" x14ac:dyDescent="0.25">
      <c r="B25" s="733">
        <f>INPUT_DATA!BQ12</f>
        <v>45230</v>
      </c>
      <c r="C25" s="738">
        <f>IF($B25=0,"",SUMIFS(INPUT_DATA!D:D,INPUT_DATA!$A:$A,$B25,INPUT_DATA!$C:$C,"S"))</f>
        <v>0</v>
      </c>
      <c r="D25" s="739">
        <f>IF($B25=0,"",SUMIFS(INPUT_DATA!E:E,INPUT_DATA!$A:$A,$B25,INPUT_DATA!$C:$C,"S"))</f>
        <v>751085014.37</v>
      </c>
      <c r="E25" s="740">
        <f>IF($B25=0,"",SUMIFS(INPUT_DATA!F:F,INPUT_DATA!$A:$A,$B25,INPUT_DATA!$C:$C,"S"))</f>
        <v>0</v>
      </c>
      <c r="F25" s="740">
        <f>IF($B25=0,"",SUMIFS(INPUT_DATA!G:G,INPUT_DATA!$A:$A,$B25,INPUT_DATA!$C:$C,"S"))</f>
        <v>0</v>
      </c>
      <c r="G25" s="740">
        <f>IF($B25=0,"",SUMIFS(INPUT_DATA!H:H,INPUT_DATA!$A:$A,$B25,INPUT_DATA!$C:$C,"S"))</f>
        <v>0</v>
      </c>
      <c r="H25" s="740">
        <f>IF($B25=0,"",SUMIFS(INPUT_DATA!I:I,INPUT_DATA!$A:$A,$B25,INPUT_DATA!$C:$C,"S"))</f>
        <v>0</v>
      </c>
      <c r="I25" s="740">
        <f>IF($B25=0,"",SUMIFS(INPUT_DATA!J:J,INPUT_DATA!$A:$A,$B25,INPUT_DATA!$C:$C,"S"))</f>
        <v>0</v>
      </c>
      <c r="J25" s="740">
        <f>IF($B25=0,"",SUMIFS(INPUT_DATA!K:K,INPUT_DATA!$A:$A,$B25,INPUT_DATA!$C:$C,"S"))</f>
        <v>0</v>
      </c>
      <c r="K25" s="740">
        <f>IF($B25=0,"",SUMIFS(INPUT_DATA!L:L,INPUT_DATA!$A:$A,$B25,INPUT_DATA!$C:$C,"S"))</f>
        <v>0</v>
      </c>
      <c r="L25" s="740">
        <f>IF($B25=0,"",SUMIFS(INPUT_DATA!M:M,INPUT_DATA!$A:$A,$B25,INPUT_DATA!$C:$C,"S"))</f>
        <v>0</v>
      </c>
      <c r="M25" s="740">
        <f>IF($B25=0,"",SUMIFS(INPUT_DATA!N:N,INPUT_DATA!$A:$A,$B25,INPUT_DATA!$C:$C,"S"))</f>
        <v>0</v>
      </c>
      <c r="N25" s="740">
        <f>IF($B25=0,"",SUMIFS(INPUT_DATA!O:O,INPUT_DATA!$A:$A,$B25,INPUT_DATA!$C:$C,"S"))</f>
        <v>0</v>
      </c>
      <c r="O25" s="741">
        <f t="shared" si="38"/>
        <v>751085014.37</v>
      </c>
      <c r="P25" s="742">
        <f>IF($B25=0,"",SUMIFS(INPUT_DATA!P:P,INPUT_DATA!$A:$A,$B25,INPUT_DATA!$C:$C,"S"))</f>
        <v>751085014.37</v>
      </c>
      <c r="Q25" s="742">
        <f t="shared" si="39"/>
        <v>0</v>
      </c>
      <c r="R25" s="748">
        <f>IF($B25=0,"",SUMIFS(INPUT_DATA!Q:Q,INPUT_DATA!$A:$A,$B25,INPUT_DATA!$C:$C,"S"))</f>
        <v>0</v>
      </c>
      <c r="S25" s="748">
        <f>IF($B25=0,"",SUMIFS(INPUT_DATA!R:R,INPUT_DATA!$A:$A,$B25,INPUT_DATA!$C:$C,"S"))</f>
        <v>0</v>
      </c>
      <c r="T25" s="748">
        <f>IF($B25=0,"",SUMIFS(INPUT_DATA!S:S,INPUT_DATA!$A:$A,$B25,INPUT_DATA!$C:$C,"S"))</f>
        <v>0</v>
      </c>
      <c r="U25" s="313">
        <f>IF($B25=0,"",SUMIFS(INPUT_DATA!T:T,INPUT_DATA!$A:$A,$B25,INPUT_DATA!$C:$C,"S"))</f>
        <v>0</v>
      </c>
      <c r="V25" s="313">
        <f>IF($B25=0,"",SUMIFS(INPUT_DATA!U:U,INPUT_DATA!$A:$A,$B25,INPUT_DATA!$C:$C,"S"))</f>
        <v>0</v>
      </c>
      <c r="W25" s="313">
        <f>IF($B25=0,"",SUMIFS(INPUT_DATA!V:V,INPUT_DATA!$A:$A,$B25,INPUT_DATA!$C:$C,"S"))</f>
        <v>0</v>
      </c>
      <c r="X25" s="313">
        <f>IF($B25=0,"",SUMIFS(INPUT_DATA!W:W,INPUT_DATA!$A:$A,$B25,INPUT_DATA!$C:$C,"S"))</f>
        <v>0</v>
      </c>
      <c r="Y25" s="313">
        <f>IF($B25=0,"",SUMIFS(INPUT_DATA!X:X,INPUT_DATA!$A:$A,$B25,INPUT_DATA!$C:$C,"S"))</f>
        <v>0</v>
      </c>
      <c r="Z25" s="313">
        <f>IF($B25=0,"",SUMIFS(INPUT_DATA!Y:Y,INPUT_DATA!$A:$A,$B25,INPUT_DATA!$C:$C,"S"))</f>
        <v>0</v>
      </c>
      <c r="AA25" s="313">
        <f>IF($B25=0,"",SUMIFS(INPUT_DATA!Z:Z,INPUT_DATA!$A:$A,$B25,INPUT_DATA!$C:$C,"S"))</f>
        <v>0</v>
      </c>
      <c r="AB25" s="313">
        <f>IF($B25=0,"",SUMIFS(INPUT_DATA!AA:AA,INPUT_DATA!$A:$A,$B25,INPUT_DATA!$C:$C,"S"))</f>
        <v>0</v>
      </c>
      <c r="AC25" s="313">
        <f>IF($B25=0,"",SUMIFS(INPUT_DATA!AB:AB,INPUT_DATA!$A:$A,$B25,INPUT_DATA!$C:$C,"S"))</f>
        <v>0</v>
      </c>
      <c r="AD25" s="313">
        <f>IF($B25=0,"",SUMIFS(INPUT_DATA!AC:AC,INPUT_DATA!$A:$A,$B25,INPUT_DATA!$C:$C,"S"))</f>
        <v>0</v>
      </c>
      <c r="AE25" s="313">
        <f>IF($B25=0,"",SUMIFS(INPUT_DATA!AD:AD,INPUT_DATA!$A:$A,$B25,INPUT_DATA!$C:$C,"S"))</f>
        <v>0</v>
      </c>
      <c r="AF25" s="313">
        <f>IF($B25=0,"",SUMIFS(INPUT_DATA!AE:AE,INPUT_DATA!$A:$A,$B25,INPUT_DATA!$C:$C,"S"))</f>
        <v>0</v>
      </c>
      <c r="AG25" s="313">
        <f>IF($B25=0,"",SUMIFS(INPUT_DATA!AF:AF,INPUT_DATA!$A:$A,$B25,INPUT_DATA!$C:$C,"S"))</f>
        <v>0</v>
      </c>
      <c r="AH25" s="313">
        <f>IF($B25=0,"",SUMIFS(INPUT_DATA!AG:AG,INPUT_DATA!$A:$A,$B25,INPUT_DATA!$C:$C,"S"))</f>
        <v>0</v>
      </c>
      <c r="AI25" s="313">
        <f>IF($B25=0,"",SUMIFS(INPUT_DATA!AH:AH,INPUT_DATA!$A:$A,$B25,INPUT_DATA!$C:$C,"S"))</f>
        <v>0</v>
      </c>
      <c r="AJ25" s="313">
        <f>IF($B25=0,"",SUMIFS(INPUT_DATA!AI:AI,INPUT_DATA!$A:$A,$B25,INPUT_DATA!$C:$C,"S"))</f>
        <v>0</v>
      </c>
      <c r="AK25" s="313">
        <f>IF($B25=0,"",SUMIFS(INPUT_DATA!AJ:AJ,INPUT_DATA!$A:$A,$B25,INPUT_DATA!$C:$C,"S"))</f>
        <v>0</v>
      </c>
      <c r="AL25" s="313">
        <f>IF($B25=0,"",SUMIFS(INPUT_DATA!AK:AK,INPUT_DATA!$A:$A,$B25,INPUT_DATA!$C:$C,"S"))</f>
        <v>0</v>
      </c>
      <c r="AM25" s="313">
        <f>IF($B25=0,"",SUMIFS(INPUT_DATA!AL:AL,INPUT_DATA!$A:$A,$B25,INPUT_DATA!$C:$C,"S"))</f>
        <v>0</v>
      </c>
      <c r="AN25" s="313">
        <f>IF($B25=0,"",SUMIFS(INPUT_DATA!AM:AM,INPUT_DATA!$A:$A,$B25,INPUT_DATA!$C:$C,"S"))</f>
        <v>0</v>
      </c>
      <c r="AO25" s="313">
        <f>IF($B25=0,"",SUMIFS(INPUT_DATA!AN:AN,INPUT_DATA!$A:$A,$B25,INPUT_DATA!$C:$C,"S"))</f>
        <v>0</v>
      </c>
      <c r="AP25" s="313">
        <f>IF($B25=0,"",SUMIFS(INPUT_DATA!AO:AO,INPUT_DATA!$A:$A,$B25,INPUT_DATA!$C:$C,"S"))</f>
        <v>0</v>
      </c>
      <c r="AQ25" s="313">
        <f>IF($B25=0,"",SUMIFS(INPUT_DATA!AP:AP,INPUT_DATA!$A:$A,$B25,INPUT_DATA!$C:$C,"S"))</f>
        <v>0</v>
      </c>
      <c r="AR25" s="313">
        <f>IF($B25=0,"",SUMIFS(INPUT_DATA!AQ:AQ,INPUT_DATA!$A:$A,$B25,INPUT_DATA!$C:$C,"S"))</f>
        <v>0</v>
      </c>
      <c r="AS25" s="749">
        <f t="shared" si="29"/>
        <v>0</v>
      </c>
      <c r="AT25" s="750">
        <f t="shared" si="30"/>
        <v>0</v>
      </c>
      <c r="AU25" s="751">
        <f t="shared" si="31"/>
        <v>0</v>
      </c>
      <c r="AV25" s="749">
        <f>IF($B25=0,"",SUMIFS(INPUT_DATA!AR:AR,INPUT_DATA!$A:$A,$B25,INPUT_DATA!$C:$C,"S"))</f>
        <v>0</v>
      </c>
      <c r="AW25" s="750">
        <f>IF($B25=0,"",SUMIFS(INPUT_DATA!AS:AS,INPUT_DATA!$A:$A,$B25,INPUT_DATA!$C:$C,"S"))</f>
        <v>0</v>
      </c>
      <c r="AX25" s="751">
        <f>IF($B25=0,"",SUMIFS(INPUT_DATA!AT:AT,INPUT_DATA!$A:$A,$B25,INPUT_DATA!$C:$C,"S"))</f>
        <v>0</v>
      </c>
      <c r="AY25" s="749">
        <f t="shared" si="15"/>
        <v>0</v>
      </c>
      <c r="AZ25" s="750">
        <f t="shared" si="16"/>
        <v>0</v>
      </c>
      <c r="BA25" s="751">
        <f t="shared" si="17"/>
        <v>0</v>
      </c>
      <c r="BB25" s="150"/>
      <c r="BC25" s="738">
        <f>IF($B25=0,"",SUMIFS(INPUT_DATA!D:D,INPUT_DATA!$A:$A,$B25,INPUT_DATA!$C:$C,"D"))</f>
        <v>0</v>
      </c>
      <c r="BD25" s="312">
        <f>IF($B25=0,"",SUMIFS(INPUT_DATA!F:F,INPUT_DATA!$A:$A,$B25,INPUT_DATA!$C:$C,"D"))</f>
        <v>0</v>
      </c>
      <c r="BE25" s="312">
        <f>IF($B25=0,"",SUMIFS(INPUT_DATA!G:G,INPUT_DATA!$A:$A,$B25,INPUT_DATA!$C:$C,"D"))</f>
        <v>0</v>
      </c>
      <c r="BF25" s="312">
        <f>IF($B25=0,"",SUMIFS(INPUT_DATA!H:H,INPUT_DATA!$A:$A,$B25,INPUT_DATA!$C:$C,"D"))</f>
        <v>0</v>
      </c>
      <c r="BG25" s="312">
        <f>IF($B25=0,"",SUMIFS(INPUT_DATA!I:I,INPUT_DATA!$A:$A,$B25,INPUT_DATA!$C:$C,"D"))</f>
        <v>0</v>
      </c>
      <c r="BH25" s="312">
        <f>IF($B25=0,"",SUMIFS(INPUT_DATA!J:J,INPUT_DATA!$A:$A,$B25,INPUT_DATA!$C:$C,"D"))</f>
        <v>0</v>
      </c>
      <c r="BI25" s="312">
        <f>IF($B25=0,"",SUMIFS(INPUT_DATA!K:K,INPUT_DATA!$A:$A,$B25,INPUT_DATA!$C:$C,"D"))</f>
        <v>0</v>
      </c>
      <c r="BJ25" s="312">
        <f>IF($B25=0,"",SUMIFS(INPUT_DATA!L:L,INPUT_DATA!$A:$A,$B25,INPUT_DATA!$C:$C,"D"))</f>
        <v>0</v>
      </c>
      <c r="BK25" s="312">
        <f>IF($B25=0,"",SUMIFS(INPUT_DATA!M:M,INPUT_DATA!$A:$A,$B25,INPUT_DATA!$C:$C,"D"))</f>
        <v>0</v>
      </c>
      <c r="BL25" s="312">
        <f>IF($B25=0,"",SUMIFS(INPUT_DATA!N:N,INPUT_DATA!$A:$A,$B25,INPUT_DATA!$C:$C,"D"))</f>
        <v>0</v>
      </c>
      <c r="BM25" s="312">
        <f>IF($B25=0,"",SUMIFS(INPUT_DATA!O:O,INPUT_DATA!$A:$A,$B25,INPUT_DATA!$C:$C,"D"))</f>
        <v>0</v>
      </c>
      <c r="BN25" s="754">
        <f t="shared" si="18"/>
        <v>0</v>
      </c>
      <c r="BO25" s="754">
        <f>IF($B25=0,"",SUMIFS(INPUT_DATA!O:O,INPUT_DATA!$A:$A,$B25,INPUT_DATA!$C:$C,"D"))</f>
        <v>0</v>
      </c>
      <c r="BP25" s="754">
        <f t="shared" si="19"/>
        <v>0</v>
      </c>
      <c r="BQ25" s="738">
        <f>IF($B25=0,"",SUMIFS(INPUT_DATA!Q:Q,INPUT_DATA!$A:$A,$B25,INPUT_DATA!$C:$C,"D"))</f>
        <v>0</v>
      </c>
      <c r="BR25" s="760">
        <f>IF($B25=0,"",SUMIFS(INPUT_DATA!R:R,INPUT_DATA!$A:$A,$B25,INPUT_DATA!$C:$C,"D"))</f>
        <v>0</v>
      </c>
      <c r="BS25" s="760">
        <f>IF($B25=0,"",SUMIFS(INPUT_DATA!S:S,INPUT_DATA!$A:$A,$B25,INPUT_DATA!$C:$C,"D"))</f>
        <v>0</v>
      </c>
      <c r="BT25" s="312">
        <f>IF($B25=0,"",SUMIFS(INPUT_DATA!T:T,INPUT_DATA!$A:$A,$B25,INPUT_DATA!$C:$C,"D"))</f>
        <v>0</v>
      </c>
      <c r="BU25" s="312">
        <f>IF($B25=0,"",SUMIFS(INPUT_DATA!U:U,INPUT_DATA!$A:$A,$B25,INPUT_DATA!$C:$C,"D"))</f>
        <v>0</v>
      </c>
      <c r="BV25" s="312">
        <f>IF($B25=0,"",SUMIFS(INPUT_DATA!V:V,INPUT_DATA!$A:$A,$B25,INPUT_DATA!$C:$C,"D"))</f>
        <v>0</v>
      </c>
      <c r="BW25" s="312">
        <f>IF($B25=0,"",SUMIFS(INPUT_DATA!W:W,INPUT_DATA!$A:$A,$B25,INPUT_DATA!$C:$C,"D"))</f>
        <v>0</v>
      </c>
      <c r="BX25" s="312">
        <f>IF($B25=0,"",SUMIFS(INPUT_DATA!X:X,INPUT_DATA!$A:$A,$B25,INPUT_DATA!$C:$C,"D"))</f>
        <v>0</v>
      </c>
      <c r="BY25" s="312">
        <f>IF($B25=0,"",SUMIFS(INPUT_DATA!Y:Y,INPUT_DATA!$A:$A,$B25,INPUT_DATA!$C:$C,"D"))</f>
        <v>0</v>
      </c>
      <c r="BZ25" s="353">
        <f>IF($B25=0,"",SUMIFS(INPUT_DATA!Z:Z,INPUT_DATA!$A:$A,$B25,INPUT_DATA!$C:$C,"D"))</f>
        <v>0</v>
      </c>
      <c r="CA25" s="353">
        <f>IF($B25=0,"",SUMIFS(INPUT_DATA!AA:AA,INPUT_DATA!$A:$A,$B25,INPUT_DATA!$C:$C,"D"))</f>
        <v>0</v>
      </c>
      <c r="CB25" s="353">
        <f>IF($B25=0,"",SUMIFS(INPUT_DATA!AB:AB,INPUT_DATA!$A:$A,$B25,INPUT_DATA!$C:$C,"D"))</f>
        <v>0</v>
      </c>
      <c r="CC25" s="312">
        <f>IF($B25=0,"",SUMIFS(INPUT_DATA!AC:AC,INPUT_DATA!$A:$A,$B25,INPUT_DATA!$C:$C,"D"))</f>
        <v>0</v>
      </c>
      <c r="CD25" s="312">
        <f>IF($B25=0,"",SUMIFS(INPUT_DATA!AD:AD,INPUT_DATA!$A:$A,$B25,INPUT_DATA!$C:$C,"D"))</f>
        <v>0</v>
      </c>
      <c r="CE25" s="312">
        <f>IF($B25=0,"",SUMIFS(INPUT_DATA!AE:AE,INPUT_DATA!$A:$A,$B25,INPUT_DATA!$C:$C,"D"))</f>
        <v>0</v>
      </c>
      <c r="CF25" s="353">
        <f>IF($B25=0,"",SUMIFS(INPUT_DATA!AF:AF,INPUT_DATA!$A:$A,$B25,INPUT_DATA!$C:$C,"D"))</f>
        <v>0</v>
      </c>
      <c r="CG25" s="353">
        <f>IF($B25=0,"",SUMIFS(INPUT_DATA!AG:AG,INPUT_DATA!$A:$A,$B25,INPUT_DATA!$C:$C,"D"))</f>
        <v>0</v>
      </c>
      <c r="CH25" s="353">
        <f>IF($B25=0,"",SUMIFS(INPUT_DATA!AH:AH,INPUT_DATA!$A:$A,$B25,INPUT_DATA!$C:$C,"D"))</f>
        <v>0</v>
      </c>
      <c r="CI25" s="153">
        <f>IF($B25=0,"",SUMIFS(INPUT_DATA!AI:AI,INPUT_DATA!$A:$A,$B25,INPUT_DATA!$C:$C,"D"))</f>
        <v>0</v>
      </c>
      <c r="CJ25" s="153">
        <f>IF($B25=0,"",SUMIFS(INPUT_DATA!AJ:AJ,INPUT_DATA!$A:$A,$B25,INPUT_DATA!$C:$C,"D"))</f>
        <v>0</v>
      </c>
      <c r="CK25" s="153">
        <f>IF($B25=0,"",SUMIFS(INPUT_DATA!AK:AK,INPUT_DATA!$A:$A,$B25,INPUT_DATA!$C:$C,"D"))</f>
        <v>0</v>
      </c>
      <c r="CL25" s="153">
        <f>IF($B25=0,"",SUMIFS(INPUT_DATA!AL:AL,INPUT_DATA!$A:$A,$B25,INPUT_DATA!$C:$C,"D"))</f>
        <v>0</v>
      </c>
      <c r="CM25" s="153">
        <f>IF($B25=0,"",SUMIFS(INPUT_DATA!AM:AM,INPUT_DATA!$A:$A,$B25,INPUT_DATA!$C:$C,"D"))</f>
        <v>0</v>
      </c>
      <c r="CN25" s="153">
        <f>IF($B25=0,"",SUMIFS(INPUT_DATA!AN:AN,INPUT_DATA!$A:$A,$B25,INPUT_DATA!$C:$C,"D"))</f>
        <v>0</v>
      </c>
      <c r="CO25" s="153">
        <f>IF($B25=0,"",SUMIFS(INPUT_DATA!AO:AO,INPUT_DATA!$A:$A,$B25,INPUT_DATA!$C:$C,"D"))</f>
        <v>0</v>
      </c>
      <c r="CP25" s="153">
        <f>IF($B25=0,"",SUMIFS(INPUT_DATA!AP:AP,INPUT_DATA!$A:$A,$B25,INPUT_DATA!$C:$C,"D"))</f>
        <v>0</v>
      </c>
      <c r="CQ25" s="153">
        <f>IF($B25=0,"",SUMIFS(INPUT_DATA!AQ:AQ,INPUT_DATA!$A:$A,$B25,INPUT_DATA!$C:$C,"D"))</f>
        <v>0</v>
      </c>
      <c r="CR25" s="750">
        <f t="shared" si="32"/>
        <v>0</v>
      </c>
      <c r="CS25" s="750">
        <f t="shared" si="33"/>
        <v>0</v>
      </c>
      <c r="CT25" s="750">
        <f t="shared" si="34"/>
        <v>0</v>
      </c>
      <c r="CU25" s="739">
        <f>IF($B25=0,"",SUMIFS(INPUT_DATA!AR:AR,INPUT_DATA!$A:$A,$B25,INPUT_DATA!$C:$C,"D"))</f>
        <v>0</v>
      </c>
      <c r="CV25" s="739">
        <f>IF($B25=0,"",SUMIFS(INPUT_DATA!AS:AS,INPUT_DATA!$A:$A,$B25,INPUT_DATA!$C:$C,"D"))</f>
        <v>0</v>
      </c>
      <c r="CW25" s="739">
        <f>IF($B25=0,"",SUMIFS(INPUT_DATA!AT:AT,INPUT_DATA!$A:$A,$B25,INPUT_DATA!$C:$C,"D"))</f>
        <v>0</v>
      </c>
      <c r="CX25" s="739">
        <f t="shared" si="35"/>
        <v>0</v>
      </c>
      <c r="CY25" s="750">
        <f t="shared" si="36"/>
        <v>0</v>
      </c>
      <c r="CZ25" s="761">
        <f t="shared" si="37"/>
        <v>0</v>
      </c>
      <c r="DA25" s="150"/>
    </row>
    <row r="26" spans="2:105" ht="13" x14ac:dyDescent="0.25">
      <c r="B26" s="733">
        <f>INPUT_DATA!BQ13</f>
        <v>0</v>
      </c>
      <c r="C26" s="738" t="str">
        <f>IF($B26=0,"",SUMIFS(INPUT_DATA!D:D,INPUT_DATA!$A:$A,$B26,INPUT_DATA!$C:$C,"S"))</f>
        <v/>
      </c>
      <c r="D26" s="739" t="str">
        <f>IF($B26=0,"",SUMIFS(INPUT_DATA!E:E,INPUT_DATA!$A:$A,$B26,INPUT_DATA!$C:$C,"S"))</f>
        <v/>
      </c>
      <c r="E26" s="740" t="str">
        <f>IF($B26=0,"",SUMIFS(INPUT_DATA!F:F,INPUT_DATA!$A:$A,$B26,INPUT_DATA!$C:$C,"S"))</f>
        <v/>
      </c>
      <c r="F26" s="740" t="str">
        <f>IF($B26=0,"",SUMIFS(INPUT_DATA!G:G,INPUT_DATA!$A:$A,$B26,INPUT_DATA!$C:$C,"S"))</f>
        <v/>
      </c>
      <c r="G26" s="740" t="str">
        <f>IF($B26=0,"",SUMIFS(INPUT_DATA!H:H,INPUT_DATA!$A:$A,$B26,INPUT_DATA!$C:$C,"S"))</f>
        <v/>
      </c>
      <c r="H26" s="740" t="str">
        <f>IF($B26=0,"",SUMIFS(INPUT_DATA!I:I,INPUT_DATA!$A:$A,$B26,INPUT_DATA!$C:$C,"S"))</f>
        <v/>
      </c>
      <c r="I26" s="740" t="str">
        <f>IF($B26=0,"",SUMIFS(INPUT_DATA!J:J,INPUT_DATA!$A:$A,$B26,INPUT_DATA!$C:$C,"S"))</f>
        <v/>
      </c>
      <c r="J26" s="740" t="str">
        <f>IF($B26=0,"",SUMIFS(INPUT_DATA!K:K,INPUT_DATA!$A:$A,$B26,INPUT_DATA!$C:$C,"S"))</f>
        <v/>
      </c>
      <c r="K26" s="740" t="str">
        <f>IF($B26=0,"",SUMIFS(INPUT_DATA!L:L,INPUT_DATA!$A:$A,$B26,INPUT_DATA!$C:$C,"S"))</f>
        <v/>
      </c>
      <c r="L26" s="740" t="str">
        <f>IF($B26=0,"",SUMIFS(INPUT_DATA!M:M,INPUT_DATA!$A:$A,$B26,INPUT_DATA!$C:$C,"S"))</f>
        <v/>
      </c>
      <c r="M26" s="740" t="str">
        <f>IF($B26=0,"",SUMIFS(INPUT_DATA!N:N,INPUT_DATA!$A:$A,$B26,INPUT_DATA!$C:$C,"S"))</f>
        <v/>
      </c>
      <c r="N26" s="740" t="str">
        <f>IF($B26=0,"",SUMIFS(INPUT_DATA!O:O,INPUT_DATA!$A:$A,$B26,INPUT_DATA!$C:$C,"S"))</f>
        <v/>
      </c>
      <c r="O26" s="741" t="str">
        <f t="shared" si="38"/>
        <v/>
      </c>
      <c r="P26" s="742" t="str">
        <f>IF($B26=0,"",SUMIFS(INPUT_DATA!P:P,INPUT_DATA!$A:$A,$B26,INPUT_DATA!$C:$C,"S"))</f>
        <v/>
      </c>
      <c r="Q26" s="742" t="str">
        <f t="shared" si="39"/>
        <v/>
      </c>
      <c r="R26" s="748" t="str">
        <f>IF($B26=0,"",SUMIFS(INPUT_DATA!Q:Q,INPUT_DATA!$A:$A,$B26,INPUT_DATA!$C:$C,"S"))</f>
        <v/>
      </c>
      <c r="S26" s="748" t="str">
        <f>IF($B26=0,"",SUMIFS(INPUT_DATA!R:R,INPUT_DATA!$A:$A,$B26,INPUT_DATA!$C:$C,"S"))</f>
        <v/>
      </c>
      <c r="T26" s="748" t="str">
        <f>IF($B26=0,"",SUMIFS(INPUT_DATA!S:S,INPUT_DATA!$A:$A,$B26,INPUT_DATA!$C:$C,"S"))</f>
        <v/>
      </c>
      <c r="U26" s="313" t="str">
        <f>IF($B26=0,"",SUMIFS(INPUT_DATA!T:T,INPUT_DATA!$A:$A,$B26,INPUT_DATA!$C:$C,"S"))</f>
        <v/>
      </c>
      <c r="V26" s="313" t="str">
        <f>IF($B26=0,"",SUMIFS(INPUT_DATA!U:U,INPUT_DATA!$A:$A,$B26,INPUT_DATA!$C:$C,"S"))</f>
        <v/>
      </c>
      <c r="W26" s="313" t="str">
        <f>IF($B26=0,"",SUMIFS(INPUT_DATA!V:V,INPUT_DATA!$A:$A,$B26,INPUT_DATA!$C:$C,"S"))</f>
        <v/>
      </c>
      <c r="X26" s="313" t="str">
        <f>IF($B26=0,"",SUMIFS(INPUT_DATA!W:W,INPUT_DATA!$A:$A,$B26,INPUT_DATA!$C:$C,"S"))</f>
        <v/>
      </c>
      <c r="Y26" s="313" t="str">
        <f>IF($B26=0,"",SUMIFS(INPUT_DATA!X:X,INPUT_DATA!$A:$A,$B26,INPUT_DATA!$C:$C,"S"))</f>
        <v/>
      </c>
      <c r="Z26" s="313" t="str">
        <f>IF($B26=0,"",SUMIFS(INPUT_DATA!Y:Y,INPUT_DATA!$A:$A,$B26,INPUT_DATA!$C:$C,"S"))</f>
        <v/>
      </c>
      <c r="AA26" s="313" t="str">
        <f>IF($B26=0,"",SUMIFS(INPUT_DATA!Z:Z,INPUT_DATA!$A:$A,$B26,INPUT_DATA!$C:$C,"S"))</f>
        <v/>
      </c>
      <c r="AB26" s="313" t="str">
        <f>IF($B26=0,"",SUMIFS(INPUT_DATA!AA:AA,INPUT_DATA!$A:$A,$B26,INPUT_DATA!$C:$C,"S"))</f>
        <v/>
      </c>
      <c r="AC26" s="313" t="str">
        <f>IF($B26=0,"",SUMIFS(INPUT_DATA!AB:AB,INPUT_DATA!$A:$A,$B26,INPUT_DATA!$C:$C,"S"))</f>
        <v/>
      </c>
      <c r="AD26" s="313" t="str">
        <f>IF($B26=0,"",SUMIFS(INPUT_DATA!AC:AC,INPUT_DATA!$A:$A,$B26,INPUT_DATA!$C:$C,"S"))</f>
        <v/>
      </c>
      <c r="AE26" s="313" t="str">
        <f>IF($B26=0,"",SUMIFS(INPUT_DATA!AD:AD,INPUT_DATA!$A:$A,$B26,INPUT_DATA!$C:$C,"S"))</f>
        <v/>
      </c>
      <c r="AF26" s="313" t="str">
        <f>IF($B26=0,"",SUMIFS(INPUT_DATA!AE:AE,INPUT_DATA!$A:$A,$B26,INPUT_DATA!$C:$C,"S"))</f>
        <v/>
      </c>
      <c r="AG26" s="313" t="str">
        <f>IF($B26=0,"",SUMIFS(INPUT_DATA!AF:AF,INPUT_DATA!$A:$A,$B26,INPUT_DATA!$C:$C,"S"))</f>
        <v/>
      </c>
      <c r="AH26" s="313" t="str">
        <f>IF($B26=0,"",SUMIFS(INPUT_DATA!AG:AG,INPUT_DATA!$A:$A,$B26,INPUT_DATA!$C:$C,"S"))</f>
        <v/>
      </c>
      <c r="AI26" s="313" t="str">
        <f>IF($B26=0,"",SUMIFS(INPUT_DATA!AH:AH,INPUT_DATA!$A:$A,$B26,INPUT_DATA!$C:$C,"S"))</f>
        <v/>
      </c>
      <c r="AJ26" s="313" t="str">
        <f>IF($B26=0,"",SUMIFS(INPUT_DATA!AI:AI,INPUT_DATA!$A:$A,$B26,INPUT_DATA!$C:$C,"S"))</f>
        <v/>
      </c>
      <c r="AK26" s="313" t="str">
        <f>IF($B26=0,"",SUMIFS(INPUT_DATA!AJ:AJ,INPUT_DATA!$A:$A,$B26,INPUT_DATA!$C:$C,"S"))</f>
        <v/>
      </c>
      <c r="AL26" s="313" t="str">
        <f>IF($B26=0,"",SUMIFS(INPUT_DATA!AK:AK,INPUT_DATA!$A:$A,$B26,INPUT_DATA!$C:$C,"S"))</f>
        <v/>
      </c>
      <c r="AM26" s="313" t="str">
        <f>IF($B26=0,"",SUMIFS(INPUT_DATA!AL:AL,INPUT_DATA!$A:$A,$B26,INPUT_DATA!$C:$C,"S"))</f>
        <v/>
      </c>
      <c r="AN26" s="313" t="str">
        <f>IF($B26=0,"",SUMIFS(INPUT_DATA!AM:AM,INPUT_DATA!$A:$A,$B26,INPUT_DATA!$C:$C,"S"))</f>
        <v/>
      </c>
      <c r="AO26" s="313" t="str">
        <f>IF($B26=0,"",SUMIFS(INPUT_DATA!AN:AN,INPUT_DATA!$A:$A,$B26,INPUT_DATA!$C:$C,"S"))</f>
        <v/>
      </c>
      <c r="AP26" s="313" t="str">
        <f>IF($B26=0,"",SUMIFS(INPUT_DATA!AO:AO,INPUT_DATA!$A:$A,$B26,INPUT_DATA!$C:$C,"S"))</f>
        <v/>
      </c>
      <c r="AQ26" s="313" t="str">
        <f>IF($B26=0,"",SUMIFS(INPUT_DATA!AP:AP,INPUT_DATA!$A:$A,$B26,INPUT_DATA!$C:$C,"S"))</f>
        <v/>
      </c>
      <c r="AR26" s="313" t="str">
        <f>IF($B26=0,"",SUMIFS(INPUT_DATA!AQ:AQ,INPUT_DATA!$A:$A,$B26,INPUT_DATA!$C:$C,"S"))</f>
        <v/>
      </c>
      <c r="AS26" s="749" t="str">
        <f t="shared" si="29"/>
        <v/>
      </c>
      <c r="AT26" s="750" t="str">
        <f t="shared" si="30"/>
        <v/>
      </c>
      <c r="AU26" s="751" t="str">
        <f t="shared" si="31"/>
        <v/>
      </c>
      <c r="AV26" s="749" t="str">
        <f>IF($B26=0,"",SUMIFS(INPUT_DATA!AR:AR,INPUT_DATA!$A:$A,$B26,INPUT_DATA!$C:$C,"S"))</f>
        <v/>
      </c>
      <c r="AW26" s="750" t="str">
        <f>IF($B26=0,"",SUMIFS(INPUT_DATA!AS:AS,INPUT_DATA!$A:$A,$B26,INPUT_DATA!$C:$C,"S"))</f>
        <v/>
      </c>
      <c r="AX26" s="751" t="str">
        <f>IF($B26=0,"",SUMIFS(INPUT_DATA!AT:AT,INPUT_DATA!$A:$A,$B26,INPUT_DATA!$C:$C,"S"))</f>
        <v/>
      </c>
      <c r="AY26" s="749" t="str">
        <f t="shared" si="15"/>
        <v/>
      </c>
      <c r="AZ26" s="750" t="str">
        <f t="shared" si="16"/>
        <v/>
      </c>
      <c r="BA26" s="751" t="str">
        <f t="shared" si="17"/>
        <v/>
      </c>
      <c r="BB26" s="150"/>
      <c r="BC26" s="738" t="str">
        <f>IF($B26=0,"",SUMIFS(INPUT_DATA!D:D,INPUT_DATA!$A:$A,$B26,INPUT_DATA!$C:$C,"D"))</f>
        <v/>
      </c>
      <c r="BD26" s="312" t="str">
        <f>IF($B26=0,"",SUMIFS(INPUT_DATA!F:F,INPUT_DATA!$A:$A,$B26,INPUT_DATA!$C:$C,"D"))</f>
        <v/>
      </c>
      <c r="BE26" s="312" t="str">
        <f>IF($B26=0,"",SUMIFS(INPUT_DATA!G:G,INPUT_DATA!$A:$A,$B26,INPUT_DATA!$C:$C,"D"))</f>
        <v/>
      </c>
      <c r="BF26" s="312" t="str">
        <f>IF($B26=0,"",SUMIFS(INPUT_DATA!H:H,INPUT_DATA!$A:$A,$B26,INPUT_DATA!$C:$C,"D"))</f>
        <v/>
      </c>
      <c r="BG26" s="312" t="str">
        <f>IF($B26=0,"",SUMIFS(INPUT_DATA!I:I,INPUT_DATA!$A:$A,$B26,INPUT_DATA!$C:$C,"D"))</f>
        <v/>
      </c>
      <c r="BH26" s="312" t="str">
        <f>IF($B26=0,"",SUMIFS(INPUT_DATA!J:J,INPUT_DATA!$A:$A,$B26,INPUT_DATA!$C:$C,"D"))</f>
        <v/>
      </c>
      <c r="BI26" s="312" t="str">
        <f>IF($B26=0,"",SUMIFS(INPUT_DATA!K:K,INPUT_DATA!$A:$A,$B26,INPUT_DATA!$C:$C,"D"))</f>
        <v/>
      </c>
      <c r="BJ26" s="312" t="str">
        <f>IF($B26=0,"",SUMIFS(INPUT_DATA!L:L,INPUT_DATA!$A:$A,$B26,INPUT_DATA!$C:$C,"D"))</f>
        <v/>
      </c>
      <c r="BK26" s="312" t="str">
        <f>IF($B26=0,"",SUMIFS(INPUT_DATA!M:M,INPUT_DATA!$A:$A,$B26,INPUT_DATA!$C:$C,"D"))</f>
        <v/>
      </c>
      <c r="BL26" s="312" t="str">
        <f>IF($B26=0,"",SUMIFS(INPUT_DATA!N:N,INPUT_DATA!$A:$A,$B26,INPUT_DATA!$C:$C,"D"))</f>
        <v/>
      </c>
      <c r="BM26" s="312" t="str">
        <f>IF($B26=0,"",SUMIFS(INPUT_DATA!O:O,INPUT_DATA!$A:$A,$B26,INPUT_DATA!$C:$C,"D"))</f>
        <v/>
      </c>
      <c r="BN26" s="754" t="str">
        <f t="shared" si="18"/>
        <v/>
      </c>
      <c r="BO26" s="754" t="str">
        <f>IF($B26=0,"",SUMIFS(INPUT_DATA!O:O,INPUT_DATA!$A:$A,$B26,INPUT_DATA!$C:$C,"D"))</f>
        <v/>
      </c>
      <c r="BP26" s="754" t="str">
        <f t="shared" si="19"/>
        <v/>
      </c>
      <c r="BQ26" s="738" t="str">
        <f>IF($B26=0,"",SUMIFS(INPUT_DATA!Q:Q,INPUT_DATA!$A:$A,$B26,INPUT_DATA!$C:$C,"D"))</f>
        <v/>
      </c>
      <c r="BR26" s="760" t="str">
        <f>IF($B26=0,"",SUMIFS(INPUT_DATA!R:R,INPUT_DATA!$A:$A,$B26,INPUT_DATA!$C:$C,"D"))</f>
        <v/>
      </c>
      <c r="BS26" s="760" t="str">
        <f>IF($B26=0,"",SUMIFS(INPUT_DATA!S:S,INPUT_DATA!$A:$A,$B26,INPUT_DATA!$C:$C,"D"))</f>
        <v/>
      </c>
      <c r="BT26" s="312" t="str">
        <f>IF($B26=0,"",SUMIFS(INPUT_DATA!T:T,INPUT_DATA!$A:$A,$B26,INPUT_DATA!$C:$C,"D"))</f>
        <v/>
      </c>
      <c r="BU26" s="312" t="str">
        <f>IF($B26=0,"",SUMIFS(INPUT_DATA!U:U,INPUT_DATA!$A:$A,$B26,INPUT_DATA!$C:$C,"D"))</f>
        <v/>
      </c>
      <c r="BV26" s="312" t="str">
        <f>IF($B26=0,"",SUMIFS(INPUT_DATA!V:V,INPUT_DATA!$A:$A,$B26,INPUT_DATA!$C:$C,"D"))</f>
        <v/>
      </c>
      <c r="BW26" s="312" t="str">
        <f>IF($B26=0,"",SUMIFS(INPUT_DATA!W:W,INPUT_DATA!$A:$A,$B26,INPUT_DATA!$C:$C,"D"))</f>
        <v/>
      </c>
      <c r="BX26" s="312" t="str">
        <f>IF($B26=0,"",SUMIFS(INPUT_DATA!X:X,INPUT_DATA!$A:$A,$B26,INPUT_DATA!$C:$C,"D"))</f>
        <v/>
      </c>
      <c r="BY26" s="312" t="str">
        <f>IF($B26=0,"",SUMIFS(INPUT_DATA!Y:Y,INPUT_DATA!$A:$A,$B26,INPUT_DATA!$C:$C,"D"))</f>
        <v/>
      </c>
      <c r="BZ26" s="353" t="str">
        <f>IF($B26=0,"",SUMIFS(INPUT_DATA!Z:Z,INPUT_DATA!$A:$A,$B26,INPUT_DATA!$C:$C,"D"))</f>
        <v/>
      </c>
      <c r="CA26" s="353" t="str">
        <f>IF($B26=0,"",SUMIFS(INPUT_DATA!AA:AA,INPUT_DATA!$A:$A,$B26,INPUT_DATA!$C:$C,"D"))</f>
        <v/>
      </c>
      <c r="CB26" s="353" t="str">
        <f>IF($B26=0,"",SUMIFS(INPUT_DATA!AB:AB,INPUT_DATA!$A:$A,$B26,INPUT_DATA!$C:$C,"D"))</f>
        <v/>
      </c>
      <c r="CC26" s="312" t="str">
        <f>IF($B26=0,"",SUMIFS(INPUT_DATA!AC:AC,INPUT_DATA!$A:$A,$B26,INPUT_DATA!$C:$C,"D"))</f>
        <v/>
      </c>
      <c r="CD26" s="312" t="str">
        <f>IF($B26=0,"",SUMIFS(INPUT_DATA!AD:AD,INPUT_DATA!$A:$A,$B26,INPUT_DATA!$C:$C,"D"))</f>
        <v/>
      </c>
      <c r="CE26" s="312" t="str">
        <f>IF($B26=0,"",SUMIFS(INPUT_DATA!AE:AE,INPUT_DATA!$A:$A,$B26,INPUT_DATA!$C:$C,"D"))</f>
        <v/>
      </c>
      <c r="CF26" s="353" t="str">
        <f>IF($B26=0,"",SUMIFS(INPUT_DATA!AF:AF,INPUT_DATA!$A:$A,$B26,INPUT_DATA!$C:$C,"D"))</f>
        <v/>
      </c>
      <c r="CG26" s="353" t="str">
        <f>IF($B26=0,"",SUMIFS(INPUT_DATA!AG:AG,INPUT_DATA!$A:$A,$B26,INPUT_DATA!$C:$C,"D"))</f>
        <v/>
      </c>
      <c r="CH26" s="353" t="str">
        <f>IF($B26=0,"",SUMIFS(INPUT_DATA!AH:AH,INPUT_DATA!$A:$A,$B26,INPUT_DATA!$C:$C,"D"))</f>
        <v/>
      </c>
      <c r="CI26" s="153" t="str">
        <f>IF($B26=0,"",SUMIFS(INPUT_DATA!AI:AI,INPUT_DATA!$A:$A,$B26,INPUT_DATA!$C:$C,"D"))</f>
        <v/>
      </c>
      <c r="CJ26" s="153" t="str">
        <f>IF($B26=0,"",SUMIFS(INPUT_DATA!AJ:AJ,INPUT_DATA!$A:$A,$B26,INPUT_DATA!$C:$C,"D"))</f>
        <v/>
      </c>
      <c r="CK26" s="153" t="str">
        <f>IF($B26=0,"",SUMIFS(INPUT_DATA!AK:AK,INPUT_DATA!$A:$A,$B26,INPUT_DATA!$C:$C,"D"))</f>
        <v/>
      </c>
      <c r="CL26" s="153" t="str">
        <f>IF($B26=0,"",SUMIFS(INPUT_DATA!AL:AL,INPUT_DATA!$A:$A,$B26,INPUT_DATA!$C:$C,"D"))</f>
        <v/>
      </c>
      <c r="CM26" s="153" t="str">
        <f>IF($B26=0,"",SUMIFS(INPUT_DATA!AM:AM,INPUT_DATA!$A:$A,$B26,INPUT_DATA!$C:$C,"D"))</f>
        <v/>
      </c>
      <c r="CN26" s="153" t="str">
        <f>IF($B26=0,"",SUMIFS(INPUT_DATA!AN:AN,INPUT_DATA!$A:$A,$B26,INPUT_DATA!$C:$C,"D"))</f>
        <v/>
      </c>
      <c r="CO26" s="153" t="str">
        <f>IF($B26=0,"",SUMIFS(INPUT_DATA!AO:AO,INPUT_DATA!$A:$A,$B26,INPUT_DATA!$C:$C,"D"))</f>
        <v/>
      </c>
      <c r="CP26" s="153" t="str">
        <f>IF($B26=0,"",SUMIFS(INPUT_DATA!AP:AP,INPUT_DATA!$A:$A,$B26,INPUT_DATA!$C:$C,"D"))</f>
        <v/>
      </c>
      <c r="CQ26" s="153" t="str">
        <f>IF($B26=0,"",SUMIFS(INPUT_DATA!AQ:AQ,INPUT_DATA!$A:$A,$B26,INPUT_DATA!$C:$C,"D"))</f>
        <v/>
      </c>
      <c r="CR26" s="750" t="str">
        <f t="shared" si="32"/>
        <v/>
      </c>
      <c r="CS26" s="750" t="str">
        <f t="shared" si="33"/>
        <v/>
      </c>
      <c r="CT26" s="750" t="str">
        <f t="shared" si="34"/>
        <v/>
      </c>
      <c r="CU26" s="739" t="str">
        <f>IF($B26=0,"",SUMIFS(INPUT_DATA!AR:AR,INPUT_DATA!$A:$A,$B26,INPUT_DATA!$C:$C,"D"))</f>
        <v/>
      </c>
      <c r="CV26" s="739" t="str">
        <f>IF($B26=0,"",SUMIFS(INPUT_DATA!AS:AS,INPUT_DATA!$A:$A,$B26,INPUT_DATA!$C:$C,"D"))</f>
        <v/>
      </c>
      <c r="CW26" s="739" t="str">
        <f>IF($B26=0,"",SUMIFS(INPUT_DATA!AT:AT,INPUT_DATA!$A:$A,$B26,INPUT_DATA!$C:$C,"D"))</f>
        <v/>
      </c>
      <c r="CX26" s="739" t="str">
        <f t="shared" si="35"/>
        <v/>
      </c>
      <c r="CY26" s="750" t="str">
        <f t="shared" si="36"/>
        <v/>
      </c>
      <c r="CZ26" s="761" t="str">
        <f t="shared" si="37"/>
        <v/>
      </c>
      <c r="DA26" s="150"/>
    </row>
    <row r="27" spans="2:105" ht="13" x14ac:dyDescent="0.25">
      <c r="B27" s="733">
        <f>INPUT_DATA!BQ14</f>
        <v>0</v>
      </c>
      <c r="C27" s="738" t="str">
        <f>IF($B27=0,"",SUMIFS(INPUT_DATA!D:D,INPUT_DATA!$A:$A,$B27,INPUT_DATA!$C:$C,"S"))</f>
        <v/>
      </c>
      <c r="D27" s="739" t="str">
        <f>IF($B27=0,"",SUMIFS(INPUT_DATA!E:E,INPUT_DATA!$A:$A,$B27,INPUT_DATA!$C:$C,"S"))</f>
        <v/>
      </c>
      <c r="E27" s="740" t="str">
        <f>IF($B27=0,"",SUMIFS(INPUT_DATA!F:F,INPUT_DATA!$A:$A,$B27,INPUT_DATA!$C:$C,"S"))</f>
        <v/>
      </c>
      <c r="F27" s="740" t="str">
        <f>IF($B27=0,"",SUMIFS(INPUT_DATA!G:G,INPUT_DATA!$A:$A,$B27,INPUT_DATA!$C:$C,"S"))</f>
        <v/>
      </c>
      <c r="G27" s="740" t="str">
        <f>IF($B27=0,"",SUMIFS(INPUT_DATA!H:H,INPUT_DATA!$A:$A,$B27,INPUT_DATA!$C:$C,"S"))</f>
        <v/>
      </c>
      <c r="H27" s="740" t="str">
        <f>IF($B27=0,"",SUMIFS(INPUT_DATA!I:I,INPUT_DATA!$A:$A,$B27,INPUT_DATA!$C:$C,"S"))</f>
        <v/>
      </c>
      <c r="I27" s="740" t="str">
        <f>IF($B27=0,"",SUMIFS(INPUT_DATA!J:J,INPUT_DATA!$A:$A,$B27,INPUT_DATA!$C:$C,"S"))</f>
        <v/>
      </c>
      <c r="J27" s="740" t="str">
        <f>IF($B27=0,"",SUMIFS(INPUT_DATA!K:K,INPUT_DATA!$A:$A,$B27,INPUT_DATA!$C:$C,"S"))</f>
        <v/>
      </c>
      <c r="K27" s="740" t="str">
        <f>IF($B27=0,"",SUMIFS(INPUT_DATA!L:L,INPUT_DATA!$A:$A,$B27,INPUT_DATA!$C:$C,"S"))</f>
        <v/>
      </c>
      <c r="L27" s="740" t="str">
        <f>IF($B27=0,"",SUMIFS(INPUT_DATA!M:M,INPUT_DATA!$A:$A,$B27,INPUT_DATA!$C:$C,"S"))</f>
        <v/>
      </c>
      <c r="M27" s="740" t="str">
        <f>IF($B27=0,"",SUMIFS(INPUT_DATA!N:N,INPUT_DATA!$A:$A,$B27,INPUT_DATA!$C:$C,"S"))</f>
        <v/>
      </c>
      <c r="N27" s="740" t="str">
        <f>IF($B27=0,"",SUMIFS(INPUT_DATA!O:O,INPUT_DATA!$A:$A,$B27,INPUT_DATA!$C:$C,"S"))</f>
        <v/>
      </c>
      <c r="O27" s="741" t="str">
        <f t="shared" si="38"/>
        <v/>
      </c>
      <c r="P27" s="742" t="str">
        <f>IF($B27=0,"",SUMIFS(INPUT_DATA!P:P,INPUT_DATA!$A:$A,$B27,INPUT_DATA!$C:$C,"S"))</f>
        <v/>
      </c>
      <c r="Q27" s="742" t="str">
        <f t="shared" si="39"/>
        <v/>
      </c>
      <c r="R27" s="748" t="str">
        <f>IF($B27=0,"",SUMIFS(INPUT_DATA!Q:Q,INPUT_DATA!$A:$A,$B27,INPUT_DATA!$C:$C,"S"))</f>
        <v/>
      </c>
      <c r="S27" s="748" t="str">
        <f>IF($B27=0,"",SUMIFS(INPUT_DATA!R:R,INPUT_DATA!$A:$A,$B27,INPUT_DATA!$C:$C,"S"))</f>
        <v/>
      </c>
      <c r="T27" s="748" t="str">
        <f>IF($B27=0,"",SUMIFS(INPUT_DATA!S:S,INPUT_DATA!$A:$A,$B27,INPUT_DATA!$C:$C,"S"))</f>
        <v/>
      </c>
      <c r="U27" s="313" t="str">
        <f>IF($B27=0,"",SUMIFS(INPUT_DATA!T:T,INPUT_DATA!$A:$A,$B27,INPUT_DATA!$C:$C,"S"))</f>
        <v/>
      </c>
      <c r="V27" s="313" t="str">
        <f>IF($B27=0,"",SUMIFS(INPUT_DATA!U:U,INPUT_DATA!$A:$A,$B27,INPUT_DATA!$C:$C,"S"))</f>
        <v/>
      </c>
      <c r="W27" s="313" t="str">
        <f>IF($B27=0,"",SUMIFS(INPUT_DATA!V:V,INPUT_DATA!$A:$A,$B27,INPUT_DATA!$C:$C,"S"))</f>
        <v/>
      </c>
      <c r="X27" s="313" t="str">
        <f>IF($B27=0,"",SUMIFS(INPUT_DATA!W:W,INPUT_DATA!$A:$A,$B27,INPUT_DATA!$C:$C,"S"))</f>
        <v/>
      </c>
      <c r="Y27" s="313" t="str">
        <f>IF($B27=0,"",SUMIFS(INPUT_DATA!X:X,INPUT_DATA!$A:$A,$B27,INPUT_DATA!$C:$C,"S"))</f>
        <v/>
      </c>
      <c r="Z27" s="313" t="str">
        <f>IF($B27=0,"",SUMIFS(INPUT_DATA!Y:Y,INPUT_DATA!$A:$A,$B27,INPUT_DATA!$C:$C,"S"))</f>
        <v/>
      </c>
      <c r="AA27" s="313" t="str">
        <f>IF($B27=0,"",SUMIFS(INPUT_DATA!Z:Z,INPUT_DATA!$A:$A,$B27,INPUT_DATA!$C:$C,"S"))</f>
        <v/>
      </c>
      <c r="AB27" s="313" t="str">
        <f>IF($B27=0,"",SUMIFS(INPUT_DATA!AA:AA,INPUT_DATA!$A:$A,$B27,INPUT_DATA!$C:$C,"S"))</f>
        <v/>
      </c>
      <c r="AC27" s="313" t="str">
        <f>IF($B27=0,"",SUMIFS(INPUT_DATA!AB:AB,INPUT_DATA!$A:$A,$B27,INPUT_DATA!$C:$C,"S"))</f>
        <v/>
      </c>
      <c r="AD27" s="313" t="str">
        <f>IF($B27=0,"",SUMIFS(INPUT_DATA!AC:AC,INPUT_DATA!$A:$A,$B27,INPUT_DATA!$C:$C,"S"))</f>
        <v/>
      </c>
      <c r="AE27" s="313" t="str">
        <f>IF($B27=0,"",SUMIFS(INPUT_DATA!AD:AD,INPUT_DATA!$A:$A,$B27,INPUT_DATA!$C:$C,"S"))</f>
        <v/>
      </c>
      <c r="AF27" s="313" t="str">
        <f>IF($B27=0,"",SUMIFS(INPUT_DATA!AE:AE,INPUT_DATA!$A:$A,$B27,INPUT_DATA!$C:$C,"S"))</f>
        <v/>
      </c>
      <c r="AG27" s="313" t="str">
        <f>IF($B27=0,"",SUMIFS(INPUT_DATA!AF:AF,INPUT_DATA!$A:$A,$B27,INPUT_DATA!$C:$C,"S"))</f>
        <v/>
      </c>
      <c r="AH27" s="313" t="str">
        <f>IF($B27=0,"",SUMIFS(INPUT_DATA!AG:AG,INPUT_DATA!$A:$A,$B27,INPUT_DATA!$C:$C,"S"))</f>
        <v/>
      </c>
      <c r="AI27" s="313" t="str">
        <f>IF($B27=0,"",SUMIFS(INPUT_DATA!AH:AH,INPUT_DATA!$A:$A,$B27,INPUT_DATA!$C:$C,"S"))</f>
        <v/>
      </c>
      <c r="AJ27" s="313" t="str">
        <f>IF($B27=0,"",SUMIFS(INPUT_DATA!AI:AI,INPUT_DATA!$A:$A,$B27,INPUT_DATA!$C:$C,"S"))</f>
        <v/>
      </c>
      <c r="AK27" s="313" t="str">
        <f>IF($B27=0,"",SUMIFS(INPUT_DATA!AJ:AJ,INPUT_DATA!$A:$A,$B27,INPUT_DATA!$C:$C,"S"))</f>
        <v/>
      </c>
      <c r="AL27" s="313" t="str">
        <f>IF($B27=0,"",SUMIFS(INPUT_DATA!AK:AK,INPUT_DATA!$A:$A,$B27,INPUT_DATA!$C:$C,"S"))</f>
        <v/>
      </c>
      <c r="AM27" s="313" t="str">
        <f>IF($B27=0,"",SUMIFS(INPUT_DATA!AL:AL,INPUT_DATA!$A:$A,$B27,INPUT_DATA!$C:$C,"S"))</f>
        <v/>
      </c>
      <c r="AN27" s="313" t="str">
        <f>IF($B27=0,"",SUMIFS(INPUT_DATA!AM:AM,INPUT_DATA!$A:$A,$B27,INPUT_DATA!$C:$C,"S"))</f>
        <v/>
      </c>
      <c r="AO27" s="313" t="str">
        <f>IF($B27=0,"",SUMIFS(INPUT_DATA!AN:AN,INPUT_DATA!$A:$A,$B27,INPUT_DATA!$C:$C,"S"))</f>
        <v/>
      </c>
      <c r="AP27" s="313" t="str">
        <f>IF($B27=0,"",SUMIFS(INPUT_DATA!AO:AO,INPUT_DATA!$A:$A,$B27,INPUT_DATA!$C:$C,"S"))</f>
        <v/>
      </c>
      <c r="AQ27" s="313" t="str">
        <f>IF($B27=0,"",SUMIFS(INPUT_DATA!AP:AP,INPUT_DATA!$A:$A,$B27,INPUT_DATA!$C:$C,"S"))</f>
        <v/>
      </c>
      <c r="AR27" s="313" t="str">
        <f>IF($B27=0,"",SUMIFS(INPUT_DATA!AQ:AQ,INPUT_DATA!$A:$A,$B27,INPUT_DATA!$C:$C,"S"))</f>
        <v/>
      </c>
      <c r="AS27" s="749" t="str">
        <f t="shared" si="29"/>
        <v/>
      </c>
      <c r="AT27" s="750" t="str">
        <f t="shared" si="30"/>
        <v/>
      </c>
      <c r="AU27" s="751" t="str">
        <f t="shared" si="31"/>
        <v/>
      </c>
      <c r="AV27" s="749" t="str">
        <f>IF($B27=0,"",SUMIFS(INPUT_DATA!AR:AR,INPUT_DATA!$A:$A,$B27,INPUT_DATA!$C:$C,"S"))</f>
        <v/>
      </c>
      <c r="AW27" s="750" t="str">
        <f>IF($B27=0,"",SUMIFS(INPUT_DATA!AS:AS,INPUT_DATA!$A:$A,$B27,INPUT_DATA!$C:$C,"S"))</f>
        <v/>
      </c>
      <c r="AX27" s="751" t="str">
        <f>IF($B27=0,"",SUMIFS(INPUT_DATA!AT:AT,INPUT_DATA!$A:$A,$B27,INPUT_DATA!$C:$C,"S"))</f>
        <v/>
      </c>
      <c r="AY27" s="749" t="str">
        <f t="shared" si="15"/>
        <v/>
      </c>
      <c r="AZ27" s="750" t="str">
        <f t="shared" si="16"/>
        <v/>
      </c>
      <c r="BA27" s="751" t="str">
        <f t="shared" si="17"/>
        <v/>
      </c>
      <c r="BB27" s="150"/>
      <c r="BC27" s="738" t="str">
        <f>IF($B27=0,"",SUMIFS(INPUT_DATA!D:D,INPUT_DATA!$A:$A,$B27,INPUT_DATA!$C:$C,"D"))</f>
        <v/>
      </c>
      <c r="BD27" s="312" t="str">
        <f>IF($B27=0,"",SUMIFS(INPUT_DATA!F:F,INPUT_DATA!$A:$A,$B27,INPUT_DATA!$C:$C,"D"))</f>
        <v/>
      </c>
      <c r="BE27" s="312" t="str">
        <f>IF($B27=0,"",SUMIFS(INPUT_DATA!G:G,INPUT_DATA!$A:$A,$B27,INPUT_DATA!$C:$C,"D"))</f>
        <v/>
      </c>
      <c r="BF27" s="312" t="str">
        <f>IF($B27=0,"",SUMIFS(INPUT_DATA!H:H,INPUT_DATA!$A:$A,$B27,INPUT_DATA!$C:$C,"D"))</f>
        <v/>
      </c>
      <c r="BG27" s="312" t="str">
        <f>IF($B27=0,"",SUMIFS(INPUT_DATA!I:I,INPUT_DATA!$A:$A,$B27,INPUT_DATA!$C:$C,"D"))</f>
        <v/>
      </c>
      <c r="BH27" s="312" t="str">
        <f>IF($B27=0,"",SUMIFS(INPUT_DATA!J:J,INPUT_DATA!$A:$A,$B27,INPUT_DATA!$C:$C,"D"))</f>
        <v/>
      </c>
      <c r="BI27" s="312" t="str">
        <f>IF($B27=0,"",SUMIFS(INPUT_DATA!K:K,INPUT_DATA!$A:$A,$B27,INPUT_DATA!$C:$C,"D"))</f>
        <v/>
      </c>
      <c r="BJ27" s="312" t="str">
        <f>IF($B27=0,"",SUMIFS(INPUT_DATA!L:L,INPUT_DATA!$A:$A,$B27,INPUT_DATA!$C:$C,"D"))</f>
        <v/>
      </c>
      <c r="BK27" s="312" t="str">
        <f>IF($B27=0,"",SUMIFS(INPUT_DATA!M:M,INPUT_DATA!$A:$A,$B27,INPUT_DATA!$C:$C,"D"))</f>
        <v/>
      </c>
      <c r="BL27" s="312" t="str">
        <f>IF($B27=0,"",SUMIFS(INPUT_DATA!N:N,INPUT_DATA!$A:$A,$B27,INPUT_DATA!$C:$C,"D"))</f>
        <v/>
      </c>
      <c r="BM27" s="312" t="str">
        <f>IF($B27=0,"",SUMIFS(INPUT_DATA!O:O,INPUT_DATA!$A:$A,$B27,INPUT_DATA!$C:$C,"D"))</f>
        <v/>
      </c>
      <c r="BN27" s="754" t="str">
        <f t="shared" si="18"/>
        <v/>
      </c>
      <c r="BO27" s="754" t="str">
        <f>IF($B27=0,"",SUMIFS(INPUT_DATA!O:O,INPUT_DATA!$A:$A,$B27,INPUT_DATA!$C:$C,"D"))</f>
        <v/>
      </c>
      <c r="BP27" s="754" t="str">
        <f t="shared" si="19"/>
        <v/>
      </c>
      <c r="BQ27" s="738" t="str">
        <f>IF($B27=0,"",SUMIFS(INPUT_DATA!Q:Q,INPUT_DATA!$A:$A,$B27,INPUT_DATA!$C:$C,"D"))</f>
        <v/>
      </c>
      <c r="BR27" s="760" t="str">
        <f>IF($B27=0,"",SUMIFS(INPUT_DATA!R:R,INPUT_DATA!$A:$A,$B27,INPUT_DATA!$C:$C,"D"))</f>
        <v/>
      </c>
      <c r="BS27" s="760" t="str">
        <f>IF($B27=0,"",SUMIFS(INPUT_DATA!S:S,INPUT_DATA!$A:$A,$B27,INPUT_DATA!$C:$C,"D"))</f>
        <v/>
      </c>
      <c r="BT27" s="312" t="str">
        <f>IF($B27=0,"",SUMIFS(INPUT_DATA!T:T,INPUT_DATA!$A:$A,$B27,INPUT_DATA!$C:$C,"D"))</f>
        <v/>
      </c>
      <c r="BU27" s="312" t="str">
        <f>IF($B27=0,"",SUMIFS(INPUT_DATA!U:U,INPUT_DATA!$A:$A,$B27,INPUT_DATA!$C:$C,"D"))</f>
        <v/>
      </c>
      <c r="BV27" s="312" t="str">
        <f>IF($B27=0,"",SUMIFS(INPUT_DATA!V:V,INPUT_DATA!$A:$A,$B27,INPUT_DATA!$C:$C,"D"))</f>
        <v/>
      </c>
      <c r="BW27" s="312" t="str">
        <f>IF($B27=0,"",SUMIFS(INPUT_DATA!W:W,INPUT_DATA!$A:$A,$B27,INPUT_DATA!$C:$C,"D"))</f>
        <v/>
      </c>
      <c r="BX27" s="312" t="str">
        <f>IF($B27=0,"",SUMIFS(INPUT_DATA!X:X,INPUT_DATA!$A:$A,$B27,INPUT_DATA!$C:$C,"D"))</f>
        <v/>
      </c>
      <c r="BY27" s="312" t="str">
        <f>IF($B27=0,"",SUMIFS(INPUT_DATA!Y:Y,INPUT_DATA!$A:$A,$B27,INPUT_DATA!$C:$C,"D"))</f>
        <v/>
      </c>
      <c r="BZ27" s="353" t="str">
        <f>IF($B27=0,"",SUMIFS(INPUT_DATA!Z:Z,INPUT_DATA!$A:$A,$B27,INPUT_DATA!$C:$C,"D"))</f>
        <v/>
      </c>
      <c r="CA27" s="353" t="str">
        <f>IF($B27=0,"",SUMIFS(INPUT_DATA!AA:AA,INPUT_DATA!$A:$A,$B27,INPUT_DATA!$C:$C,"D"))</f>
        <v/>
      </c>
      <c r="CB27" s="353" t="str">
        <f>IF($B27=0,"",SUMIFS(INPUT_DATA!AB:AB,INPUT_DATA!$A:$A,$B27,INPUT_DATA!$C:$C,"D"))</f>
        <v/>
      </c>
      <c r="CC27" s="312" t="str">
        <f>IF($B27=0,"",SUMIFS(INPUT_DATA!AC:AC,INPUT_DATA!$A:$A,$B27,INPUT_DATA!$C:$C,"D"))</f>
        <v/>
      </c>
      <c r="CD27" s="312" t="str">
        <f>IF($B27=0,"",SUMIFS(INPUT_DATA!AD:AD,INPUT_DATA!$A:$A,$B27,INPUT_DATA!$C:$C,"D"))</f>
        <v/>
      </c>
      <c r="CE27" s="312" t="str">
        <f>IF($B27=0,"",SUMIFS(INPUT_DATA!AE:AE,INPUT_DATA!$A:$A,$B27,INPUT_DATA!$C:$C,"D"))</f>
        <v/>
      </c>
      <c r="CF27" s="353" t="str">
        <f>IF($B27=0,"",SUMIFS(INPUT_DATA!AF:AF,INPUT_DATA!$A:$A,$B27,INPUT_DATA!$C:$C,"D"))</f>
        <v/>
      </c>
      <c r="CG27" s="353" t="str">
        <f>IF($B27=0,"",SUMIFS(INPUT_DATA!AG:AG,INPUT_DATA!$A:$A,$B27,INPUT_DATA!$C:$C,"D"))</f>
        <v/>
      </c>
      <c r="CH27" s="353" t="str">
        <f>IF($B27=0,"",SUMIFS(INPUT_DATA!AH:AH,INPUT_DATA!$A:$A,$B27,INPUT_DATA!$C:$C,"D"))</f>
        <v/>
      </c>
      <c r="CI27" s="153" t="str">
        <f>IF($B27=0,"",SUMIFS(INPUT_DATA!AI:AI,INPUT_DATA!$A:$A,$B27,INPUT_DATA!$C:$C,"D"))</f>
        <v/>
      </c>
      <c r="CJ27" s="153" t="str">
        <f>IF($B27=0,"",SUMIFS(INPUT_DATA!AJ:AJ,INPUT_DATA!$A:$A,$B27,INPUT_DATA!$C:$C,"D"))</f>
        <v/>
      </c>
      <c r="CK27" s="153" t="str">
        <f>IF($B27=0,"",SUMIFS(INPUT_DATA!AK:AK,INPUT_DATA!$A:$A,$B27,INPUT_DATA!$C:$C,"D"))</f>
        <v/>
      </c>
      <c r="CL27" s="153" t="str">
        <f>IF($B27=0,"",SUMIFS(INPUT_DATA!AL:AL,INPUT_DATA!$A:$A,$B27,INPUT_DATA!$C:$C,"D"))</f>
        <v/>
      </c>
      <c r="CM27" s="153" t="str">
        <f>IF($B27=0,"",SUMIFS(INPUT_DATA!AM:AM,INPUT_DATA!$A:$A,$B27,INPUT_DATA!$C:$C,"D"))</f>
        <v/>
      </c>
      <c r="CN27" s="153" t="str">
        <f>IF($B27=0,"",SUMIFS(INPUT_DATA!AN:AN,INPUT_DATA!$A:$A,$B27,INPUT_DATA!$C:$C,"D"))</f>
        <v/>
      </c>
      <c r="CO27" s="153" t="str">
        <f>IF($B27=0,"",SUMIFS(INPUT_DATA!AO:AO,INPUT_DATA!$A:$A,$B27,INPUT_DATA!$C:$C,"D"))</f>
        <v/>
      </c>
      <c r="CP27" s="153" t="str">
        <f>IF($B27=0,"",SUMIFS(INPUT_DATA!AP:AP,INPUT_DATA!$A:$A,$B27,INPUT_DATA!$C:$C,"D"))</f>
        <v/>
      </c>
      <c r="CQ27" s="153" t="str">
        <f>IF($B27=0,"",SUMIFS(INPUT_DATA!AQ:AQ,INPUT_DATA!$A:$A,$B27,INPUT_DATA!$C:$C,"D"))</f>
        <v/>
      </c>
      <c r="CR27" s="750" t="str">
        <f t="shared" si="32"/>
        <v/>
      </c>
      <c r="CS27" s="750" t="str">
        <f t="shared" si="33"/>
        <v/>
      </c>
      <c r="CT27" s="750" t="str">
        <f t="shared" si="34"/>
        <v/>
      </c>
      <c r="CU27" s="739" t="str">
        <f>IF($B27=0,"",SUMIFS(INPUT_DATA!AR:AR,INPUT_DATA!$A:$A,$B27,INPUT_DATA!$C:$C,"D"))</f>
        <v/>
      </c>
      <c r="CV27" s="739" t="str">
        <f>IF($B27=0,"",SUMIFS(INPUT_DATA!AS:AS,INPUT_DATA!$A:$A,$B27,INPUT_DATA!$C:$C,"D"))</f>
        <v/>
      </c>
      <c r="CW27" s="739" t="str">
        <f>IF($B27=0,"",SUMIFS(INPUT_DATA!AT:AT,INPUT_DATA!$A:$A,$B27,INPUT_DATA!$C:$C,"D"))</f>
        <v/>
      </c>
      <c r="CX27" s="739" t="str">
        <f t="shared" si="35"/>
        <v/>
      </c>
      <c r="CY27" s="750" t="str">
        <f t="shared" si="36"/>
        <v/>
      </c>
      <c r="CZ27" s="761" t="str">
        <f t="shared" si="37"/>
        <v/>
      </c>
      <c r="DA27" s="150"/>
    </row>
    <row r="28" spans="2:105" ht="13" x14ac:dyDescent="0.25">
      <c r="B28" s="733">
        <f>INPUT_DATA!BQ15</f>
        <v>0</v>
      </c>
      <c r="C28" s="738" t="str">
        <f>IF($B28=0,"",SUMIFS(INPUT_DATA!D:D,INPUT_DATA!$A:$A,$B28,INPUT_DATA!$C:$C,"S"))</f>
        <v/>
      </c>
      <c r="D28" s="739" t="str">
        <f>IF($B28=0,"",SUMIFS(INPUT_DATA!E:E,INPUT_DATA!$A:$A,$B28,INPUT_DATA!$C:$C,"S"))</f>
        <v/>
      </c>
      <c r="E28" s="740" t="str">
        <f>IF($B28=0,"",SUMIFS(INPUT_DATA!F:F,INPUT_DATA!$A:$A,$B28,INPUT_DATA!$C:$C,"S"))</f>
        <v/>
      </c>
      <c r="F28" s="740" t="str">
        <f>IF($B28=0,"",SUMIFS(INPUT_DATA!G:G,INPUT_DATA!$A:$A,$B28,INPUT_DATA!$C:$C,"S"))</f>
        <v/>
      </c>
      <c r="G28" s="740" t="str">
        <f>IF($B28=0,"",SUMIFS(INPUT_DATA!H:H,INPUT_DATA!$A:$A,$B28,INPUT_DATA!$C:$C,"S"))</f>
        <v/>
      </c>
      <c r="H28" s="740" t="str">
        <f>IF($B28=0,"",SUMIFS(INPUT_DATA!I:I,INPUT_DATA!$A:$A,$B28,INPUT_DATA!$C:$C,"S"))</f>
        <v/>
      </c>
      <c r="I28" s="740" t="str">
        <f>IF($B28=0,"",SUMIFS(INPUT_DATA!J:J,INPUT_DATA!$A:$A,$B28,INPUT_DATA!$C:$C,"S"))</f>
        <v/>
      </c>
      <c r="J28" s="740" t="str">
        <f>IF($B28=0,"",SUMIFS(INPUT_DATA!K:K,INPUT_DATA!$A:$A,$B28,INPUT_DATA!$C:$C,"S"))</f>
        <v/>
      </c>
      <c r="K28" s="740" t="str">
        <f>IF($B28=0,"",SUMIFS(INPUT_DATA!L:L,INPUT_DATA!$A:$A,$B28,INPUT_DATA!$C:$C,"S"))</f>
        <v/>
      </c>
      <c r="L28" s="740" t="str">
        <f>IF($B28=0,"",SUMIFS(INPUT_DATA!M:M,INPUT_DATA!$A:$A,$B28,INPUT_DATA!$C:$C,"S"))</f>
        <v/>
      </c>
      <c r="M28" s="740" t="str">
        <f>IF($B28=0,"",SUMIFS(INPUT_DATA!N:N,INPUT_DATA!$A:$A,$B28,INPUT_DATA!$C:$C,"S"))</f>
        <v/>
      </c>
      <c r="N28" s="740" t="str">
        <f>IF($B28=0,"",SUMIFS(INPUT_DATA!O:O,INPUT_DATA!$A:$A,$B28,INPUT_DATA!$C:$C,"S"))</f>
        <v/>
      </c>
      <c r="O28" s="741" t="str">
        <f t="shared" si="38"/>
        <v/>
      </c>
      <c r="P28" s="742" t="str">
        <f>IF($B28=0,"",SUMIFS(INPUT_DATA!P:P,INPUT_DATA!$A:$A,$B28,INPUT_DATA!$C:$C,"S"))</f>
        <v/>
      </c>
      <c r="Q28" s="742" t="str">
        <f t="shared" si="39"/>
        <v/>
      </c>
      <c r="R28" s="748" t="str">
        <f>IF($B28=0,"",SUMIFS(INPUT_DATA!Q:Q,INPUT_DATA!$A:$A,$B28,INPUT_DATA!$C:$C,"S"))</f>
        <v/>
      </c>
      <c r="S28" s="748" t="str">
        <f>IF($B28=0,"",SUMIFS(INPUT_DATA!R:R,INPUT_DATA!$A:$A,$B28,INPUT_DATA!$C:$C,"S"))</f>
        <v/>
      </c>
      <c r="T28" s="748" t="str">
        <f>IF($B28=0,"",SUMIFS(INPUT_DATA!S:S,INPUT_DATA!$A:$A,$B28,INPUT_DATA!$C:$C,"S"))</f>
        <v/>
      </c>
      <c r="U28" s="313" t="str">
        <f>IF($B28=0,"",SUMIFS(INPUT_DATA!T:T,INPUT_DATA!$A:$A,$B28,INPUT_DATA!$C:$C,"S"))</f>
        <v/>
      </c>
      <c r="V28" s="313" t="str">
        <f>IF($B28=0,"",SUMIFS(INPUT_DATA!U:U,INPUT_DATA!$A:$A,$B28,INPUT_DATA!$C:$C,"S"))</f>
        <v/>
      </c>
      <c r="W28" s="313" t="str">
        <f>IF($B28=0,"",SUMIFS(INPUT_DATA!V:V,INPUT_DATA!$A:$A,$B28,INPUT_DATA!$C:$C,"S"))</f>
        <v/>
      </c>
      <c r="X28" s="313" t="str">
        <f>IF($B28=0,"",SUMIFS(INPUT_DATA!W:W,INPUT_DATA!$A:$A,$B28,INPUT_DATA!$C:$C,"S"))</f>
        <v/>
      </c>
      <c r="Y28" s="313" t="str">
        <f>IF($B28=0,"",SUMIFS(INPUT_DATA!X:X,INPUT_DATA!$A:$A,$B28,INPUT_DATA!$C:$C,"S"))</f>
        <v/>
      </c>
      <c r="Z28" s="313" t="str">
        <f>IF($B28=0,"",SUMIFS(INPUT_DATA!Y:Y,INPUT_DATA!$A:$A,$B28,INPUT_DATA!$C:$C,"S"))</f>
        <v/>
      </c>
      <c r="AA28" s="313" t="str">
        <f>IF($B28=0,"",SUMIFS(INPUT_DATA!Z:Z,INPUT_DATA!$A:$A,$B28,INPUT_DATA!$C:$C,"S"))</f>
        <v/>
      </c>
      <c r="AB28" s="313" t="str">
        <f>IF($B28=0,"",SUMIFS(INPUT_DATA!AA:AA,INPUT_DATA!$A:$A,$B28,INPUT_DATA!$C:$C,"S"))</f>
        <v/>
      </c>
      <c r="AC28" s="313" t="str">
        <f>IF($B28=0,"",SUMIFS(INPUT_DATA!AB:AB,INPUT_DATA!$A:$A,$B28,INPUT_DATA!$C:$C,"S"))</f>
        <v/>
      </c>
      <c r="AD28" s="313" t="str">
        <f>IF($B28=0,"",SUMIFS(INPUT_DATA!AC:AC,INPUT_DATA!$A:$A,$B28,INPUT_DATA!$C:$C,"S"))</f>
        <v/>
      </c>
      <c r="AE28" s="313" t="str">
        <f>IF($B28=0,"",SUMIFS(INPUT_DATA!AD:AD,INPUT_DATA!$A:$A,$B28,INPUT_DATA!$C:$C,"S"))</f>
        <v/>
      </c>
      <c r="AF28" s="313" t="str">
        <f>IF($B28=0,"",SUMIFS(INPUT_DATA!AE:AE,INPUT_DATA!$A:$A,$B28,INPUT_DATA!$C:$C,"S"))</f>
        <v/>
      </c>
      <c r="AG28" s="313" t="str">
        <f>IF($B28=0,"",SUMIFS(INPUT_DATA!AF:AF,INPUT_DATA!$A:$A,$B28,INPUT_DATA!$C:$C,"S"))</f>
        <v/>
      </c>
      <c r="AH28" s="313" t="str">
        <f>IF($B28=0,"",SUMIFS(INPUT_DATA!AG:AG,INPUT_DATA!$A:$A,$B28,INPUT_DATA!$C:$C,"S"))</f>
        <v/>
      </c>
      <c r="AI28" s="313" t="str">
        <f>IF($B28=0,"",SUMIFS(INPUT_DATA!AH:AH,INPUT_DATA!$A:$A,$B28,INPUT_DATA!$C:$C,"S"))</f>
        <v/>
      </c>
      <c r="AJ28" s="313" t="str">
        <f>IF($B28=0,"",SUMIFS(INPUT_DATA!AI:AI,INPUT_DATA!$A:$A,$B28,INPUT_DATA!$C:$C,"S"))</f>
        <v/>
      </c>
      <c r="AK28" s="313" t="str">
        <f>IF($B28=0,"",SUMIFS(INPUT_DATA!AJ:AJ,INPUT_DATA!$A:$A,$B28,INPUT_DATA!$C:$C,"S"))</f>
        <v/>
      </c>
      <c r="AL28" s="313" t="str">
        <f>IF($B28=0,"",SUMIFS(INPUT_DATA!AK:AK,INPUT_DATA!$A:$A,$B28,INPUT_DATA!$C:$C,"S"))</f>
        <v/>
      </c>
      <c r="AM28" s="313" t="str">
        <f>IF($B28=0,"",SUMIFS(INPUT_DATA!AL:AL,INPUT_DATA!$A:$A,$B28,INPUT_DATA!$C:$C,"S"))</f>
        <v/>
      </c>
      <c r="AN28" s="313" t="str">
        <f>IF($B28=0,"",SUMIFS(INPUT_DATA!AM:AM,INPUT_DATA!$A:$A,$B28,INPUT_DATA!$C:$C,"S"))</f>
        <v/>
      </c>
      <c r="AO28" s="313" t="str">
        <f>IF($B28=0,"",SUMIFS(INPUT_DATA!AN:AN,INPUT_DATA!$A:$A,$B28,INPUT_DATA!$C:$C,"S"))</f>
        <v/>
      </c>
      <c r="AP28" s="313" t="str">
        <f>IF($B28=0,"",SUMIFS(INPUT_DATA!AO:AO,INPUT_DATA!$A:$A,$B28,INPUT_DATA!$C:$C,"S"))</f>
        <v/>
      </c>
      <c r="AQ28" s="313" t="str">
        <f>IF($B28=0,"",SUMIFS(INPUT_DATA!AP:AP,INPUT_DATA!$A:$A,$B28,INPUT_DATA!$C:$C,"S"))</f>
        <v/>
      </c>
      <c r="AR28" s="313" t="str">
        <f>IF($B28=0,"",SUMIFS(INPUT_DATA!AQ:AQ,INPUT_DATA!$A:$A,$B28,INPUT_DATA!$C:$C,"S"))</f>
        <v/>
      </c>
      <c r="AS28" s="749" t="str">
        <f t="shared" si="29"/>
        <v/>
      </c>
      <c r="AT28" s="750" t="str">
        <f t="shared" si="30"/>
        <v/>
      </c>
      <c r="AU28" s="751" t="str">
        <f t="shared" si="31"/>
        <v/>
      </c>
      <c r="AV28" s="749" t="str">
        <f>IF($B28=0,"",SUMIFS(INPUT_DATA!AR:AR,INPUT_DATA!$A:$A,$B28,INPUT_DATA!$C:$C,"S"))</f>
        <v/>
      </c>
      <c r="AW28" s="750" t="str">
        <f>IF($B28=0,"",SUMIFS(INPUT_DATA!AS:AS,INPUT_DATA!$A:$A,$B28,INPUT_DATA!$C:$C,"S"))</f>
        <v/>
      </c>
      <c r="AX28" s="751" t="str">
        <f>IF($B28=0,"",SUMIFS(INPUT_DATA!AT:AT,INPUT_DATA!$A:$A,$B28,INPUT_DATA!$C:$C,"S"))</f>
        <v/>
      </c>
      <c r="AY28" s="749" t="str">
        <f t="shared" si="15"/>
        <v/>
      </c>
      <c r="AZ28" s="750" t="str">
        <f t="shared" si="16"/>
        <v/>
      </c>
      <c r="BA28" s="751" t="str">
        <f t="shared" si="17"/>
        <v/>
      </c>
      <c r="BB28" s="150"/>
      <c r="BC28" s="738" t="str">
        <f>IF($B28=0,"",SUMIFS(INPUT_DATA!D:D,INPUT_DATA!$A:$A,$B28,INPUT_DATA!$C:$C,"D"))</f>
        <v/>
      </c>
      <c r="BD28" s="312" t="str">
        <f>IF($B28=0,"",SUMIFS(INPUT_DATA!F:F,INPUT_DATA!$A:$A,$B28,INPUT_DATA!$C:$C,"D"))</f>
        <v/>
      </c>
      <c r="BE28" s="312" t="str">
        <f>IF($B28=0,"",SUMIFS(INPUT_DATA!G:G,INPUT_DATA!$A:$A,$B28,INPUT_DATA!$C:$C,"D"))</f>
        <v/>
      </c>
      <c r="BF28" s="312" t="str">
        <f>IF($B28=0,"",SUMIFS(INPUT_DATA!H:H,INPUT_DATA!$A:$A,$B28,INPUT_DATA!$C:$C,"D"))</f>
        <v/>
      </c>
      <c r="BG28" s="312" t="str">
        <f>IF($B28=0,"",SUMIFS(INPUT_DATA!I:I,INPUT_DATA!$A:$A,$B28,INPUT_DATA!$C:$C,"D"))</f>
        <v/>
      </c>
      <c r="BH28" s="312" t="str">
        <f>IF($B28=0,"",SUMIFS(INPUT_DATA!J:J,INPUT_DATA!$A:$A,$B28,INPUT_DATA!$C:$C,"D"))</f>
        <v/>
      </c>
      <c r="BI28" s="312" t="str">
        <f>IF($B28=0,"",SUMIFS(INPUT_DATA!K:K,INPUT_DATA!$A:$A,$B28,INPUT_DATA!$C:$C,"D"))</f>
        <v/>
      </c>
      <c r="BJ28" s="312" t="str">
        <f>IF($B28=0,"",SUMIFS(INPUT_DATA!L:L,INPUT_DATA!$A:$A,$B28,INPUT_DATA!$C:$C,"D"))</f>
        <v/>
      </c>
      <c r="BK28" s="312" t="str">
        <f>IF($B28=0,"",SUMIFS(INPUT_DATA!M:M,INPUT_DATA!$A:$A,$B28,INPUT_DATA!$C:$C,"D"))</f>
        <v/>
      </c>
      <c r="BL28" s="312" t="str">
        <f>IF($B28=0,"",SUMIFS(INPUT_DATA!N:N,INPUT_DATA!$A:$A,$B28,INPUT_DATA!$C:$C,"D"))</f>
        <v/>
      </c>
      <c r="BM28" s="312" t="str">
        <f>IF($B28=0,"",SUMIFS(INPUT_DATA!O:O,INPUT_DATA!$A:$A,$B28,INPUT_DATA!$C:$C,"D"))</f>
        <v/>
      </c>
      <c r="BN28" s="754" t="str">
        <f t="shared" si="18"/>
        <v/>
      </c>
      <c r="BO28" s="754" t="str">
        <f>IF($B28=0,"",SUMIFS(INPUT_DATA!O:O,INPUT_DATA!$A:$A,$B28,INPUT_DATA!$C:$C,"D"))</f>
        <v/>
      </c>
      <c r="BP28" s="754" t="str">
        <f t="shared" si="19"/>
        <v/>
      </c>
      <c r="BQ28" s="738" t="str">
        <f>IF($B28=0,"",SUMIFS(INPUT_DATA!Q:Q,INPUT_DATA!$A:$A,$B28,INPUT_DATA!$C:$C,"D"))</f>
        <v/>
      </c>
      <c r="BR28" s="760" t="str">
        <f>IF($B28=0,"",SUMIFS(INPUT_DATA!R:R,INPUT_DATA!$A:$A,$B28,INPUT_DATA!$C:$C,"D"))</f>
        <v/>
      </c>
      <c r="BS28" s="760" t="str">
        <f>IF($B28=0,"",SUMIFS(INPUT_DATA!S:S,INPUT_DATA!$A:$A,$B28,INPUT_DATA!$C:$C,"D"))</f>
        <v/>
      </c>
      <c r="BT28" s="312" t="str">
        <f>IF($B28=0,"",SUMIFS(INPUT_DATA!T:T,INPUT_DATA!$A:$A,$B28,INPUT_DATA!$C:$C,"D"))</f>
        <v/>
      </c>
      <c r="BU28" s="312" t="str">
        <f>IF($B28=0,"",SUMIFS(INPUT_DATA!U:U,INPUT_DATA!$A:$A,$B28,INPUT_DATA!$C:$C,"D"))</f>
        <v/>
      </c>
      <c r="BV28" s="312" t="str">
        <f>IF($B28=0,"",SUMIFS(INPUT_DATA!V:V,INPUT_DATA!$A:$A,$B28,INPUT_DATA!$C:$C,"D"))</f>
        <v/>
      </c>
      <c r="BW28" s="312" t="str">
        <f>IF($B28=0,"",SUMIFS(INPUT_DATA!W:W,INPUT_DATA!$A:$A,$B28,INPUT_DATA!$C:$C,"D"))</f>
        <v/>
      </c>
      <c r="BX28" s="312" t="str">
        <f>IF($B28=0,"",SUMIFS(INPUT_DATA!X:X,INPUT_DATA!$A:$A,$B28,INPUT_DATA!$C:$C,"D"))</f>
        <v/>
      </c>
      <c r="BY28" s="312" t="str">
        <f>IF($B28=0,"",SUMIFS(INPUT_DATA!Y:Y,INPUT_DATA!$A:$A,$B28,INPUT_DATA!$C:$C,"D"))</f>
        <v/>
      </c>
      <c r="BZ28" s="353" t="str">
        <f>IF($B28=0,"",SUMIFS(INPUT_DATA!Z:Z,INPUT_DATA!$A:$A,$B28,INPUT_DATA!$C:$C,"D"))</f>
        <v/>
      </c>
      <c r="CA28" s="353" t="str">
        <f>IF($B28=0,"",SUMIFS(INPUT_DATA!AA:AA,INPUT_DATA!$A:$A,$B28,INPUT_DATA!$C:$C,"D"))</f>
        <v/>
      </c>
      <c r="CB28" s="353" t="str">
        <f>IF($B28=0,"",SUMIFS(INPUT_DATA!AB:AB,INPUT_DATA!$A:$A,$B28,INPUT_DATA!$C:$C,"D"))</f>
        <v/>
      </c>
      <c r="CC28" s="312" t="str">
        <f>IF($B28=0,"",SUMIFS(INPUT_DATA!AC:AC,INPUT_DATA!$A:$A,$B28,INPUT_DATA!$C:$C,"D"))</f>
        <v/>
      </c>
      <c r="CD28" s="312" t="str">
        <f>IF($B28=0,"",SUMIFS(INPUT_DATA!AD:AD,INPUT_DATA!$A:$A,$B28,INPUT_DATA!$C:$C,"D"))</f>
        <v/>
      </c>
      <c r="CE28" s="312" t="str">
        <f>IF($B28=0,"",SUMIFS(INPUT_DATA!AE:AE,INPUT_DATA!$A:$A,$B28,INPUT_DATA!$C:$C,"D"))</f>
        <v/>
      </c>
      <c r="CF28" s="353" t="str">
        <f>IF($B28=0,"",SUMIFS(INPUT_DATA!AF:AF,INPUT_DATA!$A:$A,$B28,INPUT_DATA!$C:$C,"D"))</f>
        <v/>
      </c>
      <c r="CG28" s="353" t="str">
        <f>IF($B28=0,"",SUMIFS(INPUT_DATA!AG:AG,INPUT_DATA!$A:$A,$B28,INPUT_DATA!$C:$C,"D"))</f>
        <v/>
      </c>
      <c r="CH28" s="353" t="str">
        <f>IF($B28=0,"",SUMIFS(INPUT_DATA!AH:AH,INPUT_DATA!$A:$A,$B28,INPUT_DATA!$C:$C,"D"))</f>
        <v/>
      </c>
      <c r="CI28" s="153" t="str">
        <f>IF($B28=0,"",SUMIFS(INPUT_DATA!AI:AI,INPUT_DATA!$A:$A,$B28,INPUT_DATA!$C:$C,"D"))</f>
        <v/>
      </c>
      <c r="CJ28" s="153" t="str">
        <f>IF($B28=0,"",SUMIFS(INPUT_DATA!AJ:AJ,INPUT_DATA!$A:$A,$B28,INPUT_DATA!$C:$C,"D"))</f>
        <v/>
      </c>
      <c r="CK28" s="153" t="str">
        <f>IF($B28=0,"",SUMIFS(INPUT_DATA!AK:AK,INPUT_DATA!$A:$A,$B28,INPUT_DATA!$C:$C,"D"))</f>
        <v/>
      </c>
      <c r="CL28" s="153" t="str">
        <f>IF($B28=0,"",SUMIFS(INPUT_DATA!AL:AL,INPUT_DATA!$A:$A,$B28,INPUT_DATA!$C:$C,"D"))</f>
        <v/>
      </c>
      <c r="CM28" s="153" t="str">
        <f>IF($B28=0,"",SUMIFS(INPUT_DATA!AM:AM,INPUT_DATA!$A:$A,$B28,INPUT_DATA!$C:$C,"D"))</f>
        <v/>
      </c>
      <c r="CN28" s="153" t="str">
        <f>IF($B28=0,"",SUMIFS(INPUT_DATA!AN:AN,INPUT_DATA!$A:$A,$B28,INPUT_DATA!$C:$C,"D"))</f>
        <v/>
      </c>
      <c r="CO28" s="153" t="str">
        <f>IF($B28=0,"",SUMIFS(INPUT_DATA!AO:AO,INPUT_DATA!$A:$A,$B28,INPUT_DATA!$C:$C,"D"))</f>
        <v/>
      </c>
      <c r="CP28" s="153" t="str">
        <f>IF($B28=0,"",SUMIFS(INPUT_DATA!AP:AP,INPUT_DATA!$A:$A,$B28,INPUT_DATA!$C:$C,"D"))</f>
        <v/>
      </c>
      <c r="CQ28" s="153" t="str">
        <f>IF($B28=0,"",SUMIFS(INPUT_DATA!AQ:AQ,INPUT_DATA!$A:$A,$B28,INPUT_DATA!$C:$C,"D"))</f>
        <v/>
      </c>
      <c r="CR28" s="750" t="str">
        <f t="shared" si="32"/>
        <v/>
      </c>
      <c r="CS28" s="750" t="str">
        <f t="shared" si="33"/>
        <v/>
      </c>
      <c r="CT28" s="750" t="str">
        <f t="shared" si="34"/>
        <v/>
      </c>
      <c r="CU28" s="739" t="str">
        <f>IF($B28=0,"",SUMIFS(INPUT_DATA!AR:AR,INPUT_DATA!$A:$A,$B28,INPUT_DATA!$C:$C,"D"))</f>
        <v/>
      </c>
      <c r="CV28" s="739" t="str">
        <f>IF($B28=0,"",SUMIFS(INPUT_DATA!AS:AS,INPUT_DATA!$A:$A,$B28,INPUT_DATA!$C:$C,"D"))</f>
        <v/>
      </c>
      <c r="CW28" s="739" t="str">
        <f>IF($B28=0,"",SUMIFS(INPUT_DATA!AT:AT,INPUT_DATA!$A:$A,$B28,INPUT_DATA!$C:$C,"D"))</f>
        <v/>
      </c>
      <c r="CX28" s="739" t="str">
        <f t="shared" si="35"/>
        <v/>
      </c>
      <c r="CY28" s="750" t="str">
        <f t="shared" si="36"/>
        <v/>
      </c>
      <c r="CZ28" s="761" t="str">
        <f t="shared" si="37"/>
        <v/>
      </c>
      <c r="DA28" s="150"/>
    </row>
    <row r="29" spans="2:105" ht="13" x14ac:dyDescent="0.25">
      <c r="B29" s="733">
        <f>INPUT_DATA!BQ16</f>
        <v>0</v>
      </c>
      <c r="C29" s="738" t="str">
        <f>IF($B29=0,"",SUMIFS(INPUT_DATA!D:D,INPUT_DATA!$A:$A,$B29,INPUT_DATA!$C:$C,"S"))</f>
        <v/>
      </c>
      <c r="D29" s="739" t="str">
        <f>IF($B29=0,"",SUMIFS(INPUT_DATA!E:E,INPUT_DATA!$A:$A,$B29,INPUT_DATA!$C:$C,"S"))</f>
        <v/>
      </c>
      <c r="E29" s="740" t="str">
        <f>IF($B29=0,"",SUMIFS(INPUT_DATA!F:F,INPUT_DATA!$A:$A,$B29,INPUT_DATA!$C:$C,"S"))</f>
        <v/>
      </c>
      <c r="F29" s="740" t="str">
        <f>IF($B29=0,"",SUMIFS(INPUT_DATA!G:G,INPUT_DATA!$A:$A,$B29,INPUT_DATA!$C:$C,"S"))</f>
        <v/>
      </c>
      <c r="G29" s="740" t="str">
        <f>IF($B29=0,"",SUMIFS(INPUT_DATA!H:H,INPUT_DATA!$A:$A,$B29,INPUT_DATA!$C:$C,"S"))</f>
        <v/>
      </c>
      <c r="H29" s="740" t="str">
        <f>IF($B29=0,"",SUMIFS(INPUT_DATA!I:I,INPUT_DATA!$A:$A,$B29,INPUT_DATA!$C:$C,"S"))</f>
        <v/>
      </c>
      <c r="I29" s="740" t="str">
        <f>IF($B29=0,"",SUMIFS(INPUT_DATA!J:J,INPUT_DATA!$A:$A,$B29,INPUT_DATA!$C:$C,"S"))</f>
        <v/>
      </c>
      <c r="J29" s="740" t="str">
        <f>IF($B29=0,"",SUMIFS(INPUT_DATA!K:K,INPUT_DATA!$A:$A,$B29,INPUT_DATA!$C:$C,"S"))</f>
        <v/>
      </c>
      <c r="K29" s="740" t="str">
        <f>IF($B29=0,"",SUMIFS(INPUT_DATA!L:L,INPUT_DATA!$A:$A,$B29,INPUT_DATA!$C:$C,"S"))</f>
        <v/>
      </c>
      <c r="L29" s="740" t="str">
        <f>IF($B29=0,"",SUMIFS(INPUT_DATA!M:M,INPUT_DATA!$A:$A,$B29,INPUT_DATA!$C:$C,"S"))</f>
        <v/>
      </c>
      <c r="M29" s="740" t="str">
        <f>IF($B29=0,"",SUMIFS(INPUT_DATA!N:N,INPUT_DATA!$A:$A,$B29,INPUT_DATA!$C:$C,"S"))</f>
        <v/>
      </c>
      <c r="N29" s="740" t="str">
        <f>IF($B29=0,"",SUMIFS(INPUT_DATA!O:O,INPUT_DATA!$A:$A,$B29,INPUT_DATA!$C:$C,"S"))</f>
        <v/>
      </c>
      <c r="O29" s="741" t="str">
        <f t="shared" si="38"/>
        <v/>
      </c>
      <c r="P29" s="742" t="str">
        <f>IF($B29=0,"",SUMIFS(INPUT_DATA!P:P,INPUT_DATA!$A:$A,$B29,INPUT_DATA!$C:$C,"S"))</f>
        <v/>
      </c>
      <c r="Q29" s="742" t="str">
        <f t="shared" si="39"/>
        <v/>
      </c>
      <c r="R29" s="748" t="str">
        <f>IF($B29=0,"",SUMIFS(INPUT_DATA!Q:Q,INPUT_DATA!$A:$A,$B29,INPUT_DATA!$C:$C,"S"))</f>
        <v/>
      </c>
      <c r="S29" s="748" t="str">
        <f>IF($B29=0,"",SUMIFS(INPUT_DATA!R:R,INPUT_DATA!$A:$A,$B29,INPUT_DATA!$C:$C,"S"))</f>
        <v/>
      </c>
      <c r="T29" s="748" t="str">
        <f>IF($B29=0,"",SUMIFS(INPUT_DATA!S:S,INPUT_DATA!$A:$A,$B29,INPUT_DATA!$C:$C,"S"))</f>
        <v/>
      </c>
      <c r="U29" s="313" t="str">
        <f>IF($B29=0,"",SUMIFS(INPUT_DATA!T:T,INPUT_DATA!$A:$A,$B29,INPUT_DATA!$C:$C,"S"))</f>
        <v/>
      </c>
      <c r="V29" s="313" t="str">
        <f>IF($B29=0,"",SUMIFS(INPUT_DATA!U:U,INPUT_DATA!$A:$A,$B29,INPUT_DATA!$C:$C,"S"))</f>
        <v/>
      </c>
      <c r="W29" s="313" t="str">
        <f>IF($B29=0,"",SUMIFS(INPUT_DATA!V:V,INPUT_DATA!$A:$A,$B29,INPUT_DATA!$C:$C,"S"))</f>
        <v/>
      </c>
      <c r="X29" s="313" t="str">
        <f>IF($B29=0,"",SUMIFS(INPUT_DATA!W:W,INPUT_DATA!$A:$A,$B29,INPUT_DATA!$C:$C,"S"))</f>
        <v/>
      </c>
      <c r="Y29" s="313" t="str">
        <f>IF($B29=0,"",SUMIFS(INPUT_DATA!X:X,INPUT_DATA!$A:$A,$B29,INPUT_DATA!$C:$C,"S"))</f>
        <v/>
      </c>
      <c r="Z29" s="313" t="str">
        <f>IF($B29=0,"",SUMIFS(INPUT_DATA!Y:Y,INPUT_DATA!$A:$A,$B29,INPUT_DATA!$C:$C,"S"))</f>
        <v/>
      </c>
      <c r="AA29" s="313" t="str">
        <f>IF($B29=0,"",SUMIFS(INPUT_DATA!Z:Z,INPUT_DATA!$A:$A,$B29,INPUT_DATA!$C:$C,"S"))</f>
        <v/>
      </c>
      <c r="AB29" s="313" t="str">
        <f>IF($B29=0,"",SUMIFS(INPUT_DATA!AA:AA,INPUT_DATA!$A:$A,$B29,INPUT_DATA!$C:$C,"S"))</f>
        <v/>
      </c>
      <c r="AC29" s="313" t="str">
        <f>IF($B29=0,"",SUMIFS(INPUT_DATA!AB:AB,INPUT_DATA!$A:$A,$B29,INPUT_DATA!$C:$C,"S"))</f>
        <v/>
      </c>
      <c r="AD29" s="313" t="str">
        <f>IF($B29=0,"",SUMIFS(INPUT_DATA!AC:AC,INPUT_DATA!$A:$A,$B29,INPUT_DATA!$C:$C,"S"))</f>
        <v/>
      </c>
      <c r="AE29" s="313" t="str">
        <f>IF($B29=0,"",SUMIFS(INPUT_DATA!AD:AD,INPUT_DATA!$A:$A,$B29,INPUT_DATA!$C:$C,"S"))</f>
        <v/>
      </c>
      <c r="AF29" s="313" t="str">
        <f>IF($B29=0,"",SUMIFS(INPUT_DATA!AE:AE,INPUT_DATA!$A:$A,$B29,INPUT_DATA!$C:$C,"S"))</f>
        <v/>
      </c>
      <c r="AG29" s="313" t="str">
        <f>IF($B29=0,"",SUMIFS(INPUT_DATA!AF:AF,INPUT_DATA!$A:$A,$B29,INPUT_DATA!$C:$C,"S"))</f>
        <v/>
      </c>
      <c r="AH29" s="313" t="str">
        <f>IF($B29=0,"",SUMIFS(INPUT_DATA!AG:AG,INPUT_DATA!$A:$A,$B29,INPUT_DATA!$C:$C,"S"))</f>
        <v/>
      </c>
      <c r="AI29" s="313" t="str">
        <f>IF($B29=0,"",SUMIFS(INPUT_DATA!AH:AH,INPUT_DATA!$A:$A,$B29,INPUT_DATA!$C:$C,"S"))</f>
        <v/>
      </c>
      <c r="AJ29" s="313" t="str">
        <f>IF($B29=0,"",SUMIFS(INPUT_DATA!AI:AI,INPUT_DATA!$A:$A,$B29,INPUT_DATA!$C:$C,"S"))</f>
        <v/>
      </c>
      <c r="AK29" s="313" t="str">
        <f>IF($B29=0,"",SUMIFS(INPUT_DATA!AJ:AJ,INPUT_DATA!$A:$A,$B29,INPUT_DATA!$C:$C,"S"))</f>
        <v/>
      </c>
      <c r="AL29" s="313" t="str">
        <f>IF($B29=0,"",SUMIFS(INPUT_DATA!AK:AK,INPUT_DATA!$A:$A,$B29,INPUT_DATA!$C:$C,"S"))</f>
        <v/>
      </c>
      <c r="AM29" s="313" t="str">
        <f>IF($B29=0,"",SUMIFS(INPUT_DATA!AL:AL,INPUT_DATA!$A:$A,$B29,INPUT_DATA!$C:$C,"S"))</f>
        <v/>
      </c>
      <c r="AN29" s="313" t="str">
        <f>IF($B29=0,"",SUMIFS(INPUT_DATA!AM:AM,INPUT_DATA!$A:$A,$B29,INPUT_DATA!$C:$C,"S"))</f>
        <v/>
      </c>
      <c r="AO29" s="313" t="str">
        <f>IF($B29=0,"",SUMIFS(INPUT_DATA!AN:AN,INPUT_DATA!$A:$A,$B29,INPUT_DATA!$C:$C,"S"))</f>
        <v/>
      </c>
      <c r="AP29" s="313" t="str">
        <f>IF($B29=0,"",SUMIFS(INPUT_DATA!AO:AO,INPUT_DATA!$A:$A,$B29,INPUT_DATA!$C:$C,"S"))</f>
        <v/>
      </c>
      <c r="AQ29" s="313" t="str">
        <f>IF($B29=0,"",SUMIFS(INPUT_DATA!AP:AP,INPUT_DATA!$A:$A,$B29,INPUT_DATA!$C:$C,"S"))</f>
        <v/>
      </c>
      <c r="AR29" s="313" t="str">
        <f>IF($B29=0,"",SUMIFS(INPUT_DATA!AQ:AQ,INPUT_DATA!$A:$A,$B29,INPUT_DATA!$C:$C,"S"))</f>
        <v/>
      </c>
      <c r="AS29" s="749" t="str">
        <f t="shared" si="29"/>
        <v/>
      </c>
      <c r="AT29" s="750" t="str">
        <f t="shared" si="30"/>
        <v/>
      </c>
      <c r="AU29" s="751" t="str">
        <f t="shared" si="31"/>
        <v/>
      </c>
      <c r="AV29" s="749" t="str">
        <f>IF($B29=0,"",SUMIFS(INPUT_DATA!AR:AR,INPUT_DATA!$A:$A,$B29,INPUT_DATA!$C:$C,"S"))</f>
        <v/>
      </c>
      <c r="AW29" s="750" t="str">
        <f>IF($B29=0,"",SUMIFS(INPUT_DATA!AS:AS,INPUT_DATA!$A:$A,$B29,INPUT_DATA!$C:$C,"S"))</f>
        <v/>
      </c>
      <c r="AX29" s="751" t="str">
        <f>IF($B29=0,"",SUMIFS(INPUT_DATA!AT:AT,INPUT_DATA!$A:$A,$B29,INPUT_DATA!$C:$C,"S"))</f>
        <v/>
      </c>
      <c r="AY29" s="749" t="str">
        <f t="shared" si="15"/>
        <v/>
      </c>
      <c r="AZ29" s="750" t="str">
        <f t="shared" si="16"/>
        <v/>
      </c>
      <c r="BA29" s="751" t="str">
        <f t="shared" si="17"/>
        <v/>
      </c>
      <c r="BB29" s="150"/>
      <c r="BC29" s="738" t="str">
        <f>IF($B29=0,"",SUMIFS(INPUT_DATA!D:D,INPUT_DATA!$A:$A,$B29,INPUT_DATA!$C:$C,"D"))</f>
        <v/>
      </c>
      <c r="BD29" s="312" t="str">
        <f>IF($B29=0,"",SUMIFS(INPUT_DATA!F:F,INPUT_DATA!$A:$A,$B29,INPUT_DATA!$C:$C,"D"))</f>
        <v/>
      </c>
      <c r="BE29" s="312" t="str">
        <f>IF($B29=0,"",SUMIFS(INPUT_DATA!G:G,INPUT_DATA!$A:$A,$B29,INPUT_DATA!$C:$C,"D"))</f>
        <v/>
      </c>
      <c r="BF29" s="312" t="str">
        <f>IF($B29=0,"",SUMIFS(INPUT_DATA!H:H,INPUT_DATA!$A:$A,$B29,INPUT_DATA!$C:$C,"D"))</f>
        <v/>
      </c>
      <c r="BG29" s="312" t="str">
        <f>IF($B29=0,"",SUMIFS(INPUT_DATA!I:I,INPUT_DATA!$A:$A,$B29,INPUT_DATA!$C:$C,"D"))</f>
        <v/>
      </c>
      <c r="BH29" s="312" t="str">
        <f>IF($B29=0,"",SUMIFS(INPUT_DATA!J:J,INPUT_DATA!$A:$A,$B29,INPUT_DATA!$C:$C,"D"))</f>
        <v/>
      </c>
      <c r="BI29" s="312" t="str">
        <f>IF($B29=0,"",SUMIFS(INPUT_DATA!K:K,INPUT_DATA!$A:$A,$B29,INPUT_DATA!$C:$C,"D"))</f>
        <v/>
      </c>
      <c r="BJ29" s="312" t="str">
        <f>IF($B29=0,"",SUMIFS(INPUT_DATA!L:L,INPUT_DATA!$A:$A,$B29,INPUT_DATA!$C:$C,"D"))</f>
        <v/>
      </c>
      <c r="BK29" s="312" t="str">
        <f>IF($B29=0,"",SUMIFS(INPUT_DATA!M:M,INPUT_DATA!$A:$A,$B29,INPUT_DATA!$C:$C,"D"))</f>
        <v/>
      </c>
      <c r="BL29" s="312" t="str">
        <f>IF($B29=0,"",SUMIFS(INPUT_DATA!N:N,INPUT_DATA!$A:$A,$B29,INPUT_DATA!$C:$C,"D"))</f>
        <v/>
      </c>
      <c r="BM29" s="312" t="str">
        <f>IF($B29=0,"",SUMIFS(INPUT_DATA!O:O,INPUT_DATA!$A:$A,$B29,INPUT_DATA!$C:$C,"D"))</f>
        <v/>
      </c>
      <c r="BN29" s="754" t="str">
        <f t="shared" si="18"/>
        <v/>
      </c>
      <c r="BO29" s="754" t="str">
        <f>IF($B29=0,"",SUMIFS(INPUT_DATA!O:O,INPUT_DATA!$A:$A,$B29,INPUT_DATA!$C:$C,"D"))</f>
        <v/>
      </c>
      <c r="BP29" s="754" t="str">
        <f t="shared" si="19"/>
        <v/>
      </c>
      <c r="BQ29" s="738" t="str">
        <f>IF($B29=0,"",SUMIFS(INPUT_DATA!Q:Q,INPUT_DATA!$A:$A,$B29,INPUT_DATA!$C:$C,"D"))</f>
        <v/>
      </c>
      <c r="BR29" s="760" t="str">
        <f>IF($B29=0,"",SUMIFS(INPUT_DATA!R:R,INPUT_DATA!$A:$A,$B29,INPUT_DATA!$C:$C,"D"))</f>
        <v/>
      </c>
      <c r="BS29" s="760" t="str">
        <f>IF($B29=0,"",SUMIFS(INPUT_DATA!S:S,INPUT_DATA!$A:$A,$B29,INPUT_DATA!$C:$C,"D"))</f>
        <v/>
      </c>
      <c r="BT29" s="312" t="str">
        <f>IF($B29=0,"",SUMIFS(INPUT_DATA!T:T,INPUT_DATA!$A:$A,$B29,INPUT_DATA!$C:$C,"D"))</f>
        <v/>
      </c>
      <c r="BU29" s="312" t="str">
        <f>IF($B29=0,"",SUMIFS(INPUT_DATA!U:U,INPUT_DATA!$A:$A,$B29,INPUT_DATA!$C:$C,"D"))</f>
        <v/>
      </c>
      <c r="BV29" s="312" t="str">
        <f>IF($B29=0,"",SUMIFS(INPUT_DATA!V:V,INPUT_DATA!$A:$A,$B29,INPUT_DATA!$C:$C,"D"))</f>
        <v/>
      </c>
      <c r="BW29" s="312" t="str">
        <f>IF($B29=0,"",SUMIFS(INPUT_DATA!W:W,INPUT_DATA!$A:$A,$B29,INPUT_DATA!$C:$C,"D"))</f>
        <v/>
      </c>
      <c r="BX29" s="312" t="str">
        <f>IF($B29=0,"",SUMIFS(INPUT_DATA!X:X,INPUT_DATA!$A:$A,$B29,INPUT_DATA!$C:$C,"D"))</f>
        <v/>
      </c>
      <c r="BY29" s="312" t="str">
        <f>IF($B29=0,"",SUMIFS(INPUT_DATA!Y:Y,INPUT_DATA!$A:$A,$B29,INPUT_DATA!$C:$C,"D"))</f>
        <v/>
      </c>
      <c r="BZ29" s="353" t="str">
        <f>IF($B29=0,"",SUMIFS(INPUT_DATA!Z:Z,INPUT_DATA!$A:$A,$B29,INPUT_DATA!$C:$C,"D"))</f>
        <v/>
      </c>
      <c r="CA29" s="353" t="str">
        <f>IF($B29=0,"",SUMIFS(INPUT_DATA!AA:AA,INPUT_DATA!$A:$A,$B29,INPUT_DATA!$C:$C,"D"))</f>
        <v/>
      </c>
      <c r="CB29" s="353" t="str">
        <f>IF($B29=0,"",SUMIFS(INPUT_DATA!AB:AB,INPUT_DATA!$A:$A,$B29,INPUT_DATA!$C:$C,"D"))</f>
        <v/>
      </c>
      <c r="CC29" s="312" t="str">
        <f>IF($B29=0,"",SUMIFS(INPUT_DATA!AC:AC,INPUT_DATA!$A:$A,$B29,INPUT_DATA!$C:$C,"D"))</f>
        <v/>
      </c>
      <c r="CD29" s="312" t="str">
        <f>IF($B29=0,"",SUMIFS(INPUT_DATA!AD:AD,INPUT_DATA!$A:$A,$B29,INPUT_DATA!$C:$C,"D"))</f>
        <v/>
      </c>
      <c r="CE29" s="312" t="str">
        <f>IF($B29=0,"",SUMIFS(INPUT_DATA!AE:AE,INPUT_DATA!$A:$A,$B29,INPUT_DATA!$C:$C,"D"))</f>
        <v/>
      </c>
      <c r="CF29" s="353" t="str">
        <f>IF($B29=0,"",SUMIFS(INPUT_DATA!AF:AF,INPUT_DATA!$A:$A,$B29,INPUT_DATA!$C:$C,"D"))</f>
        <v/>
      </c>
      <c r="CG29" s="353" t="str">
        <f>IF($B29=0,"",SUMIFS(INPUT_DATA!AG:AG,INPUT_DATA!$A:$A,$B29,INPUT_DATA!$C:$C,"D"))</f>
        <v/>
      </c>
      <c r="CH29" s="353" t="str">
        <f>IF($B29=0,"",SUMIFS(INPUT_DATA!AH:AH,INPUT_DATA!$A:$A,$B29,INPUT_DATA!$C:$C,"D"))</f>
        <v/>
      </c>
      <c r="CI29" s="153" t="str">
        <f>IF($B29=0,"",SUMIFS(INPUT_DATA!AI:AI,INPUT_DATA!$A:$A,$B29,INPUT_DATA!$C:$C,"D"))</f>
        <v/>
      </c>
      <c r="CJ29" s="153" t="str">
        <f>IF($B29=0,"",SUMIFS(INPUT_DATA!AJ:AJ,INPUT_DATA!$A:$A,$B29,INPUT_DATA!$C:$C,"D"))</f>
        <v/>
      </c>
      <c r="CK29" s="153" t="str">
        <f>IF($B29=0,"",SUMIFS(INPUT_DATA!AK:AK,INPUT_DATA!$A:$A,$B29,INPUT_DATA!$C:$C,"D"))</f>
        <v/>
      </c>
      <c r="CL29" s="153" t="str">
        <f>IF($B29=0,"",SUMIFS(INPUT_DATA!AL:AL,INPUT_DATA!$A:$A,$B29,INPUT_DATA!$C:$C,"D"))</f>
        <v/>
      </c>
      <c r="CM29" s="153" t="str">
        <f>IF($B29=0,"",SUMIFS(INPUT_DATA!AM:AM,INPUT_DATA!$A:$A,$B29,INPUT_DATA!$C:$C,"D"))</f>
        <v/>
      </c>
      <c r="CN29" s="153" t="str">
        <f>IF($B29=0,"",SUMIFS(INPUT_DATA!AN:AN,INPUT_DATA!$A:$A,$B29,INPUT_DATA!$C:$C,"D"))</f>
        <v/>
      </c>
      <c r="CO29" s="153" t="str">
        <f>IF($B29=0,"",SUMIFS(INPUT_DATA!AO:AO,INPUT_DATA!$A:$A,$B29,INPUT_DATA!$C:$C,"D"))</f>
        <v/>
      </c>
      <c r="CP29" s="153" t="str">
        <f>IF($B29=0,"",SUMIFS(INPUT_DATA!AP:AP,INPUT_DATA!$A:$A,$B29,INPUT_DATA!$C:$C,"D"))</f>
        <v/>
      </c>
      <c r="CQ29" s="153" t="str">
        <f>IF($B29=0,"",SUMIFS(INPUT_DATA!AQ:AQ,INPUT_DATA!$A:$A,$B29,INPUT_DATA!$C:$C,"D"))</f>
        <v/>
      </c>
      <c r="CR29" s="750" t="str">
        <f t="shared" si="32"/>
        <v/>
      </c>
      <c r="CS29" s="750" t="str">
        <f t="shared" si="33"/>
        <v/>
      </c>
      <c r="CT29" s="750" t="str">
        <f t="shared" si="34"/>
        <v/>
      </c>
      <c r="CU29" s="739" t="str">
        <f>IF($B29=0,"",SUMIFS(INPUT_DATA!AR:AR,INPUT_DATA!$A:$A,$B29,INPUT_DATA!$C:$C,"D"))</f>
        <v/>
      </c>
      <c r="CV29" s="739" t="str">
        <f>IF($B29=0,"",SUMIFS(INPUT_DATA!AS:AS,INPUT_DATA!$A:$A,$B29,INPUT_DATA!$C:$C,"D"))</f>
        <v/>
      </c>
      <c r="CW29" s="739" t="str">
        <f>IF($B29=0,"",SUMIFS(INPUT_DATA!AT:AT,INPUT_DATA!$A:$A,$B29,INPUT_DATA!$C:$C,"D"))</f>
        <v/>
      </c>
      <c r="CX29" s="739" t="str">
        <f t="shared" si="35"/>
        <v/>
      </c>
      <c r="CY29" s="750" t="str">
        <f t="shared" si="36"/>
        <v/>
      </c>
      <c r="CZ29" s="761" t="str">
        <f t="shared" si="37"/>
        <v/>
      </c>
      <c r="DA29" s="150"/>
    </row>
    <row r="30" spans="2:105" ht="13" x14ac:dyDescent="0.25">
      <c r="B30" s="733">
        <f>INPUT_DATA!BQ17</f>
        <v>0</v>
      </c>
      <c r="C30" s="738" t="str">
        <f>IF($B30=0,"",SUMIFS(INPUT_DATA!D:D,INPUT_DATA!$A:$A,$B30,INPUT_DATA!$C:$C,"S"))</f>
        <v/>
      </c>
      <c r="D30" s="739" t="str">
        <f>IF($B30=0,"",SUMIFS(INPUT_DATA!E:E,INPUT_DATA!$A:$A,$B30,INPUT_DATA!$C:$C,"S"))</f>
        <v/>
      </c>
      <c r="E30" s="740" t="str">
        <f>IF($B30=0,"",SUMIFS(INPUT_DATA!F:F,INPUT_DATA!$A:$A,$B30,INPUT_DATA!$C:$C,"S"))</f>
        <v/>
      </c>
      <c r="F30" s="740" t="str">
        <f>IF($B30=0,"",SUMIFS(INPUT_DATA!G:G,INPUT_DATA!$A:$A,$B30,INPUT_DATA!$C:$C,"S"))</f>
        <v/>
      </c>
      <c r="G30" s="740" t="str">
        <f>IF($B30=0,"",SUMIFS(INPUT_DATA!H:H,INPUT_DATA!$A:$A,$B30,INPUT_DATA!$C:$C,"S"))</f>
        <v/>
      </c>
      <c r="H30" s="740" t="str">
        <f>IF($B30=0,"",SUMIFS(INPUT_DATA!I:I,INPUT_DATA!$A:$A,$B30,INPUT_DATA!$C:$C,"S"))</f>
        <v/>
      </c>
      <c r="I30" s="740" t="str">
        <f>IF($B30=0,"",SUMIFS(INPUT_DATA!J:J,INPUT_DATA!$A:$A,$B30,INPUT_DATA!$C:$C,"S"))</f>
        <v/>
      </c>
      <c r="J30" s="740" t="str">
        <f>IF($B30=0,"",SUMIFS(INPUT_DATA!K:K,INPUT_DATA!$A:$A,$B30,INPUT_DATA!$C:$C,"S"))</f>
        <v/>
      </c>
      <c r="K30" s="740" t="str">
        <f>IF($B30=0,"",SUMIFS(INPUT_DATA!L:L,INPUT_DATA!$A:$A,$B30,INPUT_DATA!$C:$C,"S"))</f>
        <v/>
      </c>
      <c r="L30" s="740" t="str">
        <f>IF($B30=0,"",SUMIFS(INPUT_DATA!M:M,INPUT_DATA!$A:$A,$B30,INPUT_DATA!$C:$C,"S"))</f>
        <v/>
      </c>
      <c r="M30" s="740" t="str">
        <f>IF($B30=0,"",SUMIFS(INPUT_DATA!N:N,INPUT_DATA!$A:$A,$B30,INPUT_DATA!$C:$C,"S"))</f>
        <v/>
      </c>
      <c r="N30" s="740" t="str">
        <f>IF($B30=0,"",SUMIFS(INPUT_DATA!O:O,INPUT_DATA!$A:$A,$B30,INPUT_DATA!$C:$C,"S"))</f>
        <v/>
      </c>
      <c r="O30" s="741" t="str">
        <f t="shared" si="38"/>
        <v/>
      </c>
      <c r="P30" s="742" t="str">
        <f>IF($B30=0,"",SUMIFS(INPUT_DATA!P:P,INPUT_DATA!$A:$A,$B30,INPUT_DATA!$C:$C,"S"))</f>
        <v/>
      </c>
      <c r="Q30" s="742" t="str">
        <f t="shared" si="39"/>
        <v/>
      </c>
      <c r="R30" s="748" t="str">
        <f>IF($B30=0,"",SUMIFS(INPUT_DATA!Q:Q,INPUT_DATA!$A:$A,$B30,INPUT_DATA!$C:$C,"S"))</f>
        <v/>
      </c>
      <c r="S30" s="748" t="str">
        <f>IF($B30=0,"",SUMIFS(INPUT_DATA!R:R,INPUT_DATA!$A:$A,$B30,INPUT_DATA!$C:$C,"S"))</f>
        <v/>
      </c>
      <c r="T30" s="748" t="str">
        <f>IF($B30=0,"",SUMIFS(INPUT_DATA!S:S,INPUT_DATA!$A:$A,$B30,INPUT_DATA!$C:$C,"S"))</f>
        <v/>
      </c>
      <c r="U30" s="313" t="str">
        <f>IF($B30=0,"",SUMIFS(INPUT_DATA!T:T,INPUT_DATA!$A:$A,$B30,INPUT_DATA!$C:$C,"S"))</f>
        <v/>
      </c>
      <c r="V30" s="313" t="str">
        <f>IF($B30=0,"",SUMIFS(INPUT_DATA!U:U,INPUT_DATA!$A:$A,$B30,INPUT_DATA!$C:$C,"S"))</f>
        <v/>
      </c>
      <c r="W30" s="313" t="str">
        <f>IF($B30=0,"",SUMIFS(INPUT_DATA!V:V,INPUT_DATA!$A:$A,$B30,INPUT_DATA!$C:$C,"S"))</f>
        <v/>
      </c>
      <c r="X30" s="313" t="str">
        <f>IF($B30=0,"",SUMIFS(INPUT_DATA!W:W,INPUT_DATA!$A:$A,$B30,INPUT_DATA!$C:$C,"S"))</f>
        <v/>
      </c>
      <c r="Y30" s="313" t="str">
        <f>IF($B30=0,"",SUMIFS(INPUT_DATA!X:X,INPUT_DATA!$A:$A,$B30,INPUT_DATA!$C:$C,"S"))</f>
        <v/>
      </c>
      <c r="Z30" s="313" t="str">
        <f>IF($B30=0,"",SUMIFS(INPUT_DATA!Y:Y,INPUT_DATA!$A:$A,$B30,INPUT_DATA!$C:$C,"S"))</f>
        <v/>
      </c>
      <c r="AA30" s="313" t="str">
        <f>IF($B30=0,"",SUMIFS(INPUT_DATA!Z:Z,INPUT_DATA!$A:$A,$B30,INPUT_DATA!$C:$C,"S"))</f>
        <v/>
      </c>
      <c r="AB30" s="313" t="str">
        <f>IF($B30=0,"",SUMIFS(INPUT_DATA!AA:AA,INPUT_DATA!$A:$A,$B30,INPUT_DATA!$C:$C,"S"))</f>
        <v/>
      </c>
      <c r="AC30" s="313" t="str">
        <f>IF($B30=0,"",SUMIFS(INPUT_DATA!AB:AB,INPUT_DATA!$A:$A,$B30,INPUT_DATA!$C:$C,"S"))</f>
        <v/>
      </c>
      <c r="AD30" s="313" t="str">
        <f>IF($B30=0,"",SUMIFS(INPUT_DATA!AC:AC,INPUT_DATA!$A:$A,$B30,INPUT_DATA!$C:$C,"S"))</f>
        <v/>
      </c>
      <c r="AE30" s="313" t="str">
        <f>IF($B30=0,"",SUMIFS(INPUT_DATA!AD:AD,INPUT_DATA!$A:$A,$B30,INPUT_DATA!$C:$C,"S"))</f>
        <v/>
      </c>
      <c r="AF30" s="313" t="str">
        <f>IF($B30=0,"",SUMIFS(INPUT_DATA!AE:AE,INPUT_DATA!$A:$A,$B30,INPUT_DATA!$C:$C,"S"))</f>
        <v/>
      </c>
      <c r="AG30" s="313" t="str">
        <f>IF($B30=0,"",SUMIFS(INPUT_DATA!AF:AF,INPUT_DATA!$A:$A,$B30,INPUT_DATA!$C:$C,"S"))</f>
        <v/>
      </c>
      <c r="AH30" s="313" t="str">
        <f>IF($B30=0,"",SUMIFS(INPUT_DATA!AG:AG,INPUT_DATA!$A:$A,$B30,INPUT_DATA!$C:$C,"S"))</f>
        <v/>
      </c>
      <c r="AI30" s="313" t="str">
        <f>IF($B30=0,"",SUMIFS(INPUT_DATA!AH:AH,INPUT_DATA!$A:$A,$B30,INPUT_DATA!$C:$C,"S"))</f>
        <v/>
      </c>
      <c r="AJ30" s="313" t="str">
        <f>IF($B30=0,"",SUMIFS(INPUT_DATA!AI:AI,INPUT_DATA!$A:$A,$B30,INPUT_DATA!$C:$C,"S"))</f>
        <v/>
      </c>
      <c r="AK30" s="313" t="str">
        <f>IF($B30=0,"",SUMIFS(INPUT_DATA!AJ:AJ,INPUT_DATA!$A:$A,$B30,INPUT_DATA!$C:$C,"S"))</f>
        <v/>
      </c>
      <c r="AL30" s="313" t="str">
        <f>IF($B30=0,"",SUMIFS(INPUT_DATA!AK:AK,INPUT_DATA!$A:$A,$B30,INPUT_DATA!$C:$C,"S"))</f>
        <v/>
      </c>
      <c r="AM30" s="313" t="str">
        <f>IF($B30=0,"",SUMIFS(INPUT_DATA!AL:AL,INPUT_DATA!$A:$A,$B30,INPUT_DATA!$C:$C,"S"))</f>
        <v/>
      </c>
      <c r="AN30" s="313" t="str">
        <f>IF($B30=0,"",SUMIFS(INPUT_DATA!AM:AM,INPUT_DATA!$A:$A,$B30,INPUT_DATA!$C:$C,"S"))</f>
        <v/>
      </c>
      <c r="AO30" s="313" t="str">
        <f>IF($B30=0,"",SUMIFS(INPUT_DATA!AN:AN,INPUT_DATA!$A:$A,$B30,INPUT_DATA!$C:$C,"S"))</f>
        <v/>
      </c>
      <c r="AP30" s="313" t="str">
        <f>IF($B30=0,"",SUMIFS(INPUT_DATA!AO:AO,INPUT_DATA!$A:$A,$B30,INPUT_DATA!$C:$C,"S"))</f>
        <v/>
      </c>
      <c r="AQ30" s="313" t="str">
        <f>IF($B30=0,"",SUMIFS(INPUT_DATA!AP:AP,INPUT_DATA!$A:$A,$B30,INPUT_DATA!$C:$C,"S"))</f>
        <v/>
      </c>
      <c r="AR30" s="313" t="str">
        <f>IF($B30=0,"",SUMIFS(INPUT_DATA!AQ:AQ,INPUT_DATA!$A:$A,$B30,INPUT_DATA!$C:$C,"S"))</f>
        <v/>
      </c>
      <c r="AS30" s="749" t="str">
        <f t="shared" si="29"/>
        <v/>
      </c>
      <c r="AT30" s="750" t="str">
        <f t="shared" si="30"/>
        <v/>
      </c>
      <c r="AU30" s="751" t="str">
        <f t="shared" si="31"/>
        <v/>
      </c>
      <c r="AV30" s="749" t="str">
        <f>IF($B30=0,"",SUMIFS(INPUT_DATA!AR:AR,INPUT_DATA!$A:$A,$B30,INPUT_DATA!$C:$C,"S"))</f>
        <v/>
      </c>
      <c r="AW30" s="750" t="str">
        <f>IF($B30=0,"",SUMIFS(INPUT_DATA!AS:AS,INPUT_DATA!$A:$A,$B30,INPUT_DATA!$C:$C,"S"))</f>
        <v/>
      </c>
      <c r="AX30" s="751" t="str">
        <f>IF($B30=0,"",SUMIFS(INPUT_DATA!AT:AT,INPUT_DATA!$A:$A,$B30,INPUT_DATA!$C:$C,"S"))</f>
        <v/>
      </c>
      <c r="AY30" s="749" t="str">
        <f t="shared" si="15"/>
        <v/>
      </c>
      <c r="AZ30" s="750" t="str">
        <f t="shared" si="16"/>
        <v/>
      </c>
      <c r="BA30" s="751" t="str">
        <f t="shared" si="17"/>
        <v/>
      </c>
      <c r="BB30" s="150"/>
      <c r="BC30" s="738" t="str">
        <f>IF($B30=0,"",SUMIFS(INPUT_DATA!D:D,INPUT_DATA!$A:$A,$B30,INPUT_DATA!$C:$C,"D"))</f>
        <v/>
      </c>
      <c r="BD30" s="312" t="str">
        <f>IF($B30=0,"",SUMIFS(INPUT_DATA!F:F,INPUT_DATA!$A:$A,$B30,INPUT_DATA!$C:$C,"D"))</f>
        <v/>
      </c>
      <c r="BE30" s="312" t="str">
        <f>IF($B30=0,"",SUMIFS(INPUT_DATA!G:G,INPUT_DATA!$A:$A,$B30,INPUT_DATA!$C:$C,"D"))</f>
        <v/>
      </c>
      <c r="BF30" s="312" t="str">
        <f>IF($B30=0,"",SUMIFS(INPUT_DATA!H:H,INPUT_DATA!$A:$A,$B30,INPUT_DATA!$C:$C,"D"))</f>
        <v/>
      </c>
      <c r="BG30" s="312" t="str">
        <f>IF($B30=0,"",SUMIFS(INPUT_DATA!I:I,INPUT_DATA!$A:$A,$B30,INPUT_DATA!$C:$C,"D"))</f>
        <v/>
      </c>
      <c r="BH30" s="312" t="str">
        <f>IF($B30=0,"",SUMIFS(INPUT_DATA!J:J,INPUT_DATA!$A:$A,$B30,INPUT_DATA!$C:$C,"D"))</f>
        <v/>
      </c>
      <c r="BI30" s="312" t="str">
        <f>IF($B30=0,"",SUMIFS(INPUT_DATA!K:K,INPUT_DATA!$A:$A,$B30,INPUT_DATA!$C:$C,"D"))</f>
        <v/>
      </c>
      <c r="BJ30" s="312" t="str">
        <f>IF($B30=0,"",SUMIFS(INPUT_DATA!L:L,INPUT_DATA!$A:$A,$B30,INPUT_DATA!$C:$C,"D"))</f>
        <v/>
      </c>
      <c r="BK30" s="312" t="str">
        <f>IF($B30=0,"",SUMIFS(INPUT_DATA!M:M,INPUT_DATA!$A:$A,$B30,INPUT_DATA!$C:$C,"D"))</f>
        <v/>
      </c>
      <c r="BL30" s="312" t="str">
        <f>IF($B30=0,"",SUMIFS(INPUT_DATA!N:N,INPUT_DATA!$A:$A,$B30,INPUT_DATA!$C:$C,"D"))</f>
        <v/>
      </c>
      <c r="BM30" s="312" t="str">
        <f>IF($B30=0,"",SUMIFS(INPUT_DATA!O:O,INPUT_DATA!$A:$A,$B30,INPUT_DATA!$C:$C,"D"))</f>
        <v/>
      </c>
      <c r="BN30" s="754" t="str">
        <f t="shared" si="18"/>
        <v/>
      </c>
      <c r="BO30" s="754" t="str">
        <f>IF($B30=0,"",SUMIFS(INPUT_DATA!O:O,INPUT_DATA!$A:$A,$B30,INPUT_DATA!$C:$C,"D"))</f>
        <v/>
      </c>
      <c r="BP30" s="754" t="str">
        <f t="shared" si="19"/>
        <v/>
      </c>
      <c r="BQ30" s="738" t="str">
        <f>IF($B30=0,"",SUMIFS(INPUT_DATA!Q:Q,INPUT_DATA!$A:$A,$B30,INPUT_DATA!$C:$C,"D"))</f>
        <v/>
      </c>
      <c r="BR30" s="760" t="str">
        <f>IF($B30=0,"",SUMIFS(INPUT_DATA!R:R,INPUT_DATA!$A:$A,$B30,INPUT_DATA!$C:$C,"D"))</f>
        <v/>
      </c>
      <c r="BS30" s="760" t="str">
        <f>IF($B30=0,"",SUMIFS(INPUT_DATA!S:S,INPUT_DATA!$A:$A,$B30,INPUT_DATA!$C:$C,"D"))</f>
        <v/>
      </c>
      <c r="BT30" s="312" t="str">
        <f>IF($B30=0,"",SUMIFS(INPUT_DATA!T:T,INPUT_DATA!$A:$A,$B30,INPUT_DATA!$C:$C,"D"))</f>
        <v/>
      </c>
      <c r="BU30" s="312" t="str">
        <f>IF($B30=0,"",SUMIFS(INPUT_DATA!U:U,INPUT_DATA!$A:$A,$B30,INPUT_DATA!$C:$C,"D"))</f>
        <v/>
      </c>
      <c r="BV30" s="312" t="str">
        <f>IF($B30=0,"",SUMIFS(INPUT_DATA!V:V,INPUT_DATA!$A:$A,$B30,INPUT_DATA!$C:$C,"D"))</f>
        <v/>
      </c>
      <c r="BW30" s="312" t="str">
        <f>IF($B30=0,"",SUMIFS(INPUT_DATA!W:W,INPUT_DATA!$A:$A,$B30,INPUT_DATA!$C:$C,"D"))</f>
        <v/>
      </c>
      <c r="BX30" s="312" t="str">
        <f>IF($B30=0,"",SUMIFS(INPUT_DATA!X:X,INPUT_DATA!$A:$A,$B30,INPUT_DATA!$C:$C,"D"))</f>
        <v/>
      </c>
      <c r="BY30" s="312" t="str">
        <f>IF($B30=0,"",SUMIFS(INPUT_DATA!Y:Y,INPUT_DATA!$A:$A,$B30,INPUT_DATA!$C:$C,"D"))</f>
        <v/>
      </c>
      <c r="BZ30" s="353" t="str">
        <f>IF($B30=0,"",SUMIFS(INPUT_DATA!Z:Z,INPUT_DATA!$A:$A,$B30,INPUT_DATA!$C:$C,"D"))</f>
        <v/>
      </c>
      <c r="CA30" s="353" t="str">
        <f>IF($B30=0,"",SUMIFS(INPUT_DATA!AA:AA,INPUT_DATA!$A:$A,$B30,INPUT_DATA!$C:$C,"D"))</f>
        <v/>
      </c>
      <c r="CB30" s="353" t="str">
        <f>IF($B30=0,"",SUMIFS(INPUT_DATA!AB:AB,INPUT_DATA!$A:$A,$B30,INPUT_DATA!$C:$C,"D"))</f>
        <v/>
      </c>
      <c r="CC30" s="312" t="str">
        <f>IF($B30=0,"",SUMIFS(INPUT_DATA!AC:AC,INPUT_DATA!$A:$A,$B30,INPUT_DATA!$C:$C,"D"))</f>
        <v/>
      </c>
      <c r="CD30" s="312" t="str">
        <f>IF($B30=0,"",SUMIFS(INPUT_DATA!AD:AD,INPUT_DATA!$A:$A,$B30,INPUT_DATA!$C:$C,"D"))</f>
        <v/>
      </c>
      <c r="CE30" s="312" t="str">
        <f>IF($B30=0,"",SUMIFS(INPUT_DATA!AE:AE,INPUT_DATA!$A:$A,$B30,INPUT_DATA!$C:$C,"D"))</f>
        <v/>
      </c>
      <c r="CF30" s="353" t="str">
        <f>IF($B30=0,"",SUMIFS(INPUT_DATA!AF:AF,INPUT_DATA!$A:$A,$B30,INPUT_DATA!$C:$C,"D"))</f>
        <v/>
      </c>
      <c r="CG30" s="353" t="str">
        <f>IF($B30=0,"",SUMIFS(INPUT_DATA!AG:AG,INPUT_DATA!$A:$A,$B30,INPUT_DATA!$C:$C,"D"))</f>
        <v/>
      </c>
      <c r="CH30" s="353" t="str">
        <f>IF($B30=0,"",SUMIFS(INPUT_DATA!AH:AH,INPUT_DATA!$A:$A,$B30,INPUT_DATA!$C:$C,"D"))</f>
        <v/>
      </c>
      <c r="CI30" s="153" t="str">
        <f>IF($B30=0,"",SUMIFS(INPUT_DATA!AI:AI,INPUT_DATA!$A:$A,$B30,INPUT_DATA!$C:$C,"D"))</f>
        <v/>
      </c>
      <c r="CJ30" s="153" t="str">
        <f>IF($B30=0,"",SUMIFS(INPUT_DATA!AJ:AJ,INPUT_DATA!$A:$A,$B30,INPUT_DATA!$C:$C,"D"))</f>
        <v/>
      </c>
      <c r="CK30" s="153" t="str">
        <f>IF($B30=0,"",SUMIFS(INPUT_DATA!AK:AK,INPUT_DATA!$A:$A,$B30,INPUT_DATA!$C:$C,"D"))</f>
        <v/>
      </c>
      <c r="CL30" s="153" t="str">
        <f>IF($B30=0,"",SUMIFS(INPUT_DATA!AL:AL,INPUT_DATA!$A:$A,$B30,INPUT_DATA!$C:$C,"D"))</f>
        <v/>
      </c>
      <c r="CM30" s="153" t="str">
        <f>IF($B30=0,"",SUMIFS(INPUT_DATA!AM:AM,INPUT_DATA!$A:$A,$B30,INPUT_DATA!$C:$C,"D"))</f>
        <v/>
      </c>
      <c r="CN30" s="153" t="str">
        <f>IF($B30=0,"",SUMIFS(INPUT_DATA!AN:AN,INPUT_DATA!$A:$A,$B30,INPUT_DATA!$C:$C,"D"))</f>
        <v/>
      </c>
      <c r="CO30" s="153" t="str">
        <f>IF($B30=0,"",SUMIFS(INPUT_DATA!AO:AO,INPUT_DATA!$A:$A,$B30,INPUT_DATA!$C:$C,"D"))</f>
        <v/>
      </c>
      <c r="CP30" s="153" t="str">
        <f>IF($B30=0,"",SUMIFS(INPUT_DATA!AP:AP,INPUT_DATA!$A:$A,$B30,INPUT_DATA!$C:$C,"D"))</f>
        <v/>
      </c>
      <c r="CQ30" s="153" t="str">
        <f>IF($B30=0,"",SUMIFS(INPUT_DATA!AQ:AQ,INPUT_DATA!$A:$A,$B30,INPUT_DATA!$C:$C,"D"))</f>
        <v/>
      </c>
      <c r="CR30" s="750" t="str">
        <f t="shared" si="32"/>
        <v/>
      </c>
      <c r="CS30" s="750" t="str">
        <f t="shared" si="33"/>
        <v/>
      </c>
      <c r="CT30" s="750" t="str">
        <f t="shared" si="34"/>
        <v/>
      </c>
      <c r="CU30" s="739" t="str">
        <f>IF($B30=0,"",SUMIFS(INPUT_DATA!AR:AR,INPUT_DATA!$A:$A,$B30,INPUT_DATA!$C:$C,"D"))</f>
        <v/>
      </c>
      <c r="CV30" s="739" t="str">
        <f>IF($B30=0,"",SUMIFS(INPUT_DATA!AS:AS,INPUT_DATA!$A:$A,$B30,INPUT_DATA!$C:$C,"D"))</f>
        <v/>
      </c>
      <c r="CW30" s="739" t="str">
        <f>IF($B30=0,"",SUMIFS(INPUT_DATA!AT:AT,INPUT_DATA!$A:$A,$B30,INPUT_DATA!$C:$C,"D"))</f>
        <v/>
      </c>
      <c r="CX30" s="739" t="str">
        <f t="shared" si="35"/>
        <v/>
      </c>
      <c r="CY30" s="750" t="str">
        <f t="shared" si="36"/>
        <v/>
      </c>
      <c r="CZ30" s="761" t="str">
        <f t="shared" si="37"/>
        <v/>
      </c>
      <c r="DA30" s="150"/>
    </row>
    <row r="31" spans="2:105" ht="13" x14ac:dyDescent="0.25">
      <c r="B31" s="733">
        <f>INPUT_DATA!BQ18</f>
        <v>0</v>
      </c>
      <c r="C31" s="738" t="str">
        <f>IF($B31=0,"",SUMIFS(INPUT_DATA!D:D,INPUT_DATA!$A:$A,$B31,INPUT_DATA!$C:$C,"S"))</f>
        <v/>
      </c>
      <c r="D31" s="739" t="str">
        <f>IF($B31=0,"",SUMIFS(INPUT_DATA!E:E,INPUT_DATA!$A:$A,$B31,INPUT_DATA!$C:$C,"S"))</f>
        <v/>
      </c>
      <c r="E31" s="740" t="str">
        <f>IF($B31=0,"",SUMIFS(INPUT_DATA!F:F,INPUT_DATA!$A:$A,$B31,INPUT_DATA!$C:$C,"S"))</f>
        <v/>
      </c>
      <c r="F31" s="740" t="str">
        <f>IF($B31=0,"",SUMIFS(INPUT_DATA!G:G,INPUT_DATA!$A:$A,$B31,INPUT_DATA!$C:$C,"S"))</f>
        <v/>
      </c>
      <c r="G31" s="740" t="str">
        <f>IF($B31=0,"",SUMIFS(INPUT_DATA!H:H,INPUT_DATA!$A:$A,$B31,INPUT_DATA!$C:$C,"S"))</f>
        <v/>
      </c>
      <c r="H31" s="740" t="str">
        <f>IF($B31=0,"",SUMIFS(INPUT_DATA!I:I,INPUT_DATA!$A:$A,$B31,INPUT_DATA!$C:$C,"S"))</f>
        <v/>
      </c>
      <c r="I31" s="740" t="str">
        <f>IF($B31=0,"",SUMIFS(INPUT_DATA!J:J,INPUT_DATA!$A:$A,$B31,INPUT_DATA!$C:$C,"S"))</f>
        <v/>
      </c>
      <c r="J31" s="740" t="str">
        <f>IF($B31=0,"",SUMIFS(INPUT_DATA!K:K,INPUT_DATA!$A:$A,$B31,INPUT_DATA!$C:$C,"S"))</f>
        <v/>
      </c>
      <c r="K31" s="740" t="str">
        <f>IF($B31=0,"",SUMIFS(INPUT_DATA!L:L,INPUT_DATA!$A:$A,$B31,INPUT_DATA!$C:$C,"S"))</f>
        <v/>
      </c>
      <c r="L31" s="740" t="str">
        <f>IF($B31=0,"",SUMIFS(INPUT_DATA!M:M,INPUT_DATA!$A:$A,$B31,INPUT_DATA!$C:$C,"S"))</f>
        <v/>
      </c>
      <c r="M31" s="740" t="str">
        <f>IF($B31=0,"",SUMIFS(INPUT_DATA!N:N,INPUT_DATA!$A:$A,$B31,INPUT_DATA!$C:$C,"S"))</f>
        <v/>
      </c>
      <c r="N31" s="740" t="str">
        <f>IF($B31=0,"",SUMIFS(INPUT_DATA!O:O,INPUT_DATA!$A:$A,$B31,INPUT_DATA!$C:$C,"S"))</f>
        <v/>
      </c>
      <c r="O31" s="741" t="str">
        <f t="shared" si="38"/>
        <v/>
      </c>
      <c r="P31" s="742" t="str">
        <f>IF($B31=0,"",SUMIFS(INPUT_DATA!P:P,INPUT_DATA!$A:$A,$B31,INPUT_DATA!$C:$C,"S"))</f>
        <v/>
      </c>
      <c r="Q31" s="742" t="str">
        <f t="shared" si="39"/>
        <v/>
      </c>
      <c r="R31" s="748" t="str">
        <f>IF($B31=0,"",SUMIFS(INPUT_DATA!Q:Q,INPUT_DATA!$A:$A,$B31,INPUT_DATA!$C:$C,"S"))</f>
        <v/>
      </c>
      <c r="S31" s="748" t="str">
        <f>IF($B31=0,"",SUMIFS(INPUT_DATA!R:R,INPUT_DATA!$A:$A,$B31,INPUT_DATA!$C:$C,"S"))</f>
        <v/>
      </c>
      <c r="T31" s="748" t="str">
        <f>IF($B31=0,"",SUMIFS(INPUT_DATA!S:S,INPUT_DATA!$A:$A,$B31,INPUT_DATA!$C:$C,"S"))</f>
        <v/>
      </c>
      <c r="U31" s="313" t="str">
        <f>IF($B31=0,"",SUMIFS(INPUT_DATA!T:T,INPUT_DATA!$A:$A,$B31,INPUT_DATA!$C:$C,"S"))</f>
        <v/>
      </c>
      <c r="V31" s="313" t="str">
        <f>IF($B31=0,"",SUMIFS(INPUT_DATA!U:U,INPUT_DATA!$A:$A,$B31,INPUT_DATA!$C:$C,"S"))</f>
        <v/>
      </c>
      <c r="W31" s="313" t="str">
        <f>IF($B31=0,"",SUMIFS(INPUT_DATA!V:V,INPUT_DATA!$A:$A,$B31,INPUT_DATA!$C:$C,"S"))</f>
        <v/>
      </c>
      <c r="X31" s="313" t="str">
        <f>IF($B31=0,"",SUMIFS(INPUT_DATA!W:W,INPUT_DATA!$A:$A,$B31,INPUT_DATA!$C:$C,"S"))</f>
        <v/>
      </c>
      <c r="Y31" s="313" t="str">
        <f>IF($B31=0,"",SUMIFS(INPUT_DATA!X:X,INPUT_DATA!$A:$A,$B31,INPUT_DATA!$C:$C,"S"))</f>
        <v/>
      </c>
      <c r="Z31" s="313" t="str">
        <f>IF($B31=0,"",SUMIFS(INPUT_DATA!Y:Y,INPUT_DATA!$A:$A,$B31,INPUT_DATA!$C:$C,"S"))</f>
        <v/>
      </c>
      <c r="AA31" s="313" t="str">
        <f>IF($B31=0,"",SUMIFS(INPUT_DATA!Z:Z,INPUT_DATA!$A:$A,$B31,INPUT_DATA!$C:$C,"S"))</f>
        <v/>
      </c>
      <c r="AB31" s="313" t="str">
        <f>IF($B31=0,"",SUMIFS(INPUT_DATA!AA:AA,INPUT_DATA!$A:$A,$B31,INPUT_DATA!$C:$C,"S"))</f>
        <v/>
      </c>
      <c r="AC31" s="313" t="str">
        <f>IF($B31=0,"",SUMIFS(INPUT_DATA!AB:AB,INPUT_DATA!$A:$A,$B31,INPUT_DATA!$C:$C,"S"))</f>
        <v/>
      </c>
      <c r="AD31" s="313" t="str">
        <f>IF($B31=0,"",SUMIFS(INPUT_DATA!AC:AC,INPUT_DATA!$A:$A,$B31,INPUT_DATA!$C:$C,"S"))</f>
        <v/>
      </c>
      <c r="AE31" s="313" t="str">
        <f>IF($B31=0,"",SUMIFS(INPUT_DATA!AD:AD,INPUT_DATA!$A:$A,$B31,INPUT_DATA!$C:$C,"S"))</f>
        <v/>
      </c>
      <c r="AF31" s="313" t="str">
        <f>IF($B31=0,"",SUMIFS(INPUT_DATA!AE:AE,INPUT_DATA!$A:$A,$B31,INPUT_DATA!$C:$C,"S"))</f>
        <v/>
      </c>
      <c r="AG31" s="313" t="str">
        <f>IF($B31=0,"",SUMIFS(INPUT_DATA!AF:AF,INPUT_DATA!$A:$A,$B31,INPUT_DATA!$C:$C,"S"))</f>
        <v/>
      </c>
      <c r="AH31" s="313" t="str">
        <f>IF($B31=0,"",SUMIFS(INPUT_DATA!AG:AG,INPUT_DATA!$A:$A,$B31,INPUT_DATA!$C:$C,"S"))</f>
        <v/>
      </c>
      <c r="AI31" s="313" t="str">
        <f>IF($B31=0,"",SUMIFS(INPUT_DATA!AH:AH,INPUT_DATA!$A:$A,$B31,INPUT_DATA!$C:$C,"S"))</f>
        <v/>
      </c>
      <c r="AJ31" s="313" t="str">
        <f>IF($B31=0,"",SUMIFS(INPUT_DATA!AI:AI,INPUT_DATA!$A:$A,$B31,INPUT_DATA!$C:$C,"S"))</f>
        <v/>
      </c>
      <c r="AK31" s="313" t="str">
        <f>IF($B31=0,"",SUMIFS(INPUT_DATA!AJ:AJ,INPUT_DATA!$A:$A,$B31,INPUT_DATA!$C:$C,"S"))</f>
        <v/>
      </c>
      <c r="AL31" s="313" t="str">
        <f>IF($B31=0,"",SUMIFS(INPUT_DATA!AK:AK,INPUT_DATA!$A:$A,$B31,INPUT_DATA!$C:$C,"S"))</f>
        <v/>
      </c>
      <c r="AM31" s="313" t="str">
        <f>IF($B31=0,"",SUMIFS(INPUT_DATA!AL:AL,INPUT_DATA!$A:$A,$B31,INPUT_DATA!$C:$C,"S"))</f>
        <v/>
      </c>
      <c r="AN31" s="313" t="str">
        <f>IF($B31=0,"",SUMIFS(INPUT_DATA!AM:AM,INPUT_DATA!$A:$A,$B31,INPUT_DATA!$C:$C,"S"))</f>
        <v/>
      </c>
      <c r="AO31" s="313" t="str">
        <f>IF($B31=0,"",SUMIFS(INPUT_DATA!AN:AN,INPUT_DATA!$A:$A,$B31,INPUT_DATA!$C:$C,"S"))</f>
        <v/>
      </c>
      <c r="AP31" s="313" t="str">
        <f>IF($B31=0,"",SUMIFS(INPUT_DATA!AO:AO,INPUT_DATA!$A:$A,$B31,INPUT_DATA!$C:$C,"S"))</f>
        <v/>
      </c>
      <c r="AQ31" s="313" t="str">
        <f>IF($B31=0,"",SUMIFS(INPUT_DATA!AP:AP,INPUT_DATA!$A:$A,$B31,INPUT_DATA!$C:$C,"S"))</f>
        <v/>
      </c>
      <c r="AR31" s="313" t="str">
        <f>IF($B31=0,"",SUMIFS(INPUT_DATA!AQ:AQ,INPUT_DATA!$A:$A,$B31,INPUT_DATA!$C:$C,"S"))</f>
        <v/>
      </c>
      <c r="AS31" s="749" t="str">
        <f t="shared" si="29"/>
        <v/>
      </c>
      <c r="AT31" s="750" t="str">
        <f t="shared" si="30"/>
        <v/>
      </c>
      <c r="AU31" s="751" t="str">
        <f t="shared" si="31"/>
        <v/>
      </c>
      <c r="AV31" s="749" t="str">
        <f>IF($B31=0,"",SUMIFS(INPUT_DATA!AR:AR,INPUT_DATA!$A:$A,$B31,INPUT_DATA!$C:$C,"S"))</f>
        <v/>
      </c>
      <c r="AW31" s="750" t="str">
        <f>IF($B31=0,"",SUMIFS(INPUT_DATA!AS:AS,INPUT_DATA!$A:$A,$B31,INPUT_DATA!$C:$C,"S"))</f>
        <v/>
      </c>
      <c r="AX31" s="751" t="str">
        <f>IF($B31=0,"",SUMIFS(INPUT_DATA!AT:AT,INPUT_DATA!$A:$A,$B31,INPUT_DATA!$C:$C,"S"))</f>
        <v/>
      </c>
      <c r="AY31" s="749" t="str">
        <f t="shared" si="15"/>
        <v/>
      </c>
      <c r="AZ31" s="750" t="str">
        <f t="shared" si="16"/>
        <v/>
      </c>
      <c r="BA31" s="751" t="str">
        <f t="shared" si="17"/>
        <v/>
      </c>
      <c r="BB31" s="150"/>
      <c r="BC31" s="738" t="str">
        <f>IF($B31=0,"",SUMIFS(INPUT_DATA!D:D,INPUT_DATA!$A:$A,$B31,INPUT_DATA!$C:$C,"D"))</f>
        <v/>
      </c>
      <c r="BD31" s="312" t="str">
        <f>IF($B31=0,"",SUMIFS(INPUT_DATA!F:F,INPUT_DATA!$A:$A,$B31,INPUT_DATA!$C:$C,"D"))</f>
        <v/>
      </c>
      <c r="BE31" s="312" t="str">
        <f>IF($B31=0,"",SUMIFS(INPUT_DATA!G:G,INPUT_DATA!$A:$A,$B31,INPUT_DATA!$C:$C,"D"))</f>
        <v/>
      </c>
      <c r="BF31" s="312" t="str">
        <f>IF($B31=0,"",SUMIFS(INPUT_DATA!H:H,INPUT_DATA!$A:$A,$B31,INPUT_DATA!$C:$C,"D"))</f>
        <v/>
      </c>
      <c r="BG31" s="312" t="str">
        <f>IF($B31=0,"",SUMIFS(INPUT_DATA!I:I,INPUT_DATA!$A:$A,$B31,INPUT_DATA!$C:$C,"D"))</f>
        <v/>
      </c>
      <c r="BH31" s="312" t="str">
        <f>IF($B31=0,"",SUMIFS(INPUT_DATA!J:J,INPUT_DATA!$A:$A,$B31,INPUT_DATA!$C:$C,"D"))</f>
        <v/>
      </c>
      <c r="BI31" s="312" t="str">
        <f>IF($B31=0,"",SUMIFS(INPUT_DATA!K:K,INPUT_DATA!$A:$A,$B31,INPUT_DATA!$C:$C,"D"))</f>
        <v/>
      </c>
      <c r="BJ31" s="312" t="str">
        <f>IF($B31=0,"",SUMIFS(INPUT_DATA!L:L,INPUT_DATA!$A:$A,$B31,INPUT_DATA!$C:$C,"D"))</f>
        <v/>
      </c>
      <c r="BK31" s="312" t="str">
        <f>IF($B31=0,"",SUMIFS(INPUT_DATA!M:M,INPUT_DATA!$A:$A,$B31,INPUT_DATA!$C:$C,"D"))</f>
        <v/>
      </c>
      <c r="BL31" s="312" t="str">
        <f>IF($B31=0,"",SUMIFS(INPUT_DATA!N:N,INPUT_DATA!$A:$A,$B31,INPUT_DATA!$C:$C,"D"))</f>
        <v/>
      </c>
      <c r="BM31" s="312" t="str">
        <f>IF($B31=0,"",SUMIFS(INPUT_DATA!O:O,INPUT_DATA!$A:$A,$B31,INPUT_DATA!$C:$C,"D"))</f>
        <v/>
      </c>
      <c r="BN31" s="754" t="str">
        <f t="shared" si="18"/>
        <v/>
      </c>
      <c r="BO31" s="754" t="str">
        <f>IF($B31=0,"",SUMIFS(INPUT_DATA!O:O,INPUT_DATA!$A:$A,$B31,INPUT_DATA!$C:$C,"D"))</f>
        <v/>
      </c>
      <c r="BP31" s="754" t="str">
        <f t="shared" si="19"/>
        <v/>
      </c>
      <c r="BQ31" s="738" t="str">
        <f>IF($B31=0,"",SUMIFS(INPUT_DATA!Q:Q,INPUT_DATA!$A:$A,$B31,INPUT_DATA!$C:$C,"D"))</f>
        <v/>
      </c>
      <c r="BR31" s="760" t="str">
        <f>IF($B31=0,"",SUMIFS(INPUT_DATA!R:R,INPUT_DATA!$A:$A,$B31,INPUT_DATA!$C:$C,"D"))</f>
        <v/>
      </c>
      <c r="BS31" s="760" t="str">
        <f>IF($B31=0,"",SUMIFS(INPUT_DATA!S:S,INPUT_DATA!$A:$A,$B31,INPUT_DATA!$C:$C,"D"))</f>
        <v/>
      </c>
      <c r="BT31" s="312" t="str">
        <f>IF($B31=0,"",SUMIFS(INPUT_DATA!T:T,INPUT_DATA!$A:$A,$B31,INPUT_DATA!$C:$C,"D"))</f>
        <v/>
      </c>
      <c r="BU31" s="312" t="str">
        <f>IF($B31=0,"",SUMIFS(INPUT_DATA!U:U,INPUT_DATA!$A:$A,$B31,INPUT_DATA!$C:$C,"D"))</f>
        <v/>
      </c>
      <c r="BV31" s="312" t="str">
        <f>IF($B31=0,"",SUMIFS(INPUT_DATA!V:V,INPUT_DATA!$A:$A,$B31,INPUT_DATA!$C:$C,"D"))</f>
        <v/>
      </c>
      <c r="BW31" s="312" t="str">
        <f>IF($B31=0,"",SUMIFS(INPUT_DATA!W:W,INPUT_DATA!$A:$A,$B31,INPUT_DATA!$C:$C,"D"))</f>
        <v/>
      </c>
      <c r="BX31" s="312" t="str">
        <f>IF($B31=0,"",SUMIFS(INPUT_DATA!X:X,INPUT_DATA!$A:$A,$B31,INPUT_DATA!$C:$C,"D"))</f>
        <v/>
      </c>
      <c r="BY31" s="312" t="str">
        <f>IF($B31=0,"",SUMIFS(INPUT_DATA!Y:Y,INPUT_DATA!$A:$A,$B31,INPUT_DATA!$C:$C,"D"))</f>
        <v/>
      </c>
      <c r="BZ31" s="353" t="str">
        <f>IF($B31=0,"",SUMIFS(INPUT_DATA!Z:Z,INPUT_DATA!$A:$A,$B31,INPUT_DATA!$C:$C,"D"))</f>
        <v/>
      </c>
      <c r="CA31" s="353" t="str">
        <f>IF($B31=0,"",SUMIFS(INPUT_DATA!AA:AA,INPUT_DATA!$A:$A,$B31,INPUT_DATA!$C:$C,"D"))</f>
        <v/>
      </c>
      <c r="CB31" s="353" t="str">
        <f>IF($B31=0,"",SUMIFS(INPUT_DATA!AB:AB,INPUT_DATA!$A:$A,$B31,INPUT_DATA!$C:$C,"D"))</f>
        <v/>
      </c>
      <c r="CC31" s="312" t="str">
        <f>IF($B31=0,"",SUMIFS(INPUT_DATA!AC:AC,INPUT_DATA!$A:$A,$B31,INPUT_DATA!$C:$C,"D"))</f>
        <v/>
      </c>
      <c r="CD31" s="312" t="str">
        <f>IF($B31=0,"",SUMIFS(INPUT_DATA!AD:AD,INPUT_DATA!$A:$A,$B31,INPUT_DATA!$C:$C,"D"))</f>
        <v/>
      </c>
      <c r="CE31" s="312" t="str">
        <f>IF($B31=0,"",SUMIFS(INPUT_DATA!AE:AE,INPUT_DATA!$A:$A,$B31,INPUT_DATA!$C:$C,"D"))</f>
        <v/>
      </c>
      <c r="CF31" s="353" t="str">
        <f>IF($B31=0,"",SUMIFS(INPUT_DATA!AF:AF,INPUT_DATA!$A:$A,$B31,INPUT_DATA!$C:$C,"D"))</f>
        <v/>
      </c>
      <c r="CG31" s="353" t="str">
        <f>IF($B31=0,"",SUMIFS(INPUT_DATA!AG:AG,INPUT_DATA!$A:$A,$B31,INPUT_DATA!$C:$C,"D"))</f>
        <v/>
      </c>
      <c r="CH31" s="353" t="str">
        <f>IF($B31=0,"",SUMIFS(INPUT_DATA!AH:AH,INPUT_DATA!$A:$A,$B31,INPUT_DATA!$C:$C,"D"))</f>
        <v/>
      </c>
      <c r="CI31" s="153" t="str">
        <f>IF($B31=0,"",SUMIFS(INPUT_DATA!AI:AI,INPUT_DATA!$A:$A,$B31,INPUT_DATA!$C:$C,"D"))</f>
        <v/>
      </c>
      <c r="CJ31" s="153" t="str">
        <f>IF($B31=0,"",SUMIFS(INPUT_DATA!AJ:AJ,INPUT_DATA!$A:$A,$B31,INPUT_DATA!$C:$C,"D"))</f>
        <v/>
      </c>
      <c r="CK31" s="153" t="str">
        <f>IF($B31=0,"",SUMIFS(INPUT_DATA!AK:AK,INPUT_DATA!$A:$A,$B31,INPUT_DATA!$C:$C,"D"))</f>
        <v/>
      </c>
      <c r="CL31" s="153" t="str">
        <f>IF($B31=0,"",SUMIFS(INPUT_DATA!AL:AL,INPUT_DATA!$A:$A,$B31,INPUT_DATA!$C:$C,"D"))</f>
        <v/>
      </c>
      <c r="CM31" s="153" t="str">
        <f>IF($B31=0,"",SUMIFS(INPUT_DATA!AM:AM,INPUT_DATA!$A:$A,$B31,INPUT_DATA!$C:$C,"D"))</f>
        <v/>
      </c>
      <c r="CN31" s="153" t="str">
        <f>IF($B31=0,"",SUMIFS(INPUT_DATA!AN:AN,INPUT_DATA!$A:$A,$B31,INPUT_DATA!$C:$C,"D"))</f>
        <v/>
      </c>
      <c r="CO31" s="153" t="str">
        <f>IF($B31=0,"",SUMIFS(INPUT_DATA!AO:AO,INPUT_DATA!$A:$A,$B31,INPUT_DATA!$C:$C,"D"))</f>
        <v/>
      </c>
      <c r="CP31" s="153" t="str">
        <f>IF($B31=0,"",SUMIFS(INPUT_DATA!AP:AP,INPUT_DATA!$A:$A,$B31,INPUT_DATA!$C:$C,"D"))</f>
        <v/>
      </c>
      <c r="CQ31" s="153" t="str">
        <f>IF($B31=0,"",SUMIFS(INPUT_DATA!AQ:AQ,INPUT_DATA!$A:$A,$B31,INPUT_DATA!$C:$C,"D"))</f>
        <v/>
      </c>
      <c r="CR31" s="750" t="str">
        <f t="shared" si="32"/>
        <v/>
      </c>
      <c r="CS31" s="750" t="str">
        <f t="shared" si="33"/>
        <v/>
      </c>
      <c r="CT31" s="750" t="str">
        <f t="shared" si="34"/>
        <v/>
      </c>
      <c r="CU31" s="739" t="str">
        <f>IF($B31=0,"",SUMIFS(INPUT_DATA!AR:AR,INPUT_DATA!$A:$A,$B31,INPUT_DATA!$C:$C,"D"))</f>
        <v/>
      </c>
      <c r="CV31" s="739" t="str">
        <f>IF($B31=0,"",SUMIFS(INPUT_DATA!AS:AS,INPUT_DATA!$A:$A,$B31,INPUT_DATA!$C:$C,"D"))</f>
        <v/>
      </c>
      <c r="CW31" s="739" t="str">
        <f>IF($B31=0,"",SUMIFS(INPUT_DATA!AT:AT,INPUT_DATA!$A:$A,$B31,INPUT_DATA!$C:$C,"D"))</f>
        <v/>
      </c>
      <c r="CX31" s="739" t="str">
        <f t="shared" si="35"/>
        <v/>
      </c>
      <c r="CY31" s="750" t="str">
        <f t="shared" si="36"/>
        <v/>
      </c>
      <c r="CZ31" s="761" t="str">
        <f t="shared" si="37"/>
        <v/>
      </c>
      <c r="DA31" s="150"/>
    </row>
    <row r="32" spans="2:105" ht="13" x14ac:dyDescent="0.25">
      <c r="B32" s="733">
        <f>INPUT_DATA!BQ19</f>
        <v>0</v>
      </c>
      <c r="C32" s="738" t="str">
        <f>IF($B32=0,"",SUMIFS(INPUT_DATA!D:D,INPUT_DATA!$A:$A,$B32,INPUT_DATA!$C:$C,"S"))</f>
        <v/>
      </c>
      <c r="D32" s="739" t="str">
        <f>IF($B32=0,"",SUMIFS(INPUT_DATA!E:E,INPUT_DATA!$A:$A,$B32,INPUT_DATA!$C:$C,"S"))</f>
        <v/>
      </c>
      <c r="E32" s="740" t="str">
        <f>IF($B32=0,"",SUMIFS(INPUT_DATA!F:F,INPUT_DATA!$A:$A,$B32,INPUT_DATA!$C:$C,"S"))</f>
        <v/>
      </c>
      <c r="F32" s="740" t="str">
        <f>IF($B32=0,"",SUMIFS(INPUT_DATA!G:G,INPUT_DATA!$A:$A,$B32,INPUT_DATA!$C:$C,"S"))</f>
        <v/>
      </c>
      <c r="G32" s="740" t="str">
        <f>IF($B32=0,"",SUMIFS(INPUT_DATA!H:H,INPUT_DATA!$A:$A,$B32,INPUT_DATA!$C:$C,"S"))</f>
        <v/>
      </c>
      <c r="H32" s="740" t="str">
        <f>IF($B32=0,"",SUMIFS(INPUT_DATA!I:I,INPUT_DATA!$A:$A,$B32,INPUT_DATA!$C:$C,"S"))</f>
        <v/>
      </c>
      <c r="I32" s="740" t="str">
        <f>IF($B32=0,"",SUMIFS(INPUT_DATA!J:J,INPUT_DATA!$A:$A,$B32,INPUT_DATA!$C:$C,"S"))</f>
        <v/>
      </c>
      <c r="J32" s="740" t="str">
        <f>IF($B32=0,"",SUMIFS(INPUT_DATA!K:K,INPUT_DATA!$A:$A,$B32,INPUT_DATA!$C:$C,"S"))</f>
        <v/>
      </c>
      <c r="K32" s="740" t="str">
        <f>IF($B32=0,"",SUMIFS(INPUT_DATA!L:L,INPUT_DATA!$A:$A,$B32,INPUT_DATA!$C:$C,"S"))</f>
        <v/>
      </c>
      <c r="L32" s="740" t="str">
        <f>IF($B32=0,"",SUMIFS(INPUT_DATA!M:M,INPUT_DATA!$A:$A,$B32,INPUT_DATA!$C:$C,"S"))</f>
        <v/>
      </c>
      <c r="M32" s="740" t="str">
        <f>IF($B32=0,"",SUMIFS(INPUT_DATA!N:N,INPUT_DATA!$A:$A,$B32,INPUT_DATA!$C:$C,"S"))</f>
        <v/>
      </c>
      <c r="N32" s="740" t="str">
        <f>IF($B32=0,"",SUMIFS(INPUT_DATA!O:O,INPUT_DATA!$A:$A,$B32,INPUT_DATA!$C:$C,"S"))</f>
        <v/>
      </c>
      <c r="O32" s="741" t="str">
        <f t="shared" si="38"/>
        <v/>
      </c>
      <c r="P32" s="742" t="str">
        <f>IF($B32=0,"",SUMIFS(INPUT_DATA!P:P,INPUT_DATA!$A:$A,$B32,INPUT_DATA!$C:$C,"S"))</f>
        <v/>
      </c>
      <c r="Q32" s="742" t="str">
        <f t="shared" si="39"/>
        <v/>
      </c>
      <c r="R32" s="748" t="str">
        <f>IF($B32=0,"",SUMIFS(INPUT_DATA!Q:Q,INPUT_DATA!$A:$A,$B32,INPUT_DATA!$C:$C,"S"))</f>
        <v/>
      </c>
      <c r="S32" s="748" t="str">
        <f>IF($B32=0,"",SUMIFS(INPUT_DATA!R:R,INPUT_DATA!$A:$A,$B32,INPUT_DATA!$C:$C,"S"))</f>
        <v/>
      </c>
      <c r="T32" s="748" t="str">
        <f>IF($B32=0,"",SUMIFS(INPUT_DATA!S:S,INPUT_DATA!$A:$A,$B32,INPUT_DATA!$C:$C,"S"))</f>
        <v/>
      </c>
      <c r="U32" s="313" t="str">
        <f>IF($B32=0,"",SUMIFS(INPUT_DATA!T:T,INPUT_DATA!$A:$A,$B32,INPUT_DATA!$C:$C,"S"))</f>
        <v/>
      </c>
      <c r="V32" s="313" t="str">
        <f>IF($B32=0,"",SUMIFS(INPUT_DATA!U:U,INPUT_DATA!$A:$A,$B32,INPUT_DATA!$C:$C,"S"))</f>
        <v/>
      </c>
      <c r="W32" s="313" t="str">
        <f>IF($B32=0,"",SUMIFS(INPUT_DATA!V:V,INPUT_DATA!$A:$A,$B32,INPUT_DATA!$C:$C,"S"))</f>
        <v/>
      </c>
      <c r="X32" s="313" t="str">
        <f>IF($B32=0,"",SUMIFS(INPUT_DATA!W:W,INPUT_DATA!$A:$A,$B32,INPUT_DATA!$C:$C,"S"))</f>
        <v/>
      </c>
      <c r="Y32" s="313" t="str">
        <f>IF($B32=0,"",SUMIFS(INPUT_DATA!X:X,INPUT_DATA!$A:$A,$B32,INPUT_DATA!$C:$C,"S"))</f>
        <v/>
      </c>
      <c r="Z32" s="313" t="str">
        <f>IF($B32=0,"",SUMIFS(INPUT_DATA!Y:Y,INPUT_DATA!$A:$A,$B32,INPUT_DATA!$C:$C,"S"))</f>
        <v/>
      </c>
      <c r="AA32" s="313" t="str">
        <f>IF($B32=0,"",SUMIFS(INPUT_DATA!Z:Z,INPUT_DATA!$A:$A,$B32,INPUT_DATA!$C:$C,"S"))</f>
        <v/>
      </c>
      <c r="AB32" s="313" t="str">
        <f>IF($B32=0,"",SUMIFS(INPUT_DATA!AA:AA,INPUT_DATA!$A:$A,$B32,INPUT_DATA!$C:$C,"S"))</f>
        <v/>
      </c>
      <c r="AC32" s="313" t="str">
        <f>IF($B32=0,"",SUMIFS(INPUT_DATA!AB:AB,INPUT_DATA!$A:$A,$B32,INPUT_DATA!$C:$C,"S"))</f>
        <v/>
      </c>
      <c r="AD32" s="313" t="str">
        <f>IF($B32=0,"",SUMIFS(INPUT_DATA!AC:AC,INPUT_DATA!$A:$A,$B32,INPUT_DATA!$C:$C,"S"))</f>
        <v/>
      </c>
      <c r="AE32" s="313" t="str">
        <f>IF($B32=0,"",SUMIFS(INPUT_DATA!AD:AD,INPUT_DATA!$A:$A,$B32,INPUT_DATA!$C:$C,"S"))</f>
        <v/>
      </c>
      <c r="AF32" s="313" t="str">
        <f>IF($B32=0,"",SUMIFS(INPUT_DATA!AE:AE,INPUT_DATA!$A:$A,$B32,INPUT_DATA!$C:$C,"S"))</f>
        <v/>
      </c>
      <c r="AG32" s="313" t="str">
        <f>IF($B32=0,"",SUMIFS(INPUT_DATA!AF:AF,INPUT_DATA!$A:$A,$B32,INPUT_DATA!$C:$C,"S"))</f>
        <v/>
      </c>
      <c r="AH32" s="313" t="str">
        <f>IF($B32=0,"",SUMIFS(INPUT_DATA!AG:AG,INPUT_DATA!$A:$A,$B32,INPUT_DATA!$C:$C,"S"))</f>
        <v/>
      </c>
      <c r="AI32" s="313" t="str">
        <f>IF($B32=0,"",SUMIFS(INPUT_DATA!AH:AH,INPUT_DATA!$A:$A,$B32,INPUT_DATA!$C:$C,"S"))</f>
        <v/>
      </c>
      <c r="AJ32" s="313" t="str">
        <f>IF($B32=0,"",SUMIFS(INPUT_DATA!AI:AI,INPUT_DATA!$A:$A,$B32,INPUT_DATA!$C:$C,"S"))</f>
        <v/>
      </c>
      <c r="AK32" s="313" t="str">
        <f>IF($B32=0,"",SUMIFS(INPUT_DATA!AJ:AJ,INPUT_DATA!$A:$A,$B32,INPUT_DATA!$C:$C,"S"))</f>
        <v/>
      </c>
      <c r="AL32" s="313" t="str">
        <f>IF($B32=0,"",SUMIFS(INPUT_DATA!AK:AK,INPUT_DATA!$A:$A,$B32,INPUT_DATA!$C:$C,"S"))</f>
        <v/>
      </c>
      <c r="AM32" s="313" t="str">
        <f>IF($B32=0,"",SUMIFS(INPUT_DATA!AL:AL,INPUT_DATA!$A:$A,$B32,INPUT_DATA!$C:$C,"S"))</f>
        <v/>
      </c>
      <c r="AN32" s="313" t="str">
        <f>IF($B32=0,"",SUMIFS(INPUT_DATA!AM:AM,INPUT_DATA!$A:$A,$B32,INPUT_DATA!$C:$C,"S"))</f>
        <v/>
      </c>
      <c r="AO32" s="313" t="str">
        <f>IF($B32=0,"",SUMIFS(INPUT_DATA!AN:AN,INPUT_DATA!$A:$A,$B32,INPUT_DATA!$C:$C,"S"))</f>
        <v/>
      </c>
      <c r="AP32" s="313" t="str">
        <f>IF($B32=0,"",SUMIFS(INPUT_DATA!AO:AO,INPUT_DATA!$A:$A,$B32,INPUT_DATA!$C:$C,"S"))</f>
        <v/>
      </c>
      <c r="AQ32" s="313" t="str">
        <f>IF($B32=0,"",SUMIFS(INPUT_DATA!AP:AP,INPUT_DATA!$A:$A,$B32,INPUT_DATA!$C:$C,"S"))</f>
        <v/>
      </c>
      <c r="AR32" s="313" t="str">
        <f>IF($B32=0,"",SUMIFS(INPUT_DATA!AQ:AQ,INPUT_DATA!$A:$A,$B32,INPUT_DATA!$C:$C,"S"))</f>
        <v/>
      </c>
      <c r="AS32" s="749" t="str">
        <f t="shared" si="29"/>
        <v/>
      </c>
      <c r="AT32" s="750" t="str">
        <f t="shared" si="30"/>
        <v/>
      </c>
      <c r="AU32" s="751" t="str">
        <f t="shared" si="31"/>
        <v/>
      </c>
      <c r="AV32" s="749" t="str">
        <f>IF($B32=0,"",SUMIFS(INPUT_DATA!AR:AR,INPUT_DATA!$A:$A,$B32,INPUT_DATA!$C:$C,"S"))</f>
        <v/>
      </c>
      <c r="AW32" s="750" t="str">
        <f>IF($B32=0,"",SUMIFS(INPUT_DATA!AS:AS,INPUT_DATA!$A:$A,$B32,INPUT_DATA!$C:$C,"S"))</f>
        <v/>
      </c>
      <c r="AX32" s="751" t="str">
        <f>IF($B32=0,"",SUMIFS(INPUT_DATA!AT:AT,INPUT_DATA!$A:$A,$B32,INPUT_DATA!$C:$C,"S"))</f>
        <v/>
      </c>
      <c r="AY32" s="749" t="str">
        <f t="shared" si="15"/>
        <v/>
      </c>
      <c r="AZ32" s="750" t="str">
        <f t="shared" si="16"/>
        <v/>
      </c>
      <c r="BA32" s="751" t="str">
        <f t="shared" si="17"/>
        <v/>
      </c>
      <c r="BB32" s="150"/>
      <c r="BC32" s="738" t="str">
        <f>IF($B32=0,"",SUMIFS(INPUT_DATA!D:D,INPUT_DATA!$A:$A,$B32,INPUT_DATA!$C:$C,"D"))</f>
        <v/>
      </c>
      <c r="BD32" s="312" t="str">
        <f>IF($B32=0,"",SUMIFS(INPUT_DATA!F:F,INPUT_DATA!$A:$A,$B32,INPUT_DATA!$C:$C,"D"))</f>
        <v/>
      </c>
      <c r="BE32" s="312" t="str">
        <f>IF($B32=0,"",SUMIFS(INPUT_DATA!G:G,INPUT_DATA!$A:$A,$B32,INPUT_DATA!$C:$C,"D"))</f>
        <v/>
      </c>
      <c r="BF32" s="312" t="str">
        <f>IF($B32=0,"",SUMIFS(INPUT_DATA!H:H,INPUT_DATA!$A:$A,$B32,INPUT_DATA!$C:$C,"D"))</f>
        <v/>
      </c>
      <c r="BG32" s="312" t="str">
        <f>IF($B32=0,"",SUMIFS(INPUT_DATA!I:I,INPUT_DATA!$A:$A,$B32,INPUT_DATA!$C:$C,"D"))</f>
        <v/>
      </c>
      <c r="BH32" s="312" t="str">
        <f>IF($B32=0,"",SUMIFS(INPUT_DATA!J:J,INPUT_DATA!$A:$A,$B32,INPUT_DATA!$C:$C,"D"))</f>
        <v/>
      </c>
      <c r="BI32" s="312" t="str">
        <f>IF($B32=0,"",SUMIFS(INPUT_DATA!K:K,INPUT_DATA!$A:$A,$B32,INPUT_DATA!$C:$C,"D"))</f>
        <v/>
      </c>
      <c r="BJ32" s="312" t="str">
        <f>IF($B32=0,"",SUMIFS(INPUT_DATA!L:L,INPUT_DATA!$A:$A,$B32,INPUT_DATA!$C:$C,"D"))</f>
        <v/>
      </c>
      <c r="BK32" s="312" t="str">
        <f>IF($B32=0,"",SUMIFS(INPUT_DATA!M:M,INPUT_DATA!$A:$A,$B32,INPUT_DATA!$C:$C,"D"))</f>
        <v/>
      </c>
      <c r="BL32" s="312" t="str">
        <f>IF($B32=0,"",SUMIFS(INPUT_DATA!N:N,INPUT_DATA!$A:$A,$B32,INPUT_DATA!$C:$C,"D"))</f>
        <v/>
      </c>
      <c r="BM32" s="312" t="str">
        <f>IF($B32=0,"",SUMIFS(INPUT_DATA!O:O,INPUT_DATA!$A:$A,$B32,INPUT_DATA!$C:$C,"D"))</f>
        <v/>
      </c>
      <c r="BN32" s="754" t="str">
        <f t="shared" si="18"/>
        <v/>
      </c>
      <c r="BO32" s="754" t="str">
        <f>IF($B32=0,"",SUMIFS(INPUT_DATA!O:O,INPUT_DATA!$A:$A,$B32,INPUT_DATA!$C:$C,"D"))</f>
        <v/>
      </c>
      <c r="BP32" s="754" t="str">
        <f t="shared" si="19"/>
        <v/>
      </c>
      <c r="BQ32" s="738" t="str">
        <f>IF($B32=0,"",SUMIFS(INPUT_DATA!Q:Q,INPUT_DATA!$A:$A,$B32,INPUT_DATA!$C:$C,"D"))</f>
        <v/>
      </c>
      <c r="BR32" s="760" t="str">
        <f>IF($B32=0,"",SUMIFS(INPUT_DATA!R:R,INPUT_DATA!$A:$A,$B32,INPUT_DATA!$C:$C,"D"))</f>
        <v/>
      </c>
      <c r="BS32" s="760" t="str">
        <f>IF($B32=0,"",SUMIFS(INPUT_DATA!S:S,INPUT_DATA!$A:$A,$B32,INPUT_DATA!$C:$C,"D"))</f>
        <v/>
      </c>
      <c r="BT32" s="312" t="str">
        <f>IF($B32=0,"",SUMIFS(INPUT_DATA!T:T,INPUT_DATA!$A:$A,$B32,INPUT_DATA!$C:$C,"D"))</f>
        <v/>
      </c>
      <c r="BU32" s="312" t="str">
        <f>IF($B32=0,"",SUMIFS(INPUT_DATA!U:U,INPUT_DATA!$A:$A,$B32,INPUT_DATA!$C:$C,"D"))</f>
        <v/>
      </c>
      <c r="BV32" s="312" t="str">
        <f>IF($B32=0,"",SUMIFS(INPUT_DATA!V:V,INPUT_DATA!$A:$A,$B32,INPUT_DATA!$C:$C,"D"))</f>
        <v/>
      </c>
      <c r="BW32" s="312" t="str">
        <f>IF($B32=0,"",SUMIFS(INPUT_DATA!W:W,INPUT_DATA!$A:$A,$B32,INPUT_DATA!$C:$C,"D"))</f>
        <v/>
      </c>
      <c r="BX32" s="312" t="str">
        <f>IF($B32=0,"",SUMIFS(INPUT_DATA!X:X,INPUT_DATA!$A:$A,$B32,INPUT_DATA!$C:$C,"D"))</f>
        <v/>
      </c>
      <c r="BY32" s="312" t="str">
        <f>IF($B32=0,"",SUMIFS(INPUT_DATA!Y:Y,INPUT_DATA!$A:$A,$B32,INPUT_DATA!$C:$C,"D"))</f>
        <v/>
      </c>
      <c r="BZ32" s="353" t="str">
        <f>IF($B32=0,"",SUMIFS(INPUT_DATA!Z:Z,INPUT_DATA!$A:$A,$B32,INPUT_DATA!$C:$C,"D"))</f>
        <v/>
      </c>
      <c r="CA32" s="353" t="str">
        <f>IF($B32=0,"",SUMIFS(INPUT_DATA!AA:AA,INPUT_DATA!$A:$A,$B32,INPUT_DATA!$C:$C,"D"))</f>
        <v/>
      </c>
      <c r="CB32" s="353" t="str">
        <f>IF($B32=0,"",SUMIFS(INPUT_DATA!AB:AB,INPUT_DATA!$A:$A,$B32,INPUT_DATA!$C:$C,"D"))</f>
        <v/>
      </c>
      <c r="CC32" s="312" t="str">
        <f>IF($B32=0,"",SUMIFS(INPUT_DATA!AC:AC,INPUT_DATA!$A:$A,$B32,INPUT_DATA!$C:$C,"D"))</f>
        <v/>
      </c>
      <c r="CD32" s="312" t="str">
        <f>IF($B32=0,"",SUMIFS(INPUT_DATA!AD:AD,INPUT_DATA!$A:$A,$B32,INPUT_DATA!$C:$C,"D"))</f>
        <v/>
      </c>
      <c r="CE32" s="312" t="str">
        <f>IF($B32=0,"",SUMIFS(INPUT_DATA!AE:AE,INPUT_DATA!$A:$A,$B32,INPUT_DATA!$C:$C,"D"))</f>
        <v/>
      </c>
      <c r="CF32" s="353" t="str">
        <f>IF($B32=0,"",SUMIFS(INPUT_DATA!AF:AF,INPUT_DATA!$A:$A,$B32,INPUT_DATA!$C:$C,"D"))</f>
        <v/>
      </c>
      <c r="CG32" s="353" t="str">
        <f>IF($B32=0,"",SUMIFS(INPUT_DATA!AG:AG,INPUT_DATA!$A:$A,$B32,INPUT_DATA!$C:$C,"D"))</f>
        <v/>
      </c>
      <c r="CH32" s="353" t="str">
        <f>IF($B32=0,"",SUMIFS(INPUT_DATA!AH:AH,INPUT_DATA!$A:$A,$B32,INPUT_DATA!$C:$C,"D"))</f>
        <v/>
      </c>
      <c r="CI32" s="153" t="str">
        <f>IF($B32=0,"",SUMIFS(INPUT_DATA!AI:AI,INPUT_DATA!$A:$A,$B32,INPUT_DATA!$C:$C,"D"))</f>
        <v/>
      </c>
      <c r="CJ32" s="153" t="str">
        <f>IF($B32=0,"",SUMIFS(INPUT_DATA!AJ:AJ,INPUT_DATA!$A:$A,$B32,INPUT_DATA!$C:$C,"D"))</f>
        <v/>
      </c>
      <c r="CK32" s="153" t="str">
        <f>IF($B32=0,"",SUMIFS(INPUT_DATA!AK:AK,INPUT_DATA!$A:$A,$B32,INPUT_DATA!$C:$C,"D"))</f>
        <v/>
      </c>
      <c r="CL32" s="153" t="str">
        <f>IF($B32=0,"",SUMIFS(INPUT_DATA!AL:AL,INPUT_DATA!$A:$A,$B32,INPUT_DATA!$C:$C,"D"))</f>
        <v/>
      </c>
      <c r="CM32" s="153" t="str">
        <f>IF($B32=0,"",SUMIFS(INPUT_DATA!AM:AM,INPUT_DATA!$A:$A,$B32,INPUT_DATA!$C:$C,"D"))</f>
        <v/>
      </c>
      <c r="CN32" s="153" t="str">
        <f>IF($B32=0,"",SUMIFS(INPUT_DATA!AN:AN,INPUT_DATA!$A:$A,$B32,INPUT_DATA!$C:$C,"D"))</f>
        <v/>
      </c>
      <c r="CO32" s="153" t="str">
        <f>IF($B32=0,"",SUMIFS(INPUT_DATA!AO:AO,INPUT_DATA!$A:$A,$B32,INPUT_DATA!$C:$C,"D"))</f>
        <v/>
      </c>
      <c r="CP32" s="153" t="str">
        <f>IF($B32=0,"",SUMIFS(INPUT_DATA!AP:AP,INPUT_DATA!$A:$A,$B32,INPUT_DATA!$C:$C,"D"))</f>
        <v/>
      </c>
      <c r="CQ32" s="153" t="str">
        <f>IF($B32=0,"",SUMIFS(INPUT_DATA!AQ:AQ,INPUT_DATA!$A:$A,$B32,INPUT_DATA!$C:$C,"D"))</f>
        <v/>
      </c>
      <c r="CR32" s="750" t="str">
        <f t="shared" si="32"/>
        <v/>
      </c>
      <c r="CS32" s="750" t="str">
        <f t="shared" si="33"/>
        <v/>
      </c>
      <c r="CT32" s="750" t="str">
        <f t="shared" si="34"/>
        <v/>
      </c>
      <c r="CU32" s="739" t="str">
        <f>IF($B32=0,"",SUMIFS(INPUT_DATA!AR:AR,INPUT_DATA!$A:$A,$B32,INPUT_DATA!$C:$C,"D"))</f>
        <v/>
      </c>
      <c r="CV32" s="739" t="str">
        <f>IF($B32=0,"",SUMIFS(INPUT_DATA!AS:AS,INPUT_DATA!$A:$A,$B32,INPUT_DATA!$C:$C,"D"))</f>
        <v/>
      </c>
      <c r="CW32" s="739" t="str">
        <f>IF($B32=0,"",SUMIFS(INPUT_DATA!AT:AT,INPUT_DATA!$A:$A,$B32,INPUT_DATA!$C:$C,"D"))</f>
        <v/>
      </c>
      <c r="CX32" s="739" t="str">
        <f t="shared" si="35"/>
        <v/>
      </c>
      <c r="CY32" s="750" t="str">
        <f t="shared" si="36"/>
        <v/>
      </c>
      <c r="CZ32" s="761" t="str">
        <f t="shared" si="37"/>
        <v/>
      </c>
      <c r="DA32" s="150"/>
    </row>
    <row r="33" spans="1:105" ht="13" x14ac:dyDescent="0.25">
      <c r="B33" s="733">
        <f>INPUT_DATA!BQ20</f>
        <v>0</v>
      </c>
      <c r="C33" s="738" t="str">
        <f>IF($B33=0,"",SUMIFS(INPUT_DATA!D:D,INPUT_DATA!$A:$A,$B33,INPUT_DATA!$C:$C,"S"))</f>
        <v/>
      </c>
      <c r="D33" s="739" t="str">
        <f>IF($B33=0,"",SUMIFS(INPUT_DATA!E:E,INPUT_DATA!$A:$A,$B33,INPUT_DATA!$C:$C,"S"))</f>
        <v/>
      </c>
      <c r="E33" s="740" t="str">
        <f>IF($B33=0,"",SUMIFS(INPUT_DATA!F:F,INPUT_DATA!$A:$A,$B33,INPUT_DATA!$C:$C,"S"))</f>
        <v/>
      </c>
      <c r="F33" s="740" t="str">
        <f>IF($B33=0,"",SUMIFS(INPUT_DATA!G:G,INPUT_DATA!$A:$A,$B33,INPUT_DATA!$C:$C,"S"))</f>
        <v/>
      </c>
      <c r="G33" s="740" t="str">
        <f>IF($B33=0,"",SUMIFS(INPUT_DATA!H:H,INPUT_DATA!$A:$A,$B33,INPUT_DATA!$C:$C,"S"))</f>
        <v/>
      </c>
      <c r="H33" s="740" t="str">
        <f>IF($B33=0,"",SUMIFS(INPUT_DATA!I:I,INPUT_DATA!$A:$A,$B33,INPUT_DATA!$C:$C,"S"))</f>
        <v/>
      </c>
      <c r="I33" s="740" t="str">
        <f>IF($B33=0,"",SUMIFS(INPUT_DATA!J:J,INPUT_DATA!$A:$A,$B33,INPUT_DATA!$C:$C,"S"))</f>
        <v/>
      </c>
      <c r="J33" s="740" t="str">
        <f>IF($B33=0,"",SUMIFS(INPUT_DATA!K:K,INPUT_DATA!$A:$A,$B33,INPUT_DATA!$C:$C,"S"))</f>
        <v/>
      </c>
      <c r="K33" s="740" t="str">
        <f>IF($B33=0,"",SUMIFS(INPUT_DATA!L:L,INPUT_DATA!$A:$A,$B33,INPUT_DATA!$C:$C,"S"))</f>
        <v/>
      </c>
      <c r="L33" s="740" t="str">
        <f>IF($B33=0,"",SUMIFS(INPUT_DATA!M:M,INPUT_DATA!$A:$A,$B33,INPUT_DATA!$C:$C,"S"))</f>
        <v/>
      </c>
      <c r="M33" s="740" t="str">
        <f>IF($B33=0,"",SUMIFS(INPUT_DATA!N:N,INPUT_DATA!$A:$A,$B33,INPUT_DATA!$C:$C,"S"))</f>
        <v/>
      </c>
      <c r="N33" s="740" t="str">
        <f>IF($B33=0,"",SUMIFS(INPUT_DATA!O:O,INPUT_DATA!$A:$A,$B33,INPUT_DATA!$C:$C,"S"))</f>
        <v/>
      </c>
      <c r="O33" s="741" t="str">
        <f t="shared" si="38"/>
        <v/>
      </c>
      <c r="P33" s="742" t="str">
        <f>IF($B33=0,"",SUMIFS(INPUT_DATA!P:P,INPUT_DATA!$A:$A,$B33,INPUT_DATA!$C:$C,"S"))</f>
        <v/>
      </c>
      <c r="Q33" s="742" t="str">
        <f t="shared" si="39"/>
        <v/>
      </c>
      <c r="R33" s="748" t="str">
        <f>IF($B33=0,"",SUMIFS(INPUT_DATA!Q:Q,INPUT_DATA!$A:$A,$B33,INPUT_DATA!$C:$C,"S"))</f>
        <v/>
      </c>
      <c r="S33" s="748" t="str">
        <f>IF($B33=0,"",SUMIFS(INPUT_DATA!R:R,INPUT_DATA!$A:$A,$B33,INPUT_DATA!$C:$C,"S"))</f>
        <v/>
      </c>
      <c r="T33" s="748" t="str">
        <f>IF($B33=0,"",SUMIFS(INPUT_DATA!S:S,INPUT_DATA!$A:$A,$B33,INPUT_DATA!$C:$C,"S"))</f>
        <v/>
      </c>
      <c r="U33" s="313" t="str">
        <f>IF($B33=0,"",SUMIFS(INPUT_DATA!T:T,INPUT_DATA!$A:$A,$B33,INPUT_DATA!$C:$C,"S"))</f>
        <v/>
      </c>
      <c r="V33" s="313" t="str">
        <f>IF($B33=0,"",SUMIFS(INPUT_DATA!U:U,INPUT_DATA!$A:$A,$B33,INPUT_DATA!$C:$C,"S"))</f>
        <v/>
      </c>
      <c r="W33" s="313" t="str">
        <f>IF($B33=0,"",SUMIFS(INPUT_DATA!V:V,INPUT_DATA!$A:$A,$B33,INPUT_DATA!$C:$C,"S"))</f>
        <v/>
      </c>
      <c r="X33" s="313" t="str">
        <f>IF($B33=0,"",SUMIFS(INPUT_DATA!W:W,INPUT_DATA!$A:$A,$B33,INPUT_DATA!$C:$C,"S"))</f>
        <v/>
      </c>
      <c r="Y33" s="313" t="str">
        <f>IF($B33=0,"",SUMIFS(INPUT_DATA!X:X,INPUT_DATA!$A:$A,$B33,INPUT_DATA!$C:$C,"S"))</f>
        <v/>
      </c>
      <c r="Z33" s="313" t="str">
        <f>IF($B33=0,"",SUMIFS(INPUT_DATA!Y:Y,INPUT_DATA!$A:$A,$B33,INPUT_DATA!$C:$C,"S"))</f>
        <v/>
      </c>
      <c r="AA33" s="313" t="str">
        <f>IF($B33=0,"",SUMIFS(INPUT_DATA!Z:Z,INPUT_DATA!$A:$A,$B33,INPUT_DATA!$C:$C,"S"))</f>
        <v/>
      </c>
      <c r="AB33" s="313" t="str">
        <f>IF($B33=0,"",SUMIFS(INPUT_DATA!AA:AA,INPUT_DATA!$A:$A,$B33,INPUT_DATA!$C:$C,"S"))</f>
        <v/>
      </c>
      <c r="AC33" s="313" t="str">
        <f>IF($B33=0,"",SUMIFS(INPUT_DATA!AB:AB,INPUT_DATA!$A:$A,$B33,INPUT_DATA!$C:$C,"S"))</f>
        <v/>
      </c>
      <c r="AD33" s="313" t="str">
        <f>IF($B33=0,"",SUMIFS(INPUT_DATA!AC:AC,INPUT_DATA!$A:$A,$B33,INPUT_DATA!$C:$C,"S"))</f>
        <v/>
      </c>
      <c r="AE33" s="313" t="str">
        <f>IF($B33=0,"",SUMIFS(INPUT_DATA!AD:AD,INPUT_DATA!$A:$A,$B33,INPUT_DATA!$C:$C,"S"))</f>
        <v/>
      </c>
      <c r="AF33" s="313" t="str">
        <f>IF($B33=0,"",SUMIFS(INPUT_DATA!AE:AE,INPUT_DATA!$A:$A,$B33,INPUT_DATA!$C:$C,"S"))</f>
        <v/>
      </c>
      <c r="AG33" s="313" t="str">
        <f>IF($B33=0,"",SUMIFS(INPUT_DATA!AF:AF,INPUT_DATA!$A:$A,$B33,INPUT_DATA!$C:$C,"S"))</f>
        <v/>
      </c>
      <c r="AH33" s="313" t="str">
        <f>IF($B33=0,"",SUMIFS(INPUT_DATA!AG:AG,INPUT_DATA!$A:$A,$B33,INPUT_DATA!$C:$C,"S"))</f>
        <v/>
      </c>
      <c r="AI33" s="313" t="str">
        <f>IF($B33=0,"",SUMIFS(INPUT_DATA!AH:AH,INPUT_DATA!$A:$A,$B33,INPUT_DATA!$C:$C,"S"))</f>
        <v/>
      </c>
      <c r="AJ33" s="313" t="str">
        <f>IF($B33=0,"",SUMIFS(INPUT_DATA!AI:AI,INPUT_DATA!$A:$A,$B33,INPUT_DATA!$C:$C,"S"))</f>
        <v/>
      </c>
      <c r="AK33" s="313" t="str">
        <f>IF($B33=0,"",SUMIFS(INPUT_DATA!AJ:AJ,INPUT_DATA!$A:$A,$B33,INPUT_DATA!$C:$C,"S"))</f>
        <v/>
      </c>
      <c r="AL33" s="313" t="str">
        <f>IF($B33=0,"",SUMIFS(INPUT_DATA!AK:AK,INPUT_DATA!$A:$A,$B33,INPUT_DATA!$C:$C,"S"))</f>
        <v/>
      </c>
      <c r="AM33" s="313" t="str">
        <f>IF($B33=0,"",SUMIFS(INPUT_DATA!AL:AL,INPUT_DATA!$A:$A,$B33,INPUT_DATA!$C:$C,"S"))</f>
        <v/>
      </c>
      <c r="AN33" s="313" t="str">
        <f>IF($B33=0,"",SUMIFS(INPUT_DATA!AM:AM,INPUT_DATA!$A:$A,$B33,INPUT_DATA!$C:$C,"S"))</f>
        <v/>
      </c>
      <c r="AO33" s="313" t="str">
        <f>IF($B33=0,"",SUMIFS(INPUT_DATA!AN:AN,INPUT_DATA!$A:$A,$B33,INPUT_DATA!$C:$C,"S"))</f>
        <v/>
      </c>
      <c r="AP33" s="313" t="str">
        <f>IF($B33=0,"",SUMIFS(INPUT_DATA!AO:AO,INPUT_DATA!$A:$A,$B33,INPUT_DATA!$C:$C,"S"))</f>
        <v/>
      </c>
      <c r="AQ33" s="313" t="str">
        <f>IF($B33=0,"",SUMIFS(INPUT_DATA!AP:AP,INPUT_DATA!$A:$A,$B33,INPUT_DATA!$C:$C,"S"))</f>
        <v/>
      </c>
      <c r="AR33" s="313" t="str">
        <f>IF($B33=0,"",SUMIFS(INPUT_DATA!AQ:AQ,INPUT_DATA!$A:$A,$B33,INPUT_DATA!$C:$C,"S"))</f>
        <v/>
      </c>
      <c r="AS33" s="749" t="str">
        <f t="shared" si="29"/>
        <v/>
      </c>
      <c r="AT33" s="750" t="str">
        <f t="shared" si="30"/>
        <v/>
      </c>
      <c r="AU33" s="751" t="str">
        <f t="shared" si="31"/>
        <v/>
      </c>
      <c r="AV33" s="749" t="str">
        <f>IF($B33=0,"",SUMIFS(INPUT_DATA!AR:AR,INPUT_DATA!$A:$A,$B33,INPUT_DATA!$C:$C,"S"))</f>
        <v/>
      </c>
      <c r="AW33" s="750" t="str">
        <f>IF($B33=0,"",SUMIFS(INPUT_DATA!AS:AS,INPUT_DATA!$A:$A,$B33,INPUT_DATA!$C:$C,"S"))</f>
        <v/>
      </c>
      <c r="AX33" s="751" t="str">
        <f>IF($B33=0,"",SUMIFS(INPUT_DATA!AT:AT,INPUT_DATA!$A:$A,$B33,INPUT_DATA!$C:$C,"S"))</f>
        <v/>
      </c>
      <c r="AY33" s="749" t="str">
        <f t="shared" si="15"/>
        <v/>
      </c>
      <c r="AZ33" s="750" t="str">
        <f t="shared" si="16"/>
        <v/>
      </c>
      <c r="BA33" s="751" t="str">
        <f t="shared" si="17"/>
        <v/>
      </c>
      <c r="BB33" s="150"/>
      <c r="BC33" s="738" t="str">
        <f>IF($B33=0,"",SUMIFS(INPUT_DATA!D:D,INPUT_DATA!$A:$A,$B33,INPUT_DATA!$C:$C,"D"))</f>
        <v/>
      </c>
      <c r="BD33" s="312" t="str">
        <f>IF($B33=0,"",SUMIFS(INPUT_DATA!F:F,INPUT_DATA!$A:$A,$B33,INPUT_DATA!$C:$C,"D"))</f>
        <v/>
      </c>
      <c r="BE33" s="312" t="str">
        <f>IF($B33=0,"",SUMIFS(INPUT_DATA!G:G,INPUT_DATA!$A:$A,$B33,INPUT_DATA!$C:$C,"D"))</f>
        <v/>
      </c>
      <c r="BF33" s="312" t="str">
        <f>IF($B33=0,"",SUMIFS(INPUT_DATA!H:H,INPUT_DATA!$A:$A,$B33,INPUT_DATA!$C:$C,"D"))</f>
        <v/>
      </c>
      <c r="BG33" s="312" t="str">
        <f>IF($B33=0,"",SUMIFS(INPUT_DATA!I:I,INPUT_DATA!$A:$A,$B33,INPUT_DATA!$C:$C,"D"))</f>
        <v/>
      </c>
      <c r="BH33" s="312" t="str">
        <f>IF($B33=0,"",SUMIFS(INPUT_DATA!J:J,INPUT_DATA!$A:$A,$B33,INPUT_DATA!$C:$C,"D"))</f>
        <v/>
      </c>
      <c r="BI33" s="312" t="str">
        <f>IF($B33=0,"",SUMIFS(INPUT_DATA!K:K,INPUT_DATA!$A:$A,$B33,INPUT_DATA!$C:$C,"D"))</f>
        <v/>
      </c>
      <c r="BJ33" s="312" t="str">
        <f>IF($B33=0,"",SUMIFS(INPUT_DATA!L:L,INPUT_DATA!$A:$A,$B33,INPUT_DATA!$C:$C,"D"))</f>
        <v/>
      </c>
      <c r="BK33" s="312" t="str">
        <f>IF($B33=0,"",SUMIFS(INPUT_DATA!M:M,INPUT_DATA!$A:$A,$B33,INPUT_DATA!$C:$C,"D"))</f>
        <v/>
      </c>
      <c r="BL33" s="312" t="str">
        <f>IF($B33=0,"",SUMIFS(INPUT_DATA!N:N,INPUT_DATA!$A:$A,$B33,INPUT_DATA!$C:$C,"D"))</f>
        <v/>
      </c>
      <c r="BM33" s="312" t="str">
        <f>IF($B33=0,"",SUMIFS(INPUT_DATA!O:O,INPUT_DATA!$A:$A,$B33,INPUT_DATA!$C:$C,"D"))</f>
        <v/>
      </c>
      <c r="BN33" s="754" t="str">
        <f t="shared" si="18"/>
        <v/>
      </c>
      <c r="BO33" s="754" t="str">
        <f>IF($B33=0,"",SUMIFS(INPUT_DATA!O:O,INPUT_DATA!$A:$A,$B33,INPUT_DATA!$C:$C,"D"))</f>
        <v/>
      </c>
      <c r="BP33" s="754" t="str">
        <f t="shared" si="19"/>
        <v/>
      </c>
      <c r="BQ33" s="738" t="str">
        <f>IF($B33=0,"",SUMIFS(INPUT_DATA!Q:Q,INPUT_DATA!$A:$A,$B33,INPUT_DATA!$C:$C,"D"))</f>
        <v/>
      </c>
      <c r="BR33" s="760" t="str">
        <f>IF($B33=0,"",SUMIFS(INPUT_DATA!R:R,INPUT_DATA!$A:$A,$B33,INPUT_DATA!$C:$C,"D"))</f>
        <v/>
      </c>
      <c r="BS33" s="760" t="str">
        <f>IF($B33=0,"",SUMIFS(INPUT_DATA!S:S,INPUT_DATA!$A:$A,$B33,INPUT_DATA!$C:$C,"D"))</f>
        <v/>
      </c>
      <c r="BT33" s="312" t="str">
        <f>IF($B33=0,"",SUMIFS(INPUT_DATA!T:T,INPUT_DATA!$A:$A,$B33,INPUT_DATA!$C:$C,"D"))</f>
        <v/>
      </c>
      <c r="BU33" s="312" t="str">
        <f>IF($B33=0,"",SUMIFS(INPUT_DATA!U:U,INPUT_DATA!$A:$A,$B33,INPUT_DATA!$C:$C,"D"))</f>
        <v/>
      </c>
      <c r="BV33" s="312" t="str">
        <f>IF($B33=0,"",SUMIFS(INPUT_DATA!V:V,INPUT_DATA!$A:$A,$B33,INPUT_DATA!$C:$C,"D"))</f>
        <v/>
      </c>
      <c r="BW33" s="312" t="str">
        <f>IF($B33=0,"",SUMIFS(INPUT_DATA!W:W,INPUT_DATA!$A:$A,$B33,INPUT_DATA!$C:$C,"D"))</f>
        <v/>
      </c>
      <c r="BX33" s="312" t="str">
        <f>IF($B33=0,"",SUMIFS(INPUT_DATA!X:X,INPUT_DATA!$A:$A,$B33,INPUT_DATA!$C:$C,"D"))</f>
        <v/>
      </c>
      <c r="BY33" s="312" t="str">
        <f>IF($B33=0,"",SUMIFS(INPUT_DATA!Y:Y,INPUT_DATA!$A:$A,$B33,INPUT_DATA!$C:$C,"D"))</f>
        <v/>
      </c>
      <c r="BZ33" s="353" t="str">
        <f>IF($B33=0,"",SUMIFS(INPUT_DATA!Z:Z,INPUT_DATA!$A:$A,$B33,INPUT_DATA!$C:$C,"D"))</f>
        <v/>
      </c>
      <c r="CA33" s="353" t="str">
        <f>IF($B33=0,"",SUMIFS(INPUT_DATA!AA:AA,INPUT_DATA!$A:$A,$B33,INPUT_DATA!$C:$C,"D"))</f>
        <v/>
      </c>
      <c r="CB33" s="353" t="str">
        <f>IF($B33=0,"",SUMIFS(INPUT_DATA!AB:AB,INPUT_DATA!$A:$A,$B33,INPUT_DATA!$C:$C,"D"))</f>
        <v/>
      </c>
      <c r="CC33" s="312" t="str">
        <f>IF($B33=0,"",SUMIFS(INPUT_DATA!AC:AC,INPUT_DATA!$A:$A,$B33,INPUT_DATA!$C:$C,"D"))</f>
        <v/>
      </c>
      <c r="CD33" s="312" t="str">
        <f>IF($B33=0,"",SUMIFS(INPUT_DATA!AD:AD,INPUT_DATA!$A:$A,$B33,INPUT_DATA!$C:$C,"D"))</f>
        <v/>
      </c>
      <c r="CE33" s="312" t="str">
        <f>IF($B33=0,"",SUMIFS(INPUT_DATA!AE:AE,INPUT_DATA!$A:$A,$B33,INPUT_DATA!$C:$C,"D"))</f>
        <v/>
      </c>
      <c r="CF33" s="353" t="str">
        <f>IF($B33=0,"",SUMIFS(INPUT_DATA!AF:AF,INPUT_DATA!$A:$A,$B33,INPUT_DATA!$C:$C,"D"))</f>
        <v/>
      </c>
      <c r="CG33" s="353" t="str">
        <f>IF($B33=0,"",SUMIFS(INPUT_DATA!AG:AG,INPUT_DATA!$A:$A,$B33,INPUT_DATA!$C:$C,"D"))</f>
        <v/>
      </c>
      <c r="CH33" s="353" t="str">
        <f>IF($B33=0,"",SUMIFS(INPUT_DATA!AH:AH,INPUT_DATA!$A:$A,$B33,INPUT_DATA!$C:$C,"D"))</f>
        <v/>
      </c>
      <c r="CI33" s="153" t="str">
        <f>IF($B33=0,"",SUMIFS(INPUT_DATA!AI:AI,INPUT_DATA!$A:$A,$B33,INPUT_DATA!$C:$C,"D"))</f>
        <v/>
      </c>
      <c r="CJ33" s="153" t="str">
        <f>IF($B33=0,"",SUMIFS(INPUT_DATA!AJ:AJ,INPUT_DATA!$A:$A,$B33,INPUT_DATA!$C:$C,"D"))</f>
        <v/>
      </c>
      <c r="CK33" s="153" t="str">
        <f>IF($B33=0,"",SUMIFS(INPUT_DATA!AK:AK,INPUT_DATA!$A:$A,$B33,INPUT_DATA!$C:$C,"D"))</f>
        <v/>
      </c>
      <c r="CL33" s="153" t="str">
        <f>IF($B33=0,"",SUMIFS(INPUT_DATA!AL:AL,INPUT_DATA!$A:$A,$B33,INPUT_DATA!$C:$C,"D"))</f>
        <v/>
      </c>
      <c r="CM33" s="153" t="str">
        <f>IF($B33=0,"",SUMIFS(INPUT_DATA!AM:AM,INPUT_DATA!$A:$A,$B33,INPUT_DATA!$C:$C,"D"))</f>
        <v/>
      </c>
      <c r="CN33" s="153" t="str">
        <f>IF($B33=0,"",SUMIFS(INPUT_DATA!AN:AN,INPUT_DATA!$A:$A,$B33,INPUT_DATA!$C:$C,"D"))</f>
        <v/>
      </c>
      <c r="CO33" s="153" t="str">
        <f>IF($B33=0,"",SUMIFS(INPUT_DATA!AO:AO,INPUT_DATA!$A:$A,$B33,INPUT_DATA!$C:$C,"D"))</f>
        <v/>
      </c>
      <c r="CP33" s="153" t="str">
        <f>IF($B33=0,"",SUMIFS(INPUT_DATA!AP:AP,INPUT_DATA!$A:$A,$B33,INPUT_DATA!$C:$C,"D"))</f>
        <v/>
      </c>
      <c r="CQ33" s="153" t="str">
        <f>IF($B33=0,"",SUMIFS(INPUT_DATA!AQ:AQ,INPUT_DATA!$A:$A,$B33,INPUT_DATA!$C:$C,"D"))</f>
        <v/>
      </c>
      <c r="CR33" s="750" t="str">
        <f t="shared" si="32"/>
        <v/>
      </c>
      <c r="CS33" s="750" t="str">
        <f t="shared" si="33"/>
        <v/>
      </c>
      <c r="CT33" s="750" t="str">
        <f t="shared" si="34"/>
        <v/>
      </c>
      <c r="CU33" s="739" t="str">
        <f>IF($B33=0,"",SUMIFS(INPUT_DATA!AR:AR,INPUT_DATA!$A:$A,$B33,INPUT_DATA!$C:$C,"D"))</f>
        <v/>
      </c>
      <c r="CV33" s="739" t="str">
        <f>IF($B33=0,"",SUMIFS(INPUT_DATA!AS:AS,INPUT_DATA!$A:$A,$B33,INPUT_DATA!$C:$C,"D"))</f>
        <v/>
      </c>
      <c r="CW33" s="739" t="str">
        <f>IF($B33=0,"",SUMIFS(INPUT_DATA!AT:AT,INPUT_DATA!$A:$A,$B33,INPUT_DATA!$C:$C,"D"))</f>
        <v/>
      </c>
      <c r="CX33" s="739" t="str">
        <f t="shared" si="35"/>
        <v/>
      </c>
      <c r="CY33" s="750" t="str">
        <f t="shared" si="36"/>
        <v/>
      </c>
      <c r="CZ33" s="761" t="str">
        <f t="shared" si="37"/>
        <v/>
      </c>
      <c r="DA33" s="150"/>
    </row>
    <row r="34" spans="1:105" ht="13" x14ac:dyDescent="0.25">
      <c r="B34" s="733">
        <f>INPUT_DATA!BQ21</f>
        <v>0</v>
      </c>
      <c r="C34" s="738" t="str">
        <f>IF($B34=0,"",SUMIFS(INPUT_DATA!D:D,INPUT_DATA!$A:$A,$B34,INPUT_DATA!$C:$C,"S"))</f>
        <v/>
      </c>
      <c r="D34" s="739" t="str">
        <f>IF($B34=0,"",SUMIFS(INPUT_DATA!E:E,INPUT_DATA!$A:$A,$B34,INPUT_DATA!$C:$C,"S"))</f>
        <v/>
      </c>
      <c r="E34" s="740" t="str">
        <f>IF($B34=0,"",SUMIFS(INPUT_DATA!F:F,INPUT_DATA!$A:$A,$B34,INPUT_DATA!$C:$C,"S"))</f>
        <v/>
      </c>
      <c r="F34" s="740" t="str">
        <f>IF($B34=0,"",SUMIFS(INPUT_DATA!G:G,INPUT_DATA!$A:$A,$B34,INPUT_DATA!$C:$C,"S"))</f>
        <v/>
      </c>
      <c r="G34" s="740" t="str">
        <f>IF($B34=0,"",SUMIFS(INPUT_DATA!H:H,INPUT_DATA!$A:$A,$B34,INPUT_DATA!$C:$C,"S"))</f>
        <v/>
      </c>
      <c r="H34" s="740" t="str">
        <f>IF($B34=0,"",SUMIFS(INPUT_DATA!I:I,INPUT_DATA!$A:$A,$B34,INPUT_DATA!$C:$C,"S"))</f>
        <v/>
      </c>
      <c r="I34" s="740" t="str">
        <f>IF($B34=0,"",SUMIFS(INPUT_DATA!J:J,INPUT_DATA!$A:$A,$B34,INPUT_DATA!$C:$C,"S"))</f>
        <v/>
      </c>
      <c r="J34" s="740" t="str">
        <f>IF($B34=0,"",SUMIFS(INPUT_DATA!K:K,INPUT_DATA!$A:$A,$B34,INPUT_DATA!$C:$C,"S"))</f>
        <v/>
      </c>
      <c r="K34" s="740" t="str">
        <f>IF($B34=0,"",SUMIFS(INPUT_DATA!L:L,INPUT_DATA!$A:$A,$B34,INPUT_DATA!$C:$C,"S"))</f>
        <v/>
      </c>
      <c r="L34" s="740" t="str">
        <f>IF($B34=0,"",SUMIFS(INPUT_DATA!M:M,INPUT_DATA!$A:$A,$B34,INPUT_DATA!$C:$C,"S"))</f>
        <v/>
      </c>
      <c r="M34" s="740" t="str">
        <f>IF($B34=0,"",SUMIFS(INPUT_DATA!N:N,INPUT_DATA!$A:$A,$B34,INPUT_DATA!$C:$C,"S"))</f>
        <v/>
      </c>
      <c r="N34" s="740" t="str">
        <f>IF($B34=0,"",SUMIFS(INPUT_DATA!O:O,INPUT_DATA!$A:$A,$B34,INPUT_DATA!$C:$C,"S"))</f>
        <v/>
      </c>
      <c r="O34" s="741" t="str">
        <f t="shared" si="38"/>
        <v/>
      </c>
      <c r="P34" s="742" t="str">
        <f>IF($B34=0,"",SUMIFS(INPUT_DATA!P:P,INPUT_DATA!$A:$A,$B34,INPUT_DATA!$C:$C,"S"))</f>
        <v/>
      </c>
      <c r="Q34" s="742" t="str">
        <f t="shared" si="39"/>
        <v/>
      </c>
      <c r="R34" s="748" t="str">
        <f>IF($B34=0,"",SUMIFS(INPUT_DATA!Q:Q,INPUT_DATA!$A:$A,$B34,INPUT_DATA!$C:$C,"S"))</f>
        <v/>
      </c>
      <c r="S34" s="748" t="str">
        <f>IF($B34=0,"",SUMIFS(INPUT_DATA!R:R,INPUT_DATA!$A:$A,$B34,INPUT_DATA!$C:$C,"S"))</f>
        <v/>
      </c>
      <c r="T34" s="748" t="str">
        <f>IF($B34=0,"",SUMIFS(INPUT_DATA!S:S,INPUT_DATA!$A:$A,$B34,INPUT_DATA!$C:$C,"S"))</f>
        <v/>
      </c>
      <c r="U34" s="313" t="str">
        <f>IF($B34=0,"",SUMIFS(INPUT_DATA!T:T,INPUT_DATA!$A:$A,$B34,INPUT_DATA!$C:$C,"S"))</f>
        <v/>
      </c>
      <c r="V34" s="313" t="str">
        <f>IF($B34=0,"",SUMIFS(INPUT_DATA!U:U,INPUT_DATA!$A:$A,$B34,INPUT_DATA!$C:$C,"S"))</f>
        <v/>
      </c>
      <c r="W34" s="313" t="str">
        <f>IF($B34=0,"",SUMIFS(INPUT_DATA!V:V,INPUT_DATA!$A:$A,$B34,INPUT_DATA!$C:$C,"S"))</f>
        <v/>
      </c>
      <c r="X34" s="313" t="str">
        <f>IF($B34=0,"",SUMIFS(INPUT_DATA!W:W,INPUT_DATA!$A:$A,$B34,INPUT_DATA!$C:$C,"S"))</f>
        <v/>
      </c>
      <c r="Y34" s="313" t="str">
        <f>IF($B34=0,"",SUMIFS(INPUT_DATA!X:X,INPUT_DATA!$A:$A,$B34,INPUT_DATA!$C:$C,"S"))</f>
        <v/>
      </c>
      <c r="Z34" s="313" t="str">
        <f>IF($B34=0,"",SUMIFS(INPUT_DATA!Y:Y,INPUT_DATA!$A:$A,$B34,INPUT_DATA!$C:$C,"S"))</f>
        <v/>
      </c>
      <c r="AA34" s="313" t="str">
        <f>IF($B34=0,"",SUMIFS(INPUT_DATA!Z:Z,INPUT_DATA!$A:$A,$B34,INPUT_DATA!$C:$C,"S"))</f>
        <v/>
      </c>
      <c r="AB34" s="313" t="str">
        <f>IF($B34=0,"",SUMIFS(INPUT_DATA!AA:AA,INPUT_DATA!$A:$A,$B34,INPUT_DATA!$C:$C,"S"))</f>
        <v/>
      </c>
      <c r="AC34" s="313" t="str">
        <f>IF($B34=0,"",SUMIFS(INPUT_DATA!AB:AB,INPUT_DATA!$A:$A,$B34,INPUT_DATA!$C:$C,"S"))</f>
        <v/>
      </c>
      <c r="AD34" s="313" t="str">
        <f>IF($B34=0,"",SUMIFS(INPUT_DATA!AC:AC,INPUT_DATA!$A:$A,$B34,INPUT_DATA!$C:$C,"S"))</f>
        <v/>
      </c>
      <c r="AE34" s="313" t="str">
        <f>IF($B34=0,"",SUMIFS(INPUT_DATA!AD:AD,INPUT_DATA!$A:$A,$B34,INPUT_DATA!$C:$C,"S"))</f>
        <v/>
      </c>
      <c r="AF34" s="313" t="str">
        <f>IF($B34=0,"",SUMIFS(INPUT_DATA!AE:AE,INPUT_DATA!$A:$A,$B34,INPUT_DATA!$C:$C,"S"))</f>
        <v/>
      </c>
      <c r="AG34" s="313" t="str">
        <f>IF($B34=0,"",SUMIFS(INPUT_DATA!AF:AF,INPUT_DATA!$A:$A,$B34,INPUT_DATA!$C:$C,"S"))</f>
        <v/>
      </c>
      <c r="AH34" s="313" t="str">
        <f>IF($B34=0,"",SUMIFS(INPUT_DATA!AG:AG,INPUT_DATA!$A:$A,$B34,INPUT_DATA!$C:$C,"S"))</f>
        <v/>
      </c>
      <c r="AI34" s="313" t="str">
        <f>IF($B34=0,"",SUMIFS(INPUT_DATA!AH:AH,INPUT_DATA!$A:$A,$B34,INPUT_DATA!$C:$C,"S"))</f>
        <v/>
      </c>
      <c r="AJ34" s="313" t="str">
        <f>IF($B34=0,"",SUMIFS(INPUT_DATA!AI:AI,INPUT_DATA!$A:$A,$B34,INPUT_DATA!$C:$C,"S"))</f>
        <v/>
      </c>
      <c r="AK34" s="313" t="str">
        <f>IF($B34=0,"",SUMIFS(INPUT_DATA!AJ:AJ,INPUT_DATA!$A:$A,$B34,INPUT_DATA!$C:$C,"S"))</f>
        <v/>
      </c>
      <c r="AL34" s="313" t="str">
        <f>IF($B34=0,"",SUMIFS(INPUT_DATA!AK:AK,INPUT_DATA!$A:$A,$B34,INPUT_DATA!$C:$C,"S"))</f>
        <v/>
      </c>
      <c r="AM34" s="313" t="str">
        <f>IF($B34=0,"",SUMIFS(INPUT_DATA!AL:AL,INPUT_DATA!$A:$A,$B34,INPUT_DATA!$C:$C,"S"))</f>
        <v/>
      </c>
      <c r="AN34" s="313" t="str">
        <f>IF($B34=0,"",SUMIFS(INPUT_DATA!AM:AM,INPUT_DATA!$A:$A,$B34,INPUT_DATA!$C:$C,"S"))</f>
        <v/>
      </c>
      <c r="AO34" s="313" t="str">
        <f>IF($B34=0,"",SUMIFS(INPUT_DATA!AN:AN,INPUT_DATA!$A:$A,$B34,INPUT_DATA!$C:$C,"S"))</f>
        <v/>
      </c>
      <c r="AP34" s="313" t="str">
        <f>IF($B34=0,"",SUMIFS(INPUT_DATA!AO:AO,INPUT_DATA!$A:$A,$B34,INPUT_DATA!$C:$C,"S"))</f>
        <v/>
      </c>
      <c r="AQ34" s="313" t="str">
        <f>IF($B34=0,"",SUMIFS(INPUT_DATA!AP:AP,INPUT_DATA!$A:$A,$B34,INPUT_DATA!$C:$C,"S"))</f>
        <v/>
      </c>
      <c r="AR34" s="313" t="str">
        <f>IF($B34=0,"",SUMIFS(INPUT_DATA!AQ:AQ,INPUT_DATA!$A:$A,$B34,INPUT_DATA!$C:$C,"S"))</f>
        <v/>
      </c>
      <c r="AS34" s="749" t="str">
        <f t="shared" si="29"/>
        <v/>
      </c>
      <c r="AT34" s="750" t="str">
        <f t="shared" si="30"/>
        <v/>
      </c>
      <c r="AU34" s="751" t="str">
        <f t="shared" si="31"/>
        <v/>
      </c>
      <c r="AV34" s="749" t="str">
        <f>IF($B34=0,"",SUMIFS(INPUT_DATA!AR:AR,INPUT_DATA!$A:$A,$B34,INPUT_DATA!$C:$C,"S"))</f>
        <v/>
      </c>
      <c r="AW34" s="750" t="str">
        <f>IF($B34=0,"",SUMIFS(INPUT_DATA!AS:AS,INPUT_DATA!$A:$A,$B34,INPUT_DATA!$C:$C,"S"))</f>
        <v/>
      </c>
      <c r="AX34" s="751" t="str">
        <f>IF($B34=0,"",SUMIFS(INPUT_DATA!AT:AT,INPUT_DATA!$A:$A,$B34,INPUT_DATA!$C:$C,"S"))</f>
        <v/>
      </c>
      <c r="AY34" s="749" t="str">
        <f t="shared" si="15"/>
        <v/>
      </c>
      <c r="AZ34" s="750" t="str">
        <f t="shared" si="16"/>
        <v/>
      </c>
      <c r="BA34" s="751" t="str">
        <f t="shared" si="17"/>
        <v/>
      </c>
      <c r="BB34" s="150"/>
      <c r="BC34" s="738" t="str">
        <f>IF($B34=0,"",SUMIFS(INPUT_DATA!D:D,INPUT_DATA!$A:$A,$B34,INPUT_DATA!$C:$C,"D"))</f>
        <v/>
      </c>
      <c r="BD34" s="312" t="str">
        <f>IF($B34=0,"",SUMIFS(INPUT_DATA!F:F,INPUT_DATA!$A:$A,$B34,INPUT_DATA!$C:$C,"D"))</f>
        <v/>
      </c>
      <c r="BE34" s="312" t="str">
        <f>IF($B34=0,"",SUMIFS(INPUT_DATA!G:G,INPUT_DATA!$A:$A,$B34,INPUT_DATA!$C:$C,"D"))</f>
        <v/>
      </c>
      <c r="BF34" s="312" t="str">
        <f>IF($B34=0,"",SUMIFS(INPUT_DATA!H:H,INPUT_DATA!$A:$A,$B34,INPUT_DATA!$C:$C,"D"))</f>
        <v/>
      </c>
      <c r="BG34" s="312" t="str">
        <f>IF($B34=0,"",SUMIFS(INPUT_DATA!I:I,INPUT_DATA!$A:$A,$B34,INPUT_DATA!$C:$C,"D"))</f>
        <v/>
      </c>
      <c r="BH34" s="312" t="str">
        <f>IF($B34=0,"",SUMIFS(INPUT_DATA!J:J,INPUT_DATA!$A:$A,$B34,INPUT_DATA!$C:$C,"D"))</f>
        <v/>
      </c>
      <c r="BI34" s="312" t="str">
        <f>IF($B34=0,"",SUMIFS(INPUT_DATA!K:K,INPUT_DATA!$A:$A,$B34,INPUT_DATA!$C:$C,"D"))</f>
        <v/>
      </c>
      <c r="BJ34" s="312" t="str">
        <f>IF($B34=0,"",SUMIFS(INPUT_DATA!L:L,INPUT_DATA!$A:$A,$B34,INPUT_DATA!$C:$C,"D"))</f>
        <v/>
      </c>
      <c r="BK34" s="312" t="str">
        <f>IF($B34=0,"",SUMIFS(INPUT_DATA!M:M,INPUT_DATA!$A:$A,$B34,INPUT_DATA!$C:$C,"D"))</f>
        <v/>
      </c>
      <c r="BL34" s="312" t="str">
        <f>IF($B34=0,"",SUMIFS(INPUT_DATA!N:N,INPUT_DATA!$A:$A,$B34,INPUT_DATA!$C:$C,"D"))</f>
        <v/>
      </c>
      <c r="BM34" s="312" t="str">
        <f>IF($B34=0,"",SUMIFS(INPUT_DATA!O:O,INPUT_DATA!$A:$A,$B34,INPUT_DATA!$C:$C,"D"))</f>
        <v/>
      </c>
      <c r="BN34" s="754" t="str">
        <f t="shared" si="18"/>
        <v/>
      </c>
      <c r="BO34" s="754" t="str">
        <f>IF($B34=0,"",SUMIFS(INPUT_DATA!O:O,INPUT_DATA!$A:$A,$B34,INPUT_DATA!$C:$C,"D"))</f>
        <v/>
      </c>
      <c r="BP34" s="754" t="str">
        <f t="shared" si="19"/>
        <v/>
      </c>
      <c r="BQ34" s="738" t="str">
        <f>IF($B34=0,"",SUMIFS(INPUT_DATA!Q:Q,INPUT_DATA!$A:$A,$B34,INPUT_DATA!$C:$C,"D"))</f>
        <v/>
      </c>
      <c r="BR34" s="760" t="str">
        <f>IF($B34=0,"",SUMIFS(INPUT_DATA!R:R,INPUT_DATA!$A:$A,$B34,INPUT_DATA!$C:$C,"D"))</f>
        <v/>
      </c>
      <c r="BS34" s="760" t="str">
        <f>IF($B34=0,"",SUMIFS(INPUT_DATA!S:S,INPUT_DATA!$A:$A,$B34,INPUT_DATA!$C:$C,"D"))</f>
        <v/>
      </c>
      <c r="BT34" s="312" t="str">
        <f>IF($B34=0,"",SUMIFS(INPUT_DATA!T:T,INPUT_DATA!$A:$A,$B34,INPUT_DATA!$C:$C,"D"))</f>
        <v/>
      </c>
      <c r="BU34" s="312" t="str">
        <f>IF($B34=0,"",SUMIFS(INPUT_DATA!U:U,INPUT_DATA!$A:$A,$B34,INPUT_DATA!$C:$C,"D"))</f>
        <v/>
      </c>
      <c r="BV34" s="312" t="str">
        <f>IF($B34=0,"",SUMIFS(INPUT_DATA!V:V,INPUT_DATA!$A:$A,$B34,INPUT_DATA!$C:$C,"D"))</f>
        <v/>
      </c>
      <c r="BW34" s="312" t="str">
        <f>IF($B34=0,"",SUMIFS(INPUT_DATA!W:W,INPUT_DATA!$A:$A,$B34,INPUT_DATA!$C:$C,"D"))</f>
        <v/>
      </c>
      <c r="BX34" s="312" t="str">
        <f>IF($B34=0,"",SUMIFS(INPUT_DATA!X:X,INPUT_DATA!$A:$A,$B34,INPUT_DATA!$C:$C,"D"))</f>
        <v/>
      </c>
      <c r="BY34" s="312" t="str">
        <f>IF($B34=0,"",SUMIFS(INPUT_DATA!Y:Y,INPUT_DATA!$A:$A,$B34,INPUT_DATA!$C:$C,"D"))</f>
        <v/>
      </c>
      <c r="BZ34" s="353" t="str">
        <f>IF($B34=0,"",SUMIFS(INPUT_DATA!Z:Z,INPUT_DATA!$A:$A,$B34,INPUT_DATA!$C:$C,"D"))</f>
        <v/>
      </c>
      <c r="CA34" s="353" t="str">
        <f>IF($B34=0,"",SUMIFS(INPUT_DATA!AA:AA,INPUT_DATA!$A:$A,$B34,INPUT_DATA!$C:$C,"D"))</f>
        <v/>
      </c>
      <c r="CB34" s="353" t="str">
        <f>IF($B34=0,"",SUMIFS(INPUT_DATA!AB:AB,INPUT_DATA!$A:$A,$B34,INPUT_DATA!$C:$C,"D"))</f>
        <v/>
      </c>
      <c r="CC34" s="312" t="str">
        <f>IF($B34=0,"",SUMIFS(INPUT_DATA!AC:AC,INPUT_DATA!$A:$A,$B34,INPUT_DATA!$C:$C,"D"))</f>
        <v/>
      </c>
      <c r="CD34" s="312" t="str">
        <f>IF($B34=0,"",SUMIFS(INPUT_DATA!AD:AD,INPUT_DATA!$A:$A,$B34,INPUT_DATA!$C:$C,"D"))</f>
        <v/>
      </c>
      <c r="CE34" s="312" t="str">
        <f>IF($B34=0,"",SUMIFS(INPUT_DATA!AE:AE,INPUT_DATA!$A:$A,$B34,INPUT_DATA!$C:$C,"D"))</f>
        <v/>
      </c>
      <c r="CF34" s="353" t="str">
        <f>IF($B34=0,"",SUMIFS(INPUT_DATA!AF:AF,INPUT_DATA!$A:$A,$B34,INPUT_DATA!$C:$C,"D"))</f>
        <v/>
      </c>
      <c r="CG34" s="353" t="str">
        <f>IF($B34=0,"",SUMIFS(INPUT_DATA!AG:AG,INPUT_DATA!$A:$A,$B34,INPUT_DATA!$C:$C,"D"))</f>
        <v/>
      </c>
      <c r="CH34" s="353" t="str">
        <f>IF($B34=0,"",SUMIFS(INPUT_DATA!AH:AH,INPUT_DATA!$A:$A,$B34,INPUT_DATA!$C:$C,"D"))</f>
        <v/>
      </c>
      <c r="CI34" s="153" t="str">
        <f>IF($B34=0,"",SUMIFS(INPUT_DATA!AI:AI,INPUT_DATA!$A:$A,$B34,INPUT_DATA!$C:$C,"D"))</f>
        <v/>
      </c>
      <c r="CJ34" s="153" t="str">
        <f>IF($B34=0,"",SUMIFS(INPUT_DATA!AJ:AJ,INPUT_DATA!$A:$A,$B34,INPUT_DATA!$C:$C,"D"))</f>
        <v/>
      </c>
      <c r="CK34" s="153" t="str">
        <f>IF($B34=0,"",SUMIFS(INPUT_DATA!AK:AK,INPUT_DATA!$A:$A,$B34,INPUT_DATA!$C:$C,"D"))</f>
        <v/>
      </c>
      <c r="CL34" s="153" t="str">
        <f>IF($B34=0,"",SUMIFS(INPUT_DATA!AL:AL,INPUT_DATA!$A:$A,$B34,INPUT_DATA!$C:$C,"D"))</f>
        <v/>
      </c>
      <c r="CM34" s="153" t="str">
        <f>IF($B34=0,"",SUMIFS(INPUT_DATA!AM:AM,INPUT_DATA!$A:$A,$B34,INPUT_DATA!$C:$C,"D"))</f>
        <v/>
      </c>
      <c r="CN34" s="153" t="str">
        <f>IF($B34=0,"",SUMIFS(INPUT_DATA!AN:AN,INPUT_DATA!$A:$A,$B34,INPUT_DATA!$C:$C,"D"))</f>
        <v/>
      </c>
      <c r="CO34" s="153" t="str">
        <f>IF($B34=0,"",SUMIFS(INPUT_DATA!AO:AO,INPUT_DATA!$A:$A,$B34,INPUT_DATA!$C:$C,"D"))</f>
        <v/>
      </c>
      <c r="CP34" s="153" t="str">
        <f>IF($B34=0,"",SUMIFS(INPUT_DATA!AP:AP,INPUT_DATA!$A:$A,$B34,INPUT_DATA!$C:$C,"D"))</f>
        <v/>
      </c>
      <c r="CQ34" s="153" t="str">
        <f>IF($B34=0,"",SUMIFS(INPUT_DATA!AQ:AQ,INPUT_DATA!$A:$A,$B34,INPUT_DATA!$C:$C,"D"))</f>
        <v/>
      </c>
      <c r="CR34" s="750" t="str">
        <f t="shared" si="32"/>
        <v/>
      </c>
      <c r="CS34" s="750" t="str">
        <f t="shared" si="33"/>
        <v/>
      </c>
      <c r="CT34" s="750" t="str">
        <f t="shared" si="34"/>
        <v/>
      </c>
      <c r="CU34" s="739" t="str">
        <f>IF($B34=0,"",SUMIFS(INPUT_DATA!AR:AR,INPUT_DATA!$A:$A,$B34,INPUT_DATA!$C:$C,"D"))</f>
        <v/>
      </c>
      <c r="CV34" s="739" t="str">
        <f>IF($B34=0,"",SUMIFS(INPUT_DATA!AS:AS,INPUT_DATA!$A:$A,$B34,INPUT_DATA!$C:$C,"D"))</f>
        <v/>
      </c>
      <c r="CW34" s="739" t="str">
        <f>IF($B34=0,"",SUMIFS(INPUT_DATA!AT:AT,INPUT_DATA!$A:$A,$B34,INPUT_DATA!$C:$C,"D"))</f>
        <v/>
      </c>
      <c r="CX34" s="739" t="str">
        <f t="shared" si="35"/>
        <v/>
      </c>
      <c r="CY34" s="750" t="str">
        <f t="shared" si="36"/>
        <v/>
      </c>
      <c r="CZ34" s="761" t="str">
        <f t="shared" si="37"/>
        <v/>
      </c>
      <c r="DA34" s="150"/>
    </row>
    <row r="35" spans="1:105" ht="13" x14ac:dyDescent="0.25">
      <c r="B35" s="733">
        <f>INPUT_DATA!BQ22</f>
        <v>0</v>
      </c>
      <c r="C35" s="738" t="str">
        <f>IF($B35=0,"",SUMIFS(INPUT_DATA!D:D,INPUT_DATA!$A:$A,$B35,INPUT_DATA!$C:$C,"S"))</f>
        <v/>
      </c>
      <c r="D35" s="739" t="str">
        <f>IF($B35=0,"",SUMIFS(INPUT_DATA!E:E,INPUT_DATA!$A:$A,$B35,INPUT_DATA!$C:$C,"S"))</f>
        <v/>
      </c>
      <c r="E35" s="740" t="str">
        <f>IF($B35=0,"",SUMIFS(INPUT_DATA!F:F,INPUT_DATA!$A:$A,$B35,INPUT_DATA!$C:$C,"S"))</f>
        <v/>
      </c>
      <c r="F35" s="740" t="str">
        <f>IF($B35=0,"",SUMIFS(INPUT_DATA!G:G,INPUT_DATA!$A:$A,$B35,INPUT_DATA!$C:$C,"S"))</f>
        <v/>
      </c>
      <c r="G35" s="740" t="str">
        <f>IF($B35=0,"",SUMIFS(INPUT_DATA!H:H,INPUT_DATA!$A:$A,$B35,INPUT_DATA!$C:$C,"S"))</f>
        <v/>
      </c>
      <c r="H35" s="740" t="str">
        <f>IF($B35=0,"",SUMIFS(INPUT_DATA!I:I,INPUT_DATA!$A:$A,$B35,INPUT_DATA!$C:$C,"S"))</f>
        <v/>
      </c>
      <c r="I35" s="740" t="str">
        <f>IF($B35=0,"",SUMIFS(INPUT_DATA!J:J,INPUT_DATA!$A:$A,$B35,INPUT_DATA!$C:$C,"S"))</f>
        <v/>
      </c>
      <c r="J35" s="740" t="str">
        <f>IF($B35=0,"",SUMIFS(INPUT_DATA!K:K,INPUT_DATA!$A:$A,$B35,INPUT_DATA!$C:$C,"S"))</f>
        <v/>
      </c>
      <c r="K35" s="740" t="str">
        <f>IF($B35=0,"",SUMIFS(INPUT_DATA!L:L,INPUT_DATA!$A:$A,$B35,INPUT_DATA!$C:$C,"S"))</f>
        <v/>
      </c>
      <c r="L35" s="740" t="str">
        <f>IF($B35=0,"",SUMIFS(INPUT_DATA!M:M,INPUT_DATA!$A:$A,$B35,INPUT_DATA!$C:$C,"S"))</f>
        <v/>
      </c>
      <c r="M35" s="740" t="str">
        <f>IF($B35=0,"",SUMIFS(INPUT_DATA!N:N,INPUT_DATA!$A:$A,$B35,INPUT_DATA!$C:$C,"S"))</f>
        <v/>
      </c>
      <c r="N35" s="740" t="str">
        <f>IF($B35=0,"",SUMIFS(INPUT_DATA!O:O,INPUT_DATA!$A:$A,$B35,INPUT_DATA!$C:$C,"S"))</f>
        <v/>
      </c>
      <c r="O35" s="741" t="str">
        <f t="shared" si="38"/>
        <v/>
      </c>
      <c r="P35" s="742" t="str">
        <f>IF($B35=0,"",SUMIFS(INPUT_DATA!P:P,INPUT_DATA!$A:$A,$B35,INPUT_DATA!$C:$C,"S"))</f>
        <v/>
      </c>
      <c r="Q35" s="742" t="str">
        <f t="shared" si="39"/>
        <v/>
      </c>
      <c r="R35" s="748" t="str">
        <f>IF($B35=0,"",SUMIFS(INPUT_DATA!Q:Q,INPUT_DATA!$A:$A,$B35,INPUT_DATA!$C:$C,"S"))</f>
        <v/>
      </c>
      <c r="S35" s="748" t="str">
        <f>IF($B35=0,"",SUMIFS(INPUT_DATA!R:R,INPUT_DATA!$A:$A,$B35,INPUT_DATA!$C:$C,"S"))</f>
        <v/>
      </c>
      <c r="T35" s="748" t="str">
        <f>IF($B35=0,"",SUMIFS(INPUT_DATA!S:S,INPUT_DATA!$A:$A,$B35,INPUT_DATA!$C:$C,"S"))</f>
        <v/>
      </c>
      <c r="U35" s="313" t="str">
        <f>IF($B35=0,"",SUMIFS(INPUT_DATA!T:T,INPUT_DATA!$A:$A,$B35,INPUT_DATA!$C:$C,"S"))</f>
        <v/>
      </c>
      <c r="V35" s="313" t="str">
        <f>IF($B35=0,"",SUMIFS(INPUT_DATA!U:U,INPUT_DATA!$A:$A,$B35,INPUT_DATA!$C:$C,"S"))</f>
        <v/>
      </c>
      <c r="W35" s="313" t="str">
        <f>IF($B35=0,"",SUMIFS(INPUT_DATA!V:V,INPUT_DATA!$A:$A,$B35,INPUT_DATA!$C:$C,"S"))</f>
        <v/>
      </c>
      <c r="X35" s="313" t="str">
        <f>IF($B35=0,"",SUMIFS(INPUT_DATA!W:W,INPUT_DATA!$A:$A,$B35,INPUT_DATA!$C:$C,"S"))</f>
        <v/>
      </c>
      <c r="Y35" s="313" t="str">
        <f>IF($B35=0,"",SUMIFS(INPUT_DATA!X:X,INPUT_DATA!$A:$A,$B35,INPUT_DATA!$C:$C,"S"))</f>
        <v/>
      </c>
      <c r="Z35" s="313" t="str">
        <f>IF($B35=0,"",SUMIFS(INPUT_DATA!Y:Y,INPUT_DATA!$A:$A,$B35,INPUT_DATA!$C:$C,"S"))</f>
        <v/>
      </c>
      <c r="AA35" s="313" t="str">
        <f>IF($B35=0,"",SUMIFS(INPUT_DATA!Z:Z,INPUT_DATA!$A:$A,$B35,INPUT_DATA!$C:$C,"S"))</f>
        <v/>
      </c>
      <c r="AB35" s="313" t="str">
        <f>IF($B35=0,"",SUMIFS(INPUT_DATA!AA:AA,INPUT_DATA!$A:$A,$B35,INPUT_DATA!$C:$C,"S"))</f>
        <v/>
      </c>
      <c r="AC35" s="313" t="str">
        <f>IF($B35=0,"",SUMIFS(INPUT_DATA!AB:AB,INPUT_DATA!$A:$A,$B35,INPUT_DATA!$C:$C,"S"))</f>
        <v/>
      </c>
      <c r="AD35" s="313" t="str">
        <f>IF($B35=0,"",SUMIFS(INPUT_DATA!AC:AC,INPUT_DATA!$A:$A,$B35,INPUT_DATA!$C:$C,"S"))</f>
        <v/>
      </c>
      <c r="AE35" s="313" t="str">
        <f>IF($B35=0,"",SUMIFS(INPUT_DATA!AD:AD,INPUT_DATA!$A:$A,$B35,INPUT_DATA!$C:$C,"S"))</f>
        <v/>
      </c>
      <c r="AF35" s="313" t="str">
        <f>IF($B35=0,"",SUMIFS(INPUT_DATA!AE:AE,INPUT_DATA!$A:$A,$B35,INPUT_DATA!$C:$C,"S"))</f>
        <v/>
      </c>
      <c r="AG35" s="313" t="str">
        <f>IF($B35=0,"",SUMIFS(INPUT_DATA!AF:AF,INPUT_DATA!$A:$A,$B35,INPUT_DATA!$C:$C,"S"))</f>
        <v/>
      </c>
      <c r="AH35" s="313" t="str">
        <f>IF($B35=0,"",SUMIFS(INPUT_DATA!AG:AG,INPUT_DATA!$A:$A,$B35,INPUT_DATA!$C:$C,"S"))</f>
        <v/>
      </c>
      <c r="AI35" s="313" t="str">
        <f>IF($B35=0,"",SUMIFS(INPUT_DATA!AH:AH,INPUT_DATA!$A:$A,$B35,INPUT_DATA!$C:$C,"S"))</f>
        <v/>
      </c>
      <c r="AJ35" s="313" t="str">
        <f>IF($B35=0,"",SUMIFS(INPUT_DATA!AI:AI,INPUT_DATA!$A:$A,$B35,INPUT_DATA!$C:$C,"S"))</f>
        <v/>
      </c>
      <c r="AK35" s="313" t="str">
        <f>IF($B35=0,"",SUMIFS(INPUT_DATA!AJ:AJ,INPUT_DATA!$A:$A,$B35,INPUT_DATA!$C:$C,"S"))</f>
        <v/>
      </c>
      <c r="AL35" s="313" t="str">
        <f>IF($B35=0,"",SUMIFS(INPUT_DATA!AK:AK,INPUT_DATA!$A:$A,$B35,INPUT_DATA!$C:$C,"S"))</f>
        <v/>
      </c>
      <c r="AM35" s="313" t="str">
        <f>IF($B35=0,"",SUMIFS(INPUT_DATA!AL:AL,INPUT_DATA!$A:$A,$B35,INPUT_DATA!$C:$C,"S"))</f>
        <v/>
      </c>
      <c r="AN35" s="313" t="str">
        <f>IF($B35=0,"",SUMIFS(INPUT_DATA!AM:AM,INPUT_DATA!$A:$A,$B35,INPUT_DATA!$C:$C,"S"))</f>
        <v/>
      </c>
      <c r="AO35" s="313" t="str">
        <f>IF($B35=0,"",SUMIFS(INPUT_DATA!AN:AN,INPUT_DATA!$A:$A,$B35,INPUT_DATA!$C:$C,"S"))</f>
        <v/>
      </c>
      <c r="AP35" s="313" t="str">
        <f>IF($B35=0,"",SUMIFS(INPUT_DATA!AO:AO,INPUT_DATA!$A:$A,$B35,INPUT_DATA!$C:$C,"S"))</f>
        <v/>
      </c>
      <c r="AQ35" s="313" t="str">
        <f>IF($B35=0,"",SUMIFS(INPUT_DATA!AP:AP,INPUT_DATA!$A:$A,$B35,INPUT_DATA!$C:$C,"S"))</f>
        <v/>
      </c>
      <c r="AR35" s="313" t="str">
        <f>IF($B35=0,"",SUMIFS(INPUT_DATA!AQ:AQ,INPUT_DATA!$A:$A,$B35,INPUT_DATA!$C:$C,"S"))</f>
        <v/>
      </c>
      <c r="AS35" s="749" t="str">
        <f t="shared" si="29"/>
        <v/>
      </c>
      <c r="AT35" s="750" t="str">
        <f t="shared" si="30"/>
        <v/>
      </c>
      <c r="AU35" s="751" t="str">
        <f t="shared" si="31"/>
        <v/>
      </c>
      <c r="AV35" s="749" t="str">
        <f>IF($B35=0,"",SUMIFS(INPUT_DATA!AR:AR,INPUT_DATA!$A:$A,$B35,INPUT_DATA!$C:$C,"S"))</f>
        <v/>
      </c>
      <c r="AW35" s="750" t="str">
        <f>IF($B35=0,"",SUMIFS(INPUT_DATA!AS:AS,INPUT_DATA!$A:$A,$B35,INPUT_DATA!$C:$C,"S"))</f>
        <v/>
      </c>
      <c r="AX35" s="751" t="str">
        <f>IF($B35=0,"",SUMIFS(INPUT_DATA!AT:AT,INPUT_DATA!$A:$A,$B35,INPUT_DATA!$C:$C,"S"))</f>
        <v/>
      </c>
      <c r="AY35" s="749" t="str">
        <f t="shared" si="15"/>
        <v/>
      </c>
      <c r="AZ35" s="750" t="str">
        <f t="shared" si="16"/>
        <v/>
      </c>
      <c r="BA35" s="751" t="str">
        <f t="shared" si="17"/>
        <v/>
      </c>
      <c r="BB35" s="150"/>
      <c r="BC35" s="738" t="str">
        <f>IF($B35=0,"",SUMIFS(INPUT_DATA!D:D,INPUT_DATA!$A:$A,$B35,INPUT_DATA!$C:$C,"D"))</f>
        <v/>
      </c>
      <c r="BD35" s="312" t="str">
        <f>IF($B35=0,"",SUMIFS(INPUT_DATA!F:F,INPUT_DATA!$A:$A,$B35,INPUT_DATA!$C:$C,"D"))</f>
        <v/>
      </c>
      <c r="BE35" s="312" t="str">
        <f>IF($B35=0,"",SUMIFS(INPUT_DATA!G:G,INPUT_DATA!$A:$A,$B35,INPUT_DATA!$C:$C,"D"))</f>
        <v/>
      </c>
      <c r="BF35" s="312" t="str">
        <f>IF($B35=0,"",SUMIFS(INPUT_DATA!H:H,INPUT_DATA!$A:$A,$B35,INPUT_DATA!$C:$C,"D"))</f>
        <v/>
      </c>
      <c r="BG35" s="312" t="str">
        <f>IF($B35=0,"",SUMIFS(INPUT_DATA!I:I,INPUT_DATA!$A:$A,$B35,INPUT_DATA!$C:$C,"D"))</f>
        <v/>
      </c>
      <c r="BH35" s="312" t="str">
        <f>IF($B35=0,"",SUMIFS(INPUT_DATA!J:J,INPUT_DATA!$A:$A,$B35,INPUT_DATA!$C:$C,"D"))</f>
        <v/>
      </c>
      <c r="BI35" s="312" t="str">
        <f>IF($B35=0,"",SUMIFS(INPUT_DATA!K:K,INPUT_DATA!$A:$A,$B35,INPUT_DATA!$C:$C,"D"))</f>
        <v/>
      </c>
      <c r="BJ35" s="312" t="str">
        <f>IF($B35=0,"",SUMIFS(INPUT_DATA!L:L,INPUT_DATA!$A:$A,$B35,INPUT_DATA!$C:$C,"D"))</f>
        <v/>
      </c>
      <c r="BK35" s="312" t="str">
        <f>IF($B35=0,"",SUMIFS(INPUT_DATA!M:M,INPUT_DATA!$A:$A,$B35,INPUT_DATA!$C:$C,"D"))</f>
        <v/>
      </c>
      <c r="BL35" s="312" t="str">
        <f>IF($B35=0,"",SUMIFS(INPUT_DATA!N:N,INPUT_DATA!$A:$A,$B35,INPUT_DATA!$C:$C,"D"))</f>
        <v/>
      </c>
      <c r="BM35" s="312" t="str">
        <f>IF($B35=0,"",SUMIFS(INPUT_DATA!O:O,INPUT_DATA!$A:$A,$B35,INPUT_DATA!$C:$C,"D"))</f>
        <v/>
      </c>
      <c r="BN35" s="754" t="str">
        <f t="shared" si="18"/>
        <v/>
      </c>
      <c r="BO35" s="754" t="str">
        <f>IF($B35=0,"",SUMIFS(INPUT_DATA!O:O,INPUT_DATA!$A:$A,$B35,INPUT_DATA!$C:$C,"D"))</f>
        <v/>
      </c>
      <c r="BP35" s="754" t="str">
        <f t="shared" si="19"/>
        <v/>
      </c>
      <c r="BQ35" s="738" t="str">
        <f>IF($B35=0,"",SUMIFS(INPUT_DATA!Q:Q,INPUT_DATA!$A:$A,$B35,INPUT_DATA!$C:$C,"D"))</f>
        <v/>
      </c>
      <c r="BR35" s="760" t="str">
        <f>IF($B35=0,"",SUMIFS(INPUT_DATA!R:R,INPUT_DATA!$A:$A,$B35,INPUT_DATA!$C:$C,"D"))</f>
        <v/>
      </c>
      <c r="BS35" s="760" t="str">
        <f>IF($B35=0,"",SUMIFS(INPUT_DATA!S:S,INPUT_DATA!$A:$A,$B35,INPUT_DATA!$C:$C,"D"))</f>
        <v/>
      </c>
      <c r="BT35" s="312" t="str">
        <f>IF($B35=0,"",SUMIFS(INPUT_DATA!T:T,INPUT_DATA!$A:$A,$B35,INPUT_DATA!$C:$C,"D"))</f>
        <v/>
      </c>
      <c r="BU35" s="312" t="str">
        <f>IF($B35=0,"",SUMIFS(INPUT_DATA!U:U,INPUT_DATA!$A:$A,$B35,INPUT_DATA!$C:$C,"D"))</f>
        <v/>
      </c>
      <c r="BV35" s="312" t="str">
        <f>IF($B35=0,"",SUMIFS(INPUT_DATA!V:V,INPUT_DATA!$A:$A,$B35,INPUT_DATA!$C:$C,"D"))</f>
        <v/>
      </c>
      <c r="BW35" s="312" t="str">
        <f>IF($B35=0,"",SUMIFS(INPUT_DATA!W:W,INPUT_DATA!$A:$A,$B35,INPUT_DATA!$C:$C,"D"))</f>
        <v/>
      </c>
      <c r="BX35" s="312" t="str">
        <f>IF($B35=0,"",SUMIFS(INPUT_DATA!X:X,INPUT_DATA!$A:$A,$B35,INPUT_DATA!$C:$C,"D"))</f>
        <v/>
      </c>
      <c r="BY35" s="312" t="str">
        <f>IF($B35=0,"",SUMIFS(INPUT_DATA!Y:Y,INPUT_DATA!$A:$A,$B35,INPUT_DATA!$C:$C,"D"))</f>
        <v/>
      </c>
      <c r="BZ35" s="353" t="str">
        <f>IF($B35=0,"",SUMIFS(INPUT_DATA!Z:Z,INPUT_DATA!$A:$A,$B35,INPUT_DATA!$C:$C,"D"))</f>
        <v/>
      </c>
      <c r="CA35" s="353" t="str">
        <f>IF($B35=0,"",SUMIFS(INPUT_DATA!AA:AA,INPUT_DATA!$A:$A,$B35,INPUT_DATA!$C:$C,"D"))</f>
        <v/>
      </c>
      <c r="CB35" s="353" t="str">
        <f>IF($B35=0,"",SUMIFS(INPUT_DATA!AB:AB,INPUT_DATA!$A:$A,$B35,INPUT_DATA!$C:$C,"D"))</f>
        <v/>
      </c>
      <c r="CC35" s="312" t="str">
        <f>IF($B35=0,"",SUMIFS(INPUT_DATA!AC:AC,INPUT_DATA!$A:$A,$B35,INPUT_DATA!$C:$C,"D"))</f>
        <v/>
      </c>
      <c r="CD35" s="312" t="str">
        <f>IF($B35=0,"",SUMIFS(INPUT_DATA!AD:AD,INPUT_DATA!$A:$A,$B35,INPUT_DATA!$C:$C,"D"))</f>
        <v/>
      </c>
      <c r="CE35" s="312" t="str">
        <f>IF($B35=0,"",SUMIFS(INPUT_DATA!AE:AE,INPUT_DATA!$A:$A,$B35,INPUT_DATA!$C:$C,"D"))</f>
        <v/>
      </c>
      <c r="CF35" s="353" t="str">
        <f>IF($B35=0,"",SUMIFS(INPUT_DATA!AF:AF,INPUT_DATA!$A:$A,$B35,INPUT_DATA!$C:$C,"D"))</f>
        <v/>
      </c>
      <c r="CG35" s="353" t="str">
        <f>IF($B35=0,"",SUMIFS(INPUT_DATA!AG:AG,INPUT_DATA!$A:$A,$B35,INPUT_DATA!$C:$C,"D"))</f>
        <v/>
      </c>
      <c r="CH35" s="353" t="str">
        <f>IF($B35=0,"",SUMIFS(INPUT_DATA!AH:AH,INPUT_DATA!$A:$A,$B35,INPUT_DATA!$C:$C,"D"))</f>
        <v/>
      </c>
      <c r="CI35" s="153" t="str">
        <f>IF($B35=0,"",SUMIFS(INPUT_DATA!AI:AI,INPUT_DATA!$A:$A,$B35,INPUT_DATA!$C:$C,"D"))</f>
        <v/>
      </c>
      <c r="CJ35" s="153" t="str">
        <f>IF($B35=0,"",SUMIFS(INPUT_DATA!AJ:AJ,INPUT_DATA!$A:$A,$B35,INPUT_DATA!$C:$C,"D"))</f>
        <v/>
      </c>
      <c r="CK35" s="153" t="str">
        <f>IF($B35=0,"",SUMIFS(INPUT_DATA!AK:AK,INPUT_DATA!$A:$A,$B35,INPUT_DATA!$C:$C,"D"))</f>
        <v/>
      </c>
      <c r="CL35" s="153" t="str">
        <f>IF($B35=0,"",SUMIFS(INPUT_DATA!AL:AL,INPUT_DATA!$A:$A,$B35,INPUT_DATA!$C:$C,"D"))</f>
        <v/>
      </c>
      <c r="CM35" s="153" t="str">
        <f>IF($B35=0,"",SUMIFS(INPUT_DATA!AM:AM,INPUT_DATA!$A:$A,$B35,INPUT_DATA!$C:$C,"D"))</f>
        <v/>
      </c>
      <c r="CN35" s="153" t="str">
        <f>IF($B35=0,"",SUMIFS(INPUT_DATA!AN:AN,INPUT_DATA!$A:$A,$B35,INPUT_DATA!$C:$C,"D"))</f>
        <v/>
      </c>
      <c r="CO35" s="153" t="str">
        <f>IF($B35=0,"",SUMIFS(INPUT_DATA!AO:AO,INPUT_DATA!$A:$A,$B35,INPUT_DATA!$C:$C,"D"))</f>
        <v/>
      </c>
      <c r="CP35" s="153" t="str">
        <f>IF($B35=0,"",SUMIFS(INPUT_DATA!AP:AP,INPUT_DATA!$A:$A,$B35,INPUT_DATA!$C:$C,"D"))</f>
        <v/>
      </c>
      <c r="CQ35" s="153" t="str">
        <f>IF($B35=0,"",SUMIFS(INPUT_DATA!AQ:AQ,INPUT_DATA!$A:$A,$B35,INPUT_DATA!$C:$C,"D"))</f>
        <v/>
      </c>
      <c r="CR35" s="750" t="str">
        <f t="shared" si="32"/>
        <v/>
      </c>
      <c r="CS35" s="750" t="str">
        <f t="shared" si="33"/>
        <v/>
      </c>
      <c r="CT35" s="750" t="str">
        <f t="shared" si="34"/>
        <v/>
      </c>
      <c r="CU35" s="739" t="str">
        <f>IF($B35=0,"",SUMIFS(INPUT_DATA!AR:AR,INPUT_DATA!$A:$A,$B35,INPUT_DATA!$C:$C,"D"))</f>
        <v/>
      </c>
      <c r="CV35" s="739" t="str">
        <f>IF($B35=0,"",SUMIFS(INPUT_DATA!AS:AS,INPUT_DATA!$A:$A,$B35,INPUT_DATA!$C:$C,"D"))</f>
        <v/>
      </c>
      <c r="CW35" s="739" t="str">
        <f>IF($B35=0,"",SUMIFS(INPUT_DATA!AT:AT,INPUT_DATA!$A:$A,$B35,INPUT_DATA!$C:$C,"D"))</f>
        <v/>
      </c>
      <c r="CX35" s="739" t="str">
        <f t="shared" si="35"/>
        <v/>
      </c>
      <c r="CY35" s="750" t="str">
        <f t="shared" si="36"/>
        <v/>
      </c>
      <c r="CZ35" s="761" t="str">
        <f t="shared" si="37"/>
        <v/>
      </c>
      <c r="DA35" s="150"/>
    </row>
    <row r="36" spans="1:105" ht="13" x14ac:dyDescent="0.25">
      <c r="B36" s="733">
        <f>INPUT_DATA!BQ23</f>
        <v>0</v>
      </c>
      <c r="C36" s="738" t="str">
        <f>IF($B36=0,"",SUMIFS(INPUT_DATA!D:D,INPUT_DATA!$A:$A,$B36,INPUT_DATA!$C:$C,"S"))</f>
        <v/>
      </c>
      <c r="D36" s="739" t="str">
        <f>IF($B36=0,"",SUMIFS(INPUT_DATA!E:E,INPUT_DATA!$A:$A,$B36,INPUT_DATA!$C:$C,"S"))</f>
        <v/>
      </c>
      <c r="E36" s="740" t="str">
        <f>IF($B36=0,"",SUMIFS(INPUT_DATA!F:F,INPUT_DATA!$A:$A,$B36,INPUT_DATA!$C:$C,"S"))</f>
        <v/>
      </c>
      <c r="F36" s="740" t="str">
        <f>IF($B36=0,"",SUMIFS(INPUT_DATA!G:G,INPUT_DATA!$A:$A,$B36,INPUT_DATA!$C:$C,"S"))</f>
        <v/>
      </c>
      <c r="G36" s="740" t="str">
        <f>IF($B36=0,"",SUMIFS(INPUT_DATA!H:H,INPUT_DATA!$A:$A,$B36,INPUT_DATA!$C:$C,"S"))</f>
        <v/>
      </c>
      <c r="H36" s="740" t="str">
        <f>IF($B36=0,"",SUMIFS(INPUT_DATA!I:I,INPUT_DATA!$A:$A,$B36,INPUT_DATA!$C:$C,"S"))</f>
        <v/>
      </c>
      <c r="I36" s="740" t="str">
        <f>IF($B36=0,"",SUMIFS(INPUT_DATA!J:J,INPUT_DATA!$A:$A,$B36,INPUT_DATA!$C:$C,"S"))</f>
        <v/>
      </c>
      <c r="J36" s="740" t="str">
        <f>IF($B36=0,"",SUMIFS(INPUT_DATA!K:K,INPUT_DATA!$A:$A,$B36,INPUT_DATA!$C:$C,"S"))</f>
        <v/>
      </c>
      <c r="K36" s="740" t="str">
        <f>IF($B36=0,"",SUMIFS(INPUT_DATA!L:L,INPUT_DATA!$A:$A,$B36,INPUT_DATA!$C:$C,"S"))</f>
        <v/>
      </c>
      <c r="L36" s="740" t="str">
        <f>IF($B36=0,"",SUMIFS(INPUT_DATA!M:M,INPUT_DATA!$A:$A,$B36,INPUT_DATA!$C:$C,"S"))</f>
        <v/>
      </c>
      <c r="M36" s="740" t="str">
        <f>IF($B36=0,"",SUMIFS(INPUT_DATA!N:N,INPUT_DATA!$A:$A,$B36,INPUT_DATA!$C:$C,"S"))</f>
        <v/>
      </c>
      <c r="N36" s="740" t="str">
        <f>IF($B36=0,"",SUMIFS(INPUT_DATA!O:O,INPUT_DATA!$A:$A,$B36,INPUT_DATA!$C:$C,"S"))</f>
        <v/>
      </c>
      <c r="O36" s="741" t="str">
        <f t="shared" si="38"/>
        <v/>
      </c>
      <c r="P36" s="742" t="str">
        <f>IF($B36=0,"",SUMIFS(INPUT_DATA!P:P,INPUT_DATA!$A:$A,$B36,INPUT_DATA!$C:$C,"S"))</f>
        <v/>
      </c>
      <c r="Q36" s="742" t="str">
        <f t="shared" si="39"/>
        <v/>
      </c>
      <c r="R36" s="748" t="str">
        <f>IF($B36=0,"",SUMIFS(INPUT_DATA!Q:Q,INPUT_DATA!$A:$A,$B36,INPUT_DATA!$C:$C,"S"))</f>
        <v/>
      </c>
      <c r="S36" s="748" t="str">
        <f>IF($B36=0,"",SUMIFS(INPUT_DATA!R:R,INPUT_DATA!$A:$A,$B36,INPUT_DATA!$C:$C,"S"))</f>
        <v/>
      </c>
      <c r="T36" s="748" t="str">
        <f>IF($B36=0,"",SUMIFS(INPUT_DATA!S:S,INPUT_DATA!$A:$A,$B36,INPUT_DATA!$C:$C,"S"))</f>
        <v/>
      </c>
      <c r="U36" s="313" t="str">
        <f>IF($B36=0,"",SUMIFS(INPUT_DATA!T:T,INPUT_DATA!$A:$A,$B36,INPUT_DATA!$C:$C,"S"))</f>
        <v/>
      </c>
      <c r="V36" s="313" t="str">
        <f>IF($B36=0,"",SUMIFS(INPUT_DATA!U:U,INPUT_DATA!$A:$A,$B36,INPUT_DATA!$C:$C,"S"))</f>
        <v/>
      </c>
      <c r="W36" s="313" t="str">
        <f>IF($B36=0,"",SUMIFS(INPUT_DATA!V:V,INPUT_DATA!$A:$A,$B36,INPUT_DATA!$C:$C,"S"))</f>
        <v/>
      </c>
      <c r="X36" s="313" t="str">
        <f>IF($B36=0,"",SUMIFS(INPUT_DATA!W:W,INPUT_DATA!$A:$A,$B36,INPUT_DATA!$C:$C,"S"))</f>
        <v/>
      </c>
      <c r="Y36" s="313" t="str">
        <f>IF($B36=0,"",SUMIFS(INPUT_DATA!X:X,INPUT_DATA!$A:$A,$B36,INPUT_DATA!$C:$C,"S"))</f>
        <v/>
      </c>
      <c r="Z36" s="313" t="str">
        <f>IF($B36=0,"",SUMIFS(INPUT_DATA!Y:Y,INPUT_DATA!$A:$A,$B36,INPUT_DATA!$C:$C,"S"))</f>
        <v/>
      </c>
      <c r="AA36" s="313" t="str">
        <f>IF($B36=0,"",SUMIFS(INPUT_DATA!Z:Z,INPUT_DATA!$A:$A,$B36,INPUT_DATA!$C:$C,"S"))</f>
        <v/>
      </c>
      <c r="AB36" s="313" t="str">
        <f>IF($B36=0,"",SUMIFS(INPUT_DATA!AA:AA,INPUT_DATA!$A:$A,$B36,INPUT_DATA!$C:$C,"S"))</f>
        <v/>
      </c>
      <c r="AC36" s="313" t="str">
        <f>IF($B36=0,"",SUMIFS(INPUT_DATA!AB:AB,INPUT_DATA!$A:$A,$B36,INPUT_DATA!$C:$C,"S"))</f>
        <v/>
      </c>
      <c r="AD36" s="313" t="str">
        <f>IF($B36=0,"",SUMIFS(INPUT_DATA!AC:AC,INPUT_DATA!$A:$A,$B36,INPUT_DATA!$C:$C,"S"))</f>
        <v/>
      </c>
      <c r="AE36" s="313" t="str">
        <f>IF($B36=0,"",SUMIFS(INPUT_DATA!AD:AD,INPUT_DATA!$A:$A,$B36,INPUT_DATA!$C:$C,"S"))</f>
        <v/>
      </c>
      <c r="AF36" s="313" t="str">
        <f>IF($B36=0,"",SUMIFS(INPUT_DATA!AE:AE,INPUT_DATA!$A:$A,$B36,INPUT_DATA!$C:$C,"S"))</f>
        <v/>
      </c>
      <c r="AG36" s="313" t="str">
        <f>IF($B36=0,"",SUMIFS(INPUT_DATA!AF:AF,INPUT_DATA!$A:$A,$B36,INPUT_DATA!$C:$C,"S"))</f>
        <v/>
      </c>
      <c r="AH36" s="313" t="str">
        <f>IF($B36=0,"",SUMIFS(INPUT_DATA!AG:AG,INPUT_DATA!$A:$A,$B36,INPUT_DATA!$C:$C,"S"))</f>
        <v/>
      </c>
      <c r="AI36" s="313" t="str">
        <f>IF($B36=0,"",SUMIFS(INPUT_DATA!AH:AH,INPUT_DATA!$A:$A,$B36,INPUT_DATA!$C:$C,"S"))</f>
        <v/>
      </c>
      <c r="AJ36" s="313" t="str">
        <f>IF($B36=0,"",SUMIFS(INPUT_DATA!AI:AI,INPUT_DATA!$A:$A,$B36,INPUT_DATA!$C:$C,"S"))</f>
        <v/>
      </c>
      <c r="AK36" s="313" t="str">
        <f>IF($B36=0,"",SUMIFS(INPUT_DATA!AJ:AJ,INPUT_DATA!$A:$A,$B36,INPUT_DATA!$C:$C,"S"))</f>
        <v/>
      </c>
      <c r="AL36" s="313" t="str">
        <f>IF($B36=0,"",SUMIFS(INPUT_DATA!AK:AK,INPUT_DATA!$A:$A,$B36,INPUT_DATA!$C:$C,"S"))</f>
        <v/>
      </c>
      <c r="AM36" s="313" t="str">
        <f>IF($B36=0,"",SUMIFS(INPUT_DATA!AL:AL,INPUT_DATA!$A:$A,$B36,INPUT_DATA!$C:$C,"S"))</f>
        <v/>
      </c>
      <c r="AN36" s="313" t="str">
        <f>IF($B36=0,"",SUMIFS(INPUT_DATA!AM:AM,INPUT_DATA!$A:$A,$B36,INPUT_DATA!$C:$C,"S"))</f>
        <v/>
      </c>
      <c r="AO36" s="313" t="str">
        <f>IF($B36=0,"",SUMIFS(INPUT_DATA!AN:AN,INPUT_DATA!$A:$A,$B36,INPUT_DATA!$C:$C,"S"))</f>
        <v/>
      </c>
      <c r="AP36" s="313" t="str">
        <f>IF($B36=0,"",SUMIFS(INPUT_DATA!AO:AO,INPUT_DATA!$A:$A,$B36,INPUT_DATA!$C:$C,"S"))</f>
        <v/>
      </c>
      <c r="AQ36" s="313" t="str">
        <f>IF($B36=0,"",SUMIFS(INPUT_DATA!AP:AP,INPUT_DATA!$A:$A,$B36,INPUT_DATA!$C:$C,"S"))</f>
        <v/>
      </c>
      <c r="AR36" s="313" t="str">
        <f>IF($B36=0,"",SUMIFS(INPUT_DATA!AQ:AQ,INPUT_DATA!$A:$A,$B36,INPUT_DATA!$C:$C,"S"))</f>
        <v/>
      </c>
      <c r="AS36" s="749" t="str">
        <f t="shared" si="29"/>
        <v/>
      </c>
      <c r="AT36" s="750" t="str">
        <f t="shared" si="30"/>
        <v/>
      </c>
      <c r="AU36" s="751" t="str">
        <f t="shared" si="31"/>
        <v/>
      </c>
      <c r="AV36" s="749" t="str">
        <f>IF($B36=0,"",SUMIFS(INPUT_DATA!AR:AR,INPUT_DATA!$A:$A,$B36,INPUT_DATA!$C:$C,"S"))</f>
        <v/>
      </c>
      <c r="AW36" s="750" t="str">
        <f>IF($B36=0,"",SUMIFS(INPUT_DATA!AS:AS,INPUT_DATA!$A:$A,$B36,INPUT_DATA!$C:$C,"S"))</f>
        <v/>
      </c>
      <c r="AX36" s="751" t="str">
        <f>IF($B36=0,"",SUMIFS(INPUT_DATA!AT:AT,INPUT_DATA!$A:$A,$B36,INPUT_DATA!$C:$C,"S"))</f>
        <v/>
      </c>
      <c r="AY36" s="749" t="str">
        <f t="shared" si="15"/>
        <v/>
      </c>
      <c r="AZ36" s="750" t="str">
        <f t="shared" si="16"/>
        <v/>
      </c>
      <c r="BA36" s="751" t="str">
        <f t="shared" si="17"/>
        <v/>
      </c>
      <c r="BB36" s="150"/>
      <c r="BC36" s="738" t="str">
        <f>IF($B36=0,"",SUMIFS(INPUT_DATA!D:D,INPUT_DATA!$A:$A,$B36,INPUT_DATA!$C:$C,"D"))</f>
        <v/>
      </c>
      <c r="BD36" s="312" t="str">
        <f>IF($B36=0,"",SUMIFS(INPUT_DATA!F:F,INPUT_DATA!$A:$A,$B36,INPUT_DATA!$C:$C,"D"))</f>
        <v/>
      </c>
      <c r="BE36" s="312" t="str">
        <f>IF($B36=0,"",SUMIFS(INPUT_DATA!G:G,INPUT_DATA!$A:$A,$B36,INPUT_DATA!$C:$C,"D"))</f>
        <v/>
      </c>
      <c r="BF36" s="312" t="str">
        <f>IF($B36=0,"",SUMIFS(INPUT_DATA!H:H,INPUT_DATA!$A:$A,$B36,INPUT_DATA!$C:$C,"D"))</f>
        <v/>
      </c>
      <c r="BG36" s="312" t="str">
        <f>IF($B36=0,"",SUMIFS(INPUT_DATA!I:I,INPUT_DATA!$A:$A,$B36,INPUT_DATA!$C:$C,"D"))</f>
        <v/>
      </c>
      <c r="BH36" s="312" t="str">
        <f>IF($B36=0,"",SUMIFS(INPUT_DATA!J:J,INPUT_DATA!$A:$A,$B36,INPUT_DATA!$C:$C,"D"))</f>
        <v/>
      </c>
      <c r="BI36" s="312" t="str">
        <f>IF($B36=0,"",SUMIFS(INPUT_DATA!K:K,INPUT_DATA!$A:$A,$B36,INPUT_DATA!$C:$C,"D"))</f>
        <v/>
      </c>
      <c r="BJ36" s="312" t="str">
        <f>IF($B36=0,"",SUMIFS(INPUT_DATA!L:L,INPUT_DATA!$A:$A,$B36,INPUT_DATA!$C:$C,"D"))</f>
        <v/>
      </c>
      <c r="BK36" s="312" t="str">
        <f>IF($B36=0,"",SUMIFS(INPUT_DATA!M:M,INPUT_DATA!$A:$A,$B36,INPUT_DATA!$C:$C,"D"))</f>
        <v/>
      </c>
      <c r="BL36" s="312" t="str">
        <f>IF($B36=0,"",SUMIFS(INPUT_DATA!N:N,INPUT_DATA!$A:$A,$B36,INPUT_DATA!$C:$C,"D"))</f>
        <v/>
      </c>
      <c r="BM36" s="312" t="str">
        <f>IF($B36=0,"",SUMIFS(INPUT_DATA!O:O,INPUT_DATA!$A:$A,$B36,INPUT_DATA!$C:$C,"D"))</f>
        <v/>
      </c>
      <c r="BN36" s="754" t="str">
        <f t="shared" si="18"/>
        <v/>
      </c>
      <c r="BO36" s="754" t="str">
        <f>IF($B36=0,"",SUMIFS(INPUT_DATA!O:O,INPUT_DATA!$A:$A,$B36,INPUT_DATA!$C:$C,"D"))</f>
        <v/>
      </c>
      <c r="BP36" s="754" t="str">
        <f t="shared" si="19"/>
        <v/>
      </c>
      <c r="BQ36" s="738" t="str">
        <f>IF($B36=0,"",SUMIFS(INPUT_DATA!Q:Q,INPUT_DATA!$A:$A,$B36,INPUT_DATA!$C:$C,"D"))</f>
        <v/>
      </c>
      <c r="BR36" s="760" t="str">
        <f>IF($B36=0,"",SUMIFS(INPUT_DATA!R:R,INPUT_DATA!$A:$A,$B36,INPUT_DATA!$C:$C,"D"))</f>
        <v/>
      </c>
      <c r="BS36" s="760" t="str">
        <f>IF($B36=0,"",SUMIFS(INPUT_DATA!S:S,INPUT_DATA!$A:$A,$B36,INPUT_DATA!$C:$C,"D"))</f>
        <v/>
      </c>
      <c r="BT36" s="312" t="str">
        <f>IF($B36=0,"",SUMIFS(INPUT_DATA!T:T,INPUT_DATA!$A:$A,$B36,INPUT_DATA!$C:$C,"D"))</f>
        <v/>
      </c>
      <c r="BU36" s="312" t="str">
        <f>IF($B36=0,"",SUMIFS(INPUT_DATA!U:U,INPUT_DATA!$A:$A,$B36,INPUT_DATA!$C:$C,"D"))</f>
        <v/>
      </c>
      <c r="BV36" s="312" t="str">
        <f>IF($B36=0,"",SUMIFS(INPUT_DATA!V:V,INPUT_DATA!$A:$A,$B36,INPUT_DATA!$C:$C,"D"))</f>
        <v/>
      </c>
      <c r="BW36" s="312" t="str">
        <f>IF($B36=0,"",SUMIFS(INPUT_DATA!W:W,INPUT_DATA!$A:$A,$B36,INPUT_DATA!$C:$C,"D"))</f>
        <v/>
      </c>
      <c r="BX36" s="312" t="str">
        <f>IF($B36=0,"",SUMIFS(INPUT_DATA!X:X,INPUT_DATA!$A:$A,$B36,INPUT_DATA!$C:$C,"D"))</f>
        <v/>
      </c>
      <c r="BY36" s="312" t="str">
        <f>IF($B36=0,"",SUMIFS(INPUT_DATA!Y:Y,INPUT_DATA!$A:$A,$B36,INPUT_DATA!$C:$C,"D"))</f>
        <v/>
      </c>
      <c r="BZ36" s="353" t="str">
        <f>IF($B36=0,"",SUMIFS(INPUT_DATA!Z:Z,INPUT_DATA!$A:$A,$B36,INPUT_DATA!$C:$C,"D"))</f>
        <v/>
      </c>
      <c r="CA36" s="353" t="str">
        <f>IF($B36=0,"",SUMIFS(INPUT_DATA!AA:AA,INPUT_DATA!$A:$A,$B36,INPUT_DATA!$C:$C,"D"))</f>
        <v/>
      </c>
      <c r="CB36" s="353" t="str">
        <f>IF($B36=0,"",SUMIFS(INPUT_DATA!AB:AB,INPUT_DATA!$A:$A,$B36,INPUT_DATA!$C:$C,"D"))</f>
        <v/>
      </c>
      <c r="CC36" s="312" t="str">
        <f>IF($B36=0,"",SUMIFS(INPUT_DATA!AC:AC,INPUT_DATA!$A:$A,$B36,INPUT_DATA!$C:$C,"D"))</f>
        <v/>
      </c>
      <c r="CD36" s="312" t="str">
        <f>IF($B36=0,"",SUMIFS(INPUT_DATA!AD:AD,INPUT_DATA!$A:$A,$B36,INPUT_DATA!$C:$C,"D"))</f>
        <v/>
      </c>
      <c r="CE36" s="312" t="str">
        <f>IF($B36=0,"",SUMIFS(INPUT_DATA!AE:AE,INPUT_DATA!$A:$A,$B36,INPUT_DATA!$C:$C,"D"))</f>
        <v/>
      </c>
      <c r="CF36" s="353" t="str">
        <f>IF($B36=0,"",SUMIFS(INPUT_DATA!AF:AF,INPUT_DATA!$A:$A,$B36,INPUT_DATA!$C:$C,"D"))</f>
        <v/>
      </c>
      <c r="CG36" s="353" t="str">
        <f>IF($B36=0,"",SUMIFS(INPUT_DATA!AG:AG,INPUT_DATA!$A:$A,$B36,INPUT_DATA!$C:$C,"D"))</f>
        <v/>
      </c>
      <c r="CH36" s="353" t="str">
        <f>IF($B36=0,"",SUMIFS(INPUT_DATA!AH:AH,INPUT_DATA!$A:$A,$B36,INPUT_DATA!$C:$C,"D"))</f>
        <v/>
      </c>
      <c r="CI36" s="153" t="str">
        <f>IF($B36=0,"",SUMIFS(INPUT_DATA!AI:AI,INPUT_DATA!$A:$A,$B36,INPUT_DATA!$C:$C,"D"))</f>
        <v/>
      </c>
      <c r="CJ36" s="153" t="str">
        <f>IF($B36=0,"",SUMIFS(INPUT_DATA!AJ:AJ,INPUT_DATA!$A:$A,$B36,INPUT_DATA!$C:$C,"D"))</f>
        <v/>
      </c>
      <c r="CK36" s="153" t="str">
        <f>IF($B36=0,"",SUMIFS(INPUT_DATA!AK:AK,INPUT_DATA!$A:$A,$B36,INPUT_DATA!$C:$C,"D"))</f>
        <v/>
      </c>
      <c r="CL36" s="153" t="str">
        <f>IF($B36=0,"",SUMIFS(INPUT_DATA!AL:AL,INPUT_DATA!$A:$A,$B36,INPUT_DATA!$C:$C,"D"))</f>
        <v/>
      </c>
      <c r="CM36" s="153" t="str">
        <f>IF($B36=0,"",SUMIFS(INPUT_DATA!AM:AM,INPUT_DATA!$A:$A,$B36,INPUT_DATA!$C:$C,"D"))</f>
        <v/>
      </c>
      <c r="CN36" s="153" t="str">
        <f>IF($B36=0,"",SUMIFS(INPUT_DATA!AN:AN,INPUT_DATA!$A:$A,$B36,INPUT_DATA!$C:$C,"D"))</f>
        <v/>
      </c>
      <c r="CO36" s="153" t="str">
        <f>IF($B36=0,"",SUMIFS(INPUT_DATA!AO:AO,INPUT_DATA!$A:$A,$B36,INPUT_DATA!$C:$C,"D"))</f>
        <v/>
      </c>
      <c r="CP36" s="153" t="str">
        <f>IF($B36=0,"",SUMIFS(INPUT_DATA!AP:AP,INPUT_DATA!$A:$A,$B36,INPUT_DATA!$C:$C,"D"))</f>
        <v/>
      </c>
      <c r="CQ36" s="153" t="str">
        <f>IF($B36=0,"",SUMIFS(INPUT_DATA!AQ:AQ,INPUT_DATA!$A:$A,$B36,INPUT_DATA!$C:$C,"D"))</f>
        <v/>
      </c>
      <c r="CR36" s="750" t="str">
        <f t="shared" si="32"/>
        <v/>
      </c>
      <c r="CS36" s="750" t="str">
        <f t="shared" si="33"/>
        <v/>
      </c>
      <c r="CT36" s="750" t="str">
        <f t="shared" si="34"/>
        <v/>
      </c>
      <c r="CU36" s="739" t="str">
        <f>IF($B36=0,"",SUMIFS(INPUT_DATA!AR:AR,INPUT_DATA!$A:$A,$B36,INPUT_DATA!$C:$C,"D"))</f>
        <v/>
      </c>
      <c r="CV36" s="739" t="str">
        <f>IF($B36=0,"",SUMIFS(INPUT_DATA!AS:AS,INPUT_DATA!$A:$A,$B36,INPUT_DATA!$C:$C,"D"))</f>
        <v/>
      </c>
      <c r="CW36" s="739" t="str">
        <f>IF($B36=0,"",SUMIFS(INPUT_DATA!AT:AT,INPUT_DATA!$A:$A,$B36,INPUT_DATA!$C:$C,"D"))</f>
        <v/>
      </c>
      <c r="CX36" s="739" t="str">
        <f t="shared" si="35"/>
        <v/>
      </c>
      <c r="CY36" s="750" t="str">
        <f t="shared" si="36"/>
        <v/>
      </c>
      <c r="CZ36" s="761" t="str">
        <f t="shared" si="37"/>
        <v/>
      </c>
      <c r="DA36" s="150"/>
    </row>
    <row r="37" spans="1:105" ht="13" x14ac:dyDescent="0.25">
      <c r="B37" s="733">
        <f>INPUT_DATA!BQ24</f>
        <v>0</v>
      </c>
      <c r="C37" s="738" t="str">
        <f>IF($B37=0,"",SUMIFS(INPUT_DATA!D:D,INPUT_DATA!$A:$A,$B37,INPUT_DATA!$C:$C,"S"))</f>
        <v/>
      </c>
      <c r="D37" s="739" t="str">
        <f>IF($B37=0,"",SUMIFS(INPUT_DATA!E:E,INPUT_DATA!$A:$A,$B37,INPUT_DATA!$C:$C,"S"))</f>
        <v/>
      </c>
      <c r="E37" s="740" t="str">
        <f>IF($B37=0,"",SUMIFS(INPUT_DATA!F:F,INPUT_DATA!$A:$A,$B37,INPUT_DATA!$C:$C,"S"))</f>
        <v/>
      </c>
      <c r="F37" s="740" t="str">
        <f>IF($B37=0,"",SUMIFS(INPUT_DATA!G:G,INPUT_DATA!$A:$A,$B37,INPUT_DATA!$C:$C,"S"))</f>
        <v/>
      </c>
      <c r="G37" s="740" t="str">
        <f>IF($B37=0,"",SUMIFS(INPUT_DATA!H:H,INPUT_DATA!$A:$A,$B37,INPUT_DATA!$C:$C,"S"))</f>
        <v/>
      </c>
      <c r="H37" s="740" t="str">
        <f>IF($B37=0,"",SUMIFS(INPUT_DATA!I:I,INPUT_DATA!$A:$A,$B37,INPUT_DATA!$C:$C,"S"))</f>
        <v/>
      </c>
      <c r="I37" s="740" t="str">
        <f>IF($B37=0,"",SUMIFS(INPUT_DATA!J:J,INPUT_DATA!$A:$A,$B37,INPUT_DATA!$C:$C,"S"))</f>
        <v/>
      </c>
      <c r="J37" s="740" t="str">
        <f>IF($B37=0,"",SUMIFS(INPUT_DATA!K:K,INPUT_DATA!$A:$A,$B37,INPUT_DATA!$C:$C,"S"))</f>
        <v/>
      </c>
      <c r="K37" s="740" t="str">
        <f>IF($B37=0,"",SUMIFS(INPUT_DATA!L:L,INPUT_DATA!$A:$A,$B37,INPUT_DATA!$C:$C,"S"))</f>
        <v/>
      </c>
      <c r="L37" s="740" t="str">
        <f>IF($B37=0,"",SUMIFS(INPUT_DATA!M:M,INPUT_DATA!$A:$A,$B37,INPUT_DATA!$C:$C,"S"))</f>
        <v/>
      </c>
      <c r="M37" s="740" t="str">
        <f>IF($B37=0,"",SUMIFS(INPUT_DATA!N:N,INPUT_DATA!$A:$A,$B37,INPUT_DATA!$C:$C,"S"))</f>
        <v/>
      </c>
      <c r="N37" s="740" t="str">
        <f>IF($B37=0,"",SUMIFS(INPUT_DATA!O:O,INPUT_DATA!$A:$A,$B37,INPUT_DATA!$C:$C,"S"))</f>
        <v/>
      </c>
      <c r="O37" s="741" t="str">
        <f t="shared" si="38"/>
        <v/>
      </c>
      <c r="P37" s="742" t="str">
        <f>IF($B37=0,"",SUMIFS(INPUT_DATA!P:P,INPUT_DATA!$A:$A,$B37,INPUT_DATA!$C:$C,"S"))</f>
        <v/>
      </c>
      <c r="Q37" s="742" t="str">
        <f t="shared" si="39"/>
        <v/>
      </c>
      <c r="R37" s="748" t="str">
        <f>IF($B37=0,"",SUMIFS(INPUT_DATA!Q:Q,INPUT_DATA!$A:$A,$B37,INPUT_DATA!$C:$C,"S"))</f>
        <v/>
      </c>
      <c r="S37" s="748" t="str">
        <f>IF($B37=0,"",SUMIFS(INPUT_DATA!R:R,INPUT_DATA!$A:$A,$B37,INPUT_DATA!$C:$C,"S"))</f>
        <v/>
      </c>
      <c r="T37" s="748" t="str">
        <f>IF($B37=0,"",SUMIFS(INPUT_DATA!S:S,INPUT_DATA!$A:$A,$B37,INPUT_DATA!$C:$C,"S"))</f>
        <v/>
      </c>
      <c r="U37" s="313" t="str">
        <f>IF($B37=0,"",SUMIFS(INPUT_DATA!T:T,INPUT_DATA!$A:$A,$B37,INPUT_DATA!$C:$C,"S"))</f>
        <v/>
      </c>
      <c r="V37" s="313" t="str">
        <f>IF($B37=0,"",SUMIFS(INPUT_DATA!U:U,INPUT_DATA!$A:$A,$B37,INPUT_DATA!$C:$C,"S"))</f>
        <v/>
      </c>
      <c r="W37" s="313" t="str">
        <f>IF($B37=0,"",SUMIFS(INPUT_DATA!V:V,INPUT_DATA!$A:$A,$B37,INPUT_DATA!$C:$C,"S"))</f>
        <v/>
      </c>
      <c r="X37" s="313" t="str">
        <f>IF($B37=0,"",SUMIFS(INPUT_DATA!W:W,INPUT_DATA!$A:$A,$B37,INPUT_DATA!$C:$C,"S"))</f>
        <v/>
      </c>
      <c r="Y37" s="313" t="str">
        <f>IF($B37=0,"",SUMIFS(INPUT_DATA!X:X,INPUT_DATA!$A:$A,$B37,INPUT_DATA!$C:$C,"S"))</f>
        <v/>
      </c>
      <c r="Z37" s="313" t="str">
        <f>IF($B37=0,"",SUMIFS(INPUT_DATA!Y:Y,INPUT_DATA!$A:$A,$B37,INPUT_DATA!$C:$C,"S"))</f>
        <v/>
      </c>
      <c r="AA37" s="313" t="str">
        <f>IF($B37=0,"",SUMIFS(INPUT_DATA!Z:Z,INPUT_DATA!$A:$A,$B37,INPUT_DATA!$C:$C,"S"))</f>
        <v/>
      </c>
      <c r="AB37" s="313" t="str">
        <f>IF($B37=0,"",SUMIFS(INPUT_DATA!AA:AA,INPUT_DATA!$A:$A,$B37,INPUT_DATA!$C:$C,"S"))</f>
        <v/>
      </c>
      <c r="AC37" s="313" t="str">
        <f>IF($B37=0,"",SUMIFS(INPUT_DATA!AB:AB,INPUT_DATA!$A:$A,$B37,INPUT_DATA!$C:$C,"S"))</f>
        <v/>
      </c>
      <c r="AD37" s="313" t="str">
        <f>IF($B37=0,"",SUMIFS(INPUT_DATA!AC:AC,INPUT_DATA!$A:$A,$B37,INPUT_DATA!$C:$C,"S"))</f>
        <v/>
      </c>
      <c r="AE37" s="313" t="str">
        <f>IF($B37=0,"",SUMIFS(INPUT_DATA!AD:AD,INPUT_DATA!$A:$A,$B37,INPUT_DATA!$C:$C,"S"))</f>
        <v/>
      </c>
      <c r="AF37" s="313" t="str">
        <f>IF($B37=0,"",SUMIFS(INPUT_DATA!AE:AE,INPUT_DATA!$A:$A,$B37,INPUT_DATA!$C:$C,"S"))</f>
        <v/>
      </c>
      <c r="AG37" s="313" t="str">
        <f>IF($B37=0,"",SUMIFS(INPUT_DATA!AF:AF,INPUT_DATA!$A:$A,$B37,INPUT_DATA!$C:$C,"S"))</f>
        <v/>
      </c>
      <c r="AH37" s="313" t="str">
        <f>IF($B37=0,"",SUMIFS(INPUT_DATA!AG:AG,INPUT_DATA!$A:$A,$B37,INPUT_DATA!$C:$C,"S"))</f>
        <v/>
      </c>
      <c r="AI37" s="313" t="str">
        <f>IF($B37=0,"",SUMIFS(INPUT_DATA!AH:AH,INPUT_DATA!$A:$A,$B37,INPUT_DATA!$C:$C,"S"))</f>
        <v/>
      </c>
      <c r="AJ37" s="313" t="str">
        <f>IF($B37=0,"",SUMIFS(INPUT_DATA!AI:AI,INPUT_DATA!$A:$A,$B37,INPUT_DATA!$C:$C,"S"))</f>
        <v/>
      </c>
      <c r="AK37" s="313" t="str">
        <f>IF($B37=0,"",SUMIFS(INPUT_DATA!AJ:AJ,INPUT_DATA!$A:$A,$B37,INPUT_DATA!$C:$C,"S"))</f>
        <v/>
      </c>
      <c r="AL37" s="313" t="str">
        <f>IF($B37=0,"",SUMIFS(INPUT_DATA!AK:AK,INPUT_DATA!$A:$A,$B37,INPUT_DATA!$C:$C,"S"))</f>
        <v/>
      </c>
      <c r="AM37" s="313" t="str">
        <f>IF($B37=0,"",SUMIFS(INPUT_DATA!AL:AL,INPUT_DATA!$A:$A,$B37,INPUT_DATA!$C:$C,"S"))</f>
        <v/>
      </c>
      <c r="AN37" s="313" t="str">
        <f>IF($B37=0,"",SUMIFS(INPUT_DATA!AM:AM,INPUT_DATA!$A:$A,$B37,INPUT_DATA!$C:$C,"S"))</f>
        <v/>
      </c>
      <c r="AO37" s="313" t="str">
        <f>IF($B37=0,"",SUMIFS(INPUT_DATA!AN:AN,INPUT_DATA!$A:$A,$B37,INPUT_DATA!$C:$C,"S"))</f>
        <v/>
      </c>
      <c r="AP37" s="313" t="str">
        <f>IF($B37=0,"",SUMIFS(INPUT_DATA!AO:AO,INPUT_DATA!$A:$A,$B37,INPUT_DATA!$C:$C,"S"))</f>
        <v/>
      </c>
      <c r="AQ37" s="313" t="str">
        <f>IF($B37=0,"",SUMIFS(INPUT_DATA!AP:AP,INPUT_DATA!$A:$A,$B37,INPUT_DATA!$C:$C,"S"))</f>
        <v/>
      </c>
      <c r="AR37" s="313" t="str">
        <f>IF($B37=0,"",SUMIFS(INPUT_DATA!AQ:AQ,INPUT_DATA!$A:$A,$B37,INPUT_DATA!$C:$C,"S"))</f>
        <v/>
      </c>
      <c r="AS37" s="749" t="str">
        <f t="shared" si="29"/>
        <v/>
      </c>
      <c r="AT37" s="750" t="str">
        <f t="shared" si="30"/>
        <v/>
      </c>
      <c r="AU37" s="751" t="str">
        <f t="shared" si="31"/>
        <v/>
      </c>
      <c r="AV37" s="749" t="str">
        <f>IF($B37=0,"",SUMIFS(INPUT_DATA!AR:AR,INPUT_DATA!$A:$A,$B37,INPUT_DATA!$C:$C,"S"))</f>
        <v/>
      </c>
      <c r="AW37" s="750" t="str">
        <f>IF($B37=0,"",SUMIFS(INPUT_DATA!AS:AS,INPUT_DATA!$A:$A,$B37,INPUT_DATA!$C:$C,"S"))</f>
        <v/>
      </c>
      <c r="AX37" s="751" t="str">
        <f>IF($B37=0,"",SUMIFS(INPUT_DATA!AT:AT,INPUT_DATA!$A:$A,$B37,INPUT_DATA!$C:$C,"S"))</f>
        <v/>
      </c>
      <c r="AY37" s="749" t="str">
        <f t="shared" si="15"/>
        <v/>
      </c>
      <c r="AZ37" s="750" t="str">
        <f t="shared" si="16"/>
        <v/>
      </c>
      <c r="BA37" s="751" t="str">
        <f t="shared" si="17"/>
        <v/>
      </c>
      <c r="BB37" s="150"/>
      <c r="BC37" s="738" t="str">
        <f>IF($B37=0,"",SUMIFS(INPUT_DATA!D:D,INPUT_DATA!$A:$A,$B37,INPUT_DATA!$C:$C,"D"))</f>
        <v/>
      </c>
      <c r="BD37" s="312" t="str">
        <f>IF($B37=0,"",SUMIFS(INPUT_DATA!F:F,INPUT_DATA!$A:$A,$B37,INPUT_DATA!$C:$C,"D"))</f>
        <v/>
      </c>
      <c r="BE37" s="312" t="str">
        <f>IF($B37=0,"",SUMIFS(INPUT_DATA!G:G,INPUT_DATA!$A:$A,$B37,INPUT_DATA!$C:$C,"D"))</f>
        <v/>
      </c>
      <c r="BF37" s="312" t="str">
        <f>IF($B37=0,"",SUMIFS(INPUT_DATA!H:H,INPUT_DATA!$A:$A,$B37,INPUT_DATA!$C:$C,"D"))</f>
        <v/>
      </c>
      <c r="BG37" s="312" t="str">
        <f>IF($B37=0,"",SUMIFS(INPUT_DATA!I:I,INPUT_DATA!$A:$A,$B37,INPUT_DATA!$C:$C,"D"))</f>
        <v/>
      </c>
      <c r="BH37" s="312" t="str">
        <f>IF($B37=0,"",SUMIFS(INPUT_DATA!J:J,INPUT_DATA!$A:$A,$B37,INPUT_DATA!$C:$C,"D"))</f>
        <v/>
      </c>
      <c r="BI37" s="312" t="str">
        <f>IF($B37=0,"",SUMIFS(INPUT_DATA!K:K,INPUT_DATA!$A:$A,$B37,INPUT_DATA!$C:$C,"D"))</f>
        <v/>
      </c>
      <c r="BJ37" s="312" t="str">
        <f>IF($B37=0,"",SUMIFS(INPUT_DATA!L:L,INPUT_DATA!$A:$A,$B37,INPUT_DATA!$C:$C,"D"))</f>
        <v/>
      </c>
      <c r="BK37" s="312" t="str">
        <f>IF($B37=0,"",SUMIFS(INPUT_DATA!M:M,INPUT_DATA!$A:$A,$B37,INPUT_DATA!$C:$C,"D"))</f>
        <v/>
      </c>
      <c r="BL37" s="312" t="str">
        <f>IF($B37=0,"",SUMIFS(INPUT_DATA!N:N,INPUT_DATA!$A:$A,$B37,INPUT_DATA!$C:$C,"D"))</f>
        <v/>
      </c>
      <c r="BM37" s="312" t="str">
        <f>IF($B37=0,"",SUMIFS(INPUT_DATA!O:O,INPUT_DATA!$A:$A,$B37,INPUT_DATA!$C:$C,"D"))</f>
        <v/>
      </c>
      <c r="BN37" s="754" t="str">
        <f t="shared" si="18"/>
        <v/>
      </c>
      <c r="BO37" s="754" t="str">
        <f>IF($B37=0,"",SUMIFS(INPUT_DATA!O:O,INPUT_DATA!$A:$A,$B37,INPUT_DATA!$C:$C,"D"))</f>
        <v/>
      </c>
      <c r="BP37" s="754" t="str">
        <f t="shared" si="19"/>
        <v/>
      </c>
      <c r="BQ37" s="738" t="str">
        <f>IF($B37=0,"",SUMIFS(INPUT_DATA!Q:Q,INPUT_DATA!$A:$A,$B37,INPUT_DATA!$C:$C,"D"))</f>
        <v/>
      </c>
      <c r="BR37" s="760" t="str">
        <f>IF($B37=0,"",SUMIFS(INPUT_DATA!R:R,INPUT_DATA!$A:$A,$B37,INPUT_DATA!$C:$C,"D"))</f>
        <v/>
      </c>
      <c r="BS37" s="760" t="str">
        <f>IF($B37=0,"",SUMIFS(INPUT_DATA!S:S,INPUT_DATA!$A:$A,$B37,INPUT_DATA!$C:$C,"D"))</f>
        <v/>
      </c>
      <c r="BT37" s="312" t="str">
        <f>IF($B37=0,"",SUMIFS(INPUT_DATA!T:T,INPUT_DATA!$A:$A,$B37,INPUT_DATA!$C:$C,"D"))</f>
        <v/>
      </c>
      <c r="BU37" s="312" t="str">
        <f>IF($B37=0,"",SUMIFS(INPUT_DATA!U:U,INPUT_DATA!$A:$A,$B37,INPUT_DATA!$C:$C,"D"))</f>
        <v/>
      </c>
      <c r="BV37" s="312" t="str">
        <f>IF($B37=0,"",SUMIFS(INPUT_DATA!V:V,INPUT_DATA!$A:$A,$B37,INPUT_DATA!$C:$C,"D"))</f>
        <v/>
      </c>
      <c r="BW37" s="312" t="str">
        <f>IF($B37=0,"",SUMIFS(INPUT_DATA!W:W,INPUT_DATA!$A:$A,$B37,INPUT_DATA!$C:$C,"D"))</f>
        <v/>
      </c>
      <c r="BX37" s="312" t="str">
        <f>IF($B37=0,"",SUMIFS(INPUT_DATA!X:X,INPUT_DATA!$A:$A,$B37,INPUT_DATA!$C:$C,"D"))</f>
        <v/>
      </c>
      <c r="BY37" s="312" t="str">
        <f>IF($B37=0,"",SUMIFS(INPUT_DATA!Y:Y,INPUT_DATA!$A:$A,$B37,INPUT_DATA!$C:$C,"D"))</f>
        <v/>
      </c>
      <c r="BZ37" s="353" t="str">
        <f>IF($B37=0,"",SUMIFS(INPUT_DATA!Z:Z,INPUT_DATA!$A:$A,$B37,INPUT_DATA!$C:$C,"D"))</f>
        <v/>
      </c>
      <c r="CA37" s="353" t="str">
        <f>IF($B37=0,"",SUMIFS(INPUT_DATA!AA:AA,INPUT_DATA!$A:$A,$B37,INPUT_DATA!$C:$C,"D"))</f>
        <v/>
      </c>
      <c r="CB37" s="353" t="str">
        <f>IF($B37=0,"",SUMIFS(INPUT_DATA!AB:AB,INPUT_DATA!$A:$A,$B37,INPUT_DATA!$C:$C,"D"))</f>
        <v/>
      </c>
      <c r="CC37" s="312" t="str">
        <f>IF($B37=0,"",SUMIFS(INPUT_DATA!AC:AC,INPUT_DATA!$A:$A,$B37,INPUT_DATA!$C:$C,"D"))</f>
        <v/>
      </c>
      <c r="CD37" s="312" t="str">
        <f>IF($B37=0,"",SUMIFS(INPUT_DATA!AD:AD,INPUT_DATA!$A:$A,$B37,INPUT_DATA!$C:$C,"D"))</f>
        <v/>
      </c>
      <c r="CE37" s="312" t="str">
        <f>IF($B37=0,"",SUMIFS(INPUT_DATA!AE:AE,INPUT_DATA!$A:$A,$B37,INPUT_DATA!$C:$C,"D"))</f>
        <v/>
      </c>
      <c r="CF37" s="353" t="str">
        <f>IF($B37=0,"",SUMIFS(INPUT_DATA!AF:AF,INPUT_DATA!$A:$A,$B37,INPUT_DATA!$C:$C,"D"))</f>
        <v/>
      </c>
      <c r="CG37" s="353" t="str">
        <f>IF($B37=0,"",SUMIFS(INPUT_DATA!AG:AG,INPUT_DATA!$A:$A,$B37,INPUT_DATA!$C:$C,"D"))</f>
        <v/>
      </c>
      <c r="CH37" s="353" t="str">
        <f>IF($B37=0,"",SUMIFS(INPUT_DATA!AH:AH,INPUT_DATA!$A:$A,$B37,INPUT_DATA!$C:$C,"D"))</f>
        <v/>
      </c>
      <c r="CI37" s="153" t="str">
        <f>IF($B37=0,"",SUMIFS(INPUT_DATA!AI:AI,INPUT_DATA!$A:$A,$B37,INPUT_DATA!$C:$C,"D"))</f>
        <v/>
      </c>
      <c r="CJ37" s="153" t="str">
        <f>IF($B37=0,"",SUMIFS(INPUT_DATA!AJ:AJ,INPUT_DATA!$A:$A,$B37,INPUT_DATA!$C:$C,"D"))</f>
        <v/>
      </c>
      <c r="CK37" s="153" t="str">
        <f>IF($B37=0,"",SUMIFS(INPUT_DATA!AK:AK,INPUT_DATA!$A:$A,$B37,INPUT_DATA!$C:$C,"D"))</f>
        <v/>
      </c>
      <c r="CL37" s="153" t="str">
        <f>IF($B37=0,"",SUMIFS(INPUT_DATA!AL:AL,INPUT_DATA!$A:$A,$B37,INPUT_DATA!$C:$C,"D"))</f>
        <v/>
      </c>
      <c r="CM37" s="153" t="str">
        <f>IF($B37=0,"",SUMIFS(INPUT_DATA!AM:AM,INPUT_DATA!$A:$A,$B37,INPUT_DATA!$C:$C,"D"))</f>
        <v/>
      </c>
      <c r="CN37" s="153" t="str">
        <f>IF($B37=0,"",SUMIFS(INPUT_DATA!AN:AN,INPUT_DATA!$A:$A,$B37,INPUT_DATA!$C:$C,"D"))</f>
        <v/>
      </c>
      <c r="CO37" s="153" t="str">
        <f>IF($B37=0,"",SUMIFS(INPUT_DATA!AO:AO,INPUT_DATA!$A:$A,$B37,INPUT_DATA!$C:$C,"D"))</f>
        <v/>
      </c>
      <c r="CP37" s="153" t="str">
        <f>IF($B37=0,"",SUMIFS(INPUT_DATA!AP:AP,INPUT_DATA!$A:$A,$B37,INPUT_DATA!$C:$C,"D"))</f>
        <v/>
      </c>
      <c r="CQ37" s="153" t="str">
        <f>IF($B37=0,"",SUMIFS(INPUT_DATA!AQ:AQ,INPUT_DATA!$A:$A,$B37,INPUT_DATA!$C:$C,"D"))</f>
        <v/>
      </c>
      <c r="CR37" s="750" t="str">
        <f t="shared" si="32"/>
        <v/>
      </c>
      <c r="CS37" s="750" t="str">
        <f t="shared" si="33"/>
        <v/>
      </c>
      <c r="CT37" s="750" t="str">
        <f t="shared" si="34"/>
        <v/>
      </c>
      <c r="CU37" s="739" t="str">
        <f>IF($B37=0,"",SUMIFS(INPUT_DATA!AR:AR,INPUT_DATA!$A:$A,$B37,INPUT_DATA!$C:$C,"D"))</f>
        <v/>
      </c>
      <c r="CV37" s="739" t="str">
        <f>IF($B37=0,"",SUMIFS(INPUT_DATA!AS:AS,INPUT_DATA!$A:$A,$B37,INPUT_DATA!$C:$C,"D"))</f>
        <v/>
      </c>
      <c r="CW37" s="739" t="str">
        <f>IF($B37=0,"",SUMIFS(INPUT_DATA!AT:AT,INPUT_DATA!$A:$A,$B37,INPUT_DATA!$C:$C,"D"))</f>
        <v/>
      </c>
      <c r="CX37" s="739" t="str">
        <f t="shared" si="35"/>
        <v/>
      </c>
      <c r="CY37" s="750" t="str">
        <f t="shared" si="36"/>
        <v/>
      </c>
      <c r="CZ37" s="761" t="str">
        <f t="shared" si="37"/>
        <v/>
      </c>
      <c r="DA37" s="150"/>
    </row>
    <row r="38" spans="1:105" ht="13" x14ac:dyDescent="0.25">
      <c r="B38" s="733">
        <f>INPUT_DATA!BQ25</f>
        <v>0</v>
      </c>
      <c r="C38" s="738" t="str">
        <f>IF($B38=0,"",SUMIFS(INPUT_DATA!D:D,INPUT_DATA!$A:$A,$B38,INPUT_DATA!$C:$C,"S"))</f>
        <v/>
      </c>
      <c r="D38" s="739" t="str">
        <f>IF($B38=0,"",SUMIFS(INPUT_DATA!E:E,INPUT_DATA!$A:$A,$B38,INPUT_DATA!$C:$C,"S"))</f>
        <v/>
      </c>
      <c r="E38" s="740" t="str">
        <f>IF($B38=0,"",SUMIFS(INPUT_DATA!F:F,INPUT_DATA!$A:$A,$B38,INPUT_DATA!$C:$C,"S"))</f>
        <v/>
      </c>
      <c r="F38" s="740" t="str">
        <f>IF($B38=0,"",SUMIFS(INPUT_DATA!G:G,INPUT_DATA!$A:$A,$B38,INPUT_DATA!$C:$C,"S"))</f>
        <v/>
      </c>
      <c r="G38" s="740" t="str">
        <f>IF($B38=0,"",SUMIFS(INPUT_DATA!H:H,INPUT_DATA!$A:$A,$B38,INPUT_DATA!$C:$C,"S"))</f>
        <v/>
      </c>
      <c r="H38" s="740" t="str">
        <f>IF($B38=0,"",SUMIFS(INPUT_DATA!I:I,INPUT_DATA!$A:$A,$B38,INPUT_DATA!$C:$C,"S"))</f>
        <v/>
      </c>
      <c r="I38" s="740" t="str">
        <f>IF($B38=0,"",SUMIFS(INPUT_DATA!J:J,INPUT_DATA!$A:$A,$B38,INPUT_DATA!$C:$C,"S"))</f>
        <v/>
      </c>
      <c r="J38" s="740" t="str">
        <f>IF($B38=0,"",SUMIFS(INPUT_DATA!K:K,INPUT_DATA!$A:$A,$B38,INPUT_DATA!$C:$C,"S"))</f>
        <v/>
      </c>
      <c r="K38" s="740" t="str">
        <f>IF($B38=0,"",SUMIFS(INPUT_DATA!L:L,INPUT_DATA!$A:$A,$B38,INPUT_DATA!$C:$C,"S"))</f>
        <v/>
      </c>
      <c r="L38" s="740" t="str">
        <f>IF($B38=0,"",SUMIFS(INPUT_DATA!M:M,INPUT_DATA!$A:$A,$B38,INPUT_DATA!$C:$C,"S"))</f>
        <v/>
      </c>
      <c r="M38" s="740" t="str">
        <f>IF($B38=0,"",SUMIFS(INPUT_DATA!N:N,INPUT_DATA!$A:$A,$B38,INPUT_DATA!$C:$C,"S"))</f>
        <v/>
      </c>
      <c r="N38" s="740" t="str">
        <f>IF($B38=0,"",SUMIFS(INPUT_DATA!O:O,INPUT_DATA!$A:$A,$B38,INPUT_DATA!$C:$C,"S"))</f>
        <v/>
      </c>
      <c r="O38" s="741" t="str">
        <f t="shared" si="38"/>
        <v/>
      </c>
      <c r="P38" s="742" t="str">
        <f>IF($B38=0,"",SUMIFS(INPUT_DATA!P:P,INPUT_DATA!$A:$A,$B38,INPUT_DATA!$C:$C,"S"))</f>
        <v/>
      </c>
      <c r="Q38" s="742" t="str">
        <f t="shared" si="39"/>
        <v/>
      </c>
      <c r="R38" s="748" t="str">
        <f>IF($B38=0,"",SUMIFS(INPUT_DATA!Q:Q,INPUT_DATA!$A:$A,$B38,INPUT_DATA!$C:$C,"S"))</f>
        <v/>
      </c>
      <c r="S38" s="748" t="str">
        <f>IF($B38=0,"",SUMIFS(INPUT_DATA!R:R,INPUT_DATA!$A:$A,$B38,INPUT_DATA!$C:$C,"S"))</f>
        <v/>
      </c>
      <c r="T38" s="748" t="str">
        <f>IF($B38=0,"",SUMIFS(INPUT_DATA!S:S,INPUT_DATA!$A:$A,$B38,INPUT_DATA!$C:$C,"S"))</f>
        <v/>
      </c>
      <c r="U38" s="313" t="str">
        <f>IF($B38=0,"",SUMIFS(INPUT_DATA!T:T,INPUT_DATA!$A:$A,$B38,INPUT_DATA!$C:$C,"S"))</f>
        <v/>
      </c>
      <c r="V38" s="313" t="str">
        <f>IF($B38=0,"",SUMIFS(INPUT_DATA!U:U,INPUT_DATA!$A:$A,$B38,INPUT_DATA!$C:$C,"S"))</f>
        <v/>
      </c>
      <c r="W38" s="313" t="str">
        <f>IF($B38=0,"",SUMIFS(INPUT_DATA!V:V,INPUT_DATA!$A:$A,$B38,INPUT_DATA!$C:$C,"S"))</f>
        <v/>
      </c>
      <c r="X38" s="313" t="str">
        <f>IF($B38=0,"",SUMIFS(INPUT_DATA!W:W,INPUT_DATA!$A:$A,$B38,INPUT_DATA!$C:$C,"S"))</f>
        <v/>
      </c>
      <c r="Y38" s="313" t="str">
        <f>IF($B38=0,"",SUMIFS(INPUT_DATA!X:X,INPUT_DATA!$A:$A,$B38,INPUT_DATA!$C:$C,"S"))</f>
        <v/>
      </c>
      <c r="Z38" s="313" t="str">
        <f>IF($B38=0,"",SUMIFS(INPUT_DATA!Y:Y,INPUT_DATA!$A:$A,$B38,INPUT_DATA!$C:$C,"S"))</f>
        <v/>
      </c>
      <c r="AA38" s="313" t="str">
        <f>IF($B38=0,"",SUMIFS(INPUT_DATA!Z:Z,INPUT_DATA!$A:$A,$B38,INPUT_DATA!$C:$C,"S"))</f>
        <v/>
      </c>
      <c r="AB38" s="313" t="str">
        <f>IF($B38=0,"",SUMIFS(INPUT_DATA!AA:AA,INPUT_DATA!$A:$A,$B38,INPUT_DATA!$C:$C,"S"))</f>
        <v/>
      </c>
      <c r="AC38" s="313" t="str">
        <f>IF($B38=0,"",SUMIFS(INPUT_DATA!AB:AB,INPUT_DATA!$A:$A,$B38,INPUT_DATA!$C:$C,"S"))</f>
        <v/>
      </c>
      <c r="AD38" s="313" t="str">
        <f>IF($B38=0,"",SUMIFS(INPUT_DATA!AC:AC,INPUT_DATA!$A:$A,$B38,INPUT_DATA!$C:$C,"S"))</f>
        <v/>
      </c>
      <c r="AE38" s="313" t="str">
        <f>IF($B38=0,"",SUMIFS(INPUT_DATA!AD:AD,INPUT_DATA!$A:$A,$B38,INPUT_DATA!$C:$C,"S"))</f>
        <v/>
      </c>
      <c r="AF38" s="313" t="str">
        <f>IF($B38=0,"",SUMIFS(INPUT_DATA!AE:AE,INPUT_DATA!$A:$A,$B38,INPUT_DATA!$C:$C,"S"))</f>
        <v/>
      </c>
      <c r="AG38" s="313" t="str">
        <f>IF($B38=0,"",SUMIFS(INPUT_DATA!AF:AF,INPUT_DATA!$A:$A,$B38,INPUT_DATA!$C:$C,"S"))</f>
        <v/>
      </c>
      <c r="AH38" s="313" t="str">
        <f>IF($B38=0,"",SUMIFS(INPUT_DATA!AG:AG,INPUT_DATA!$A:$A,$B38,INPUT_DATA!$C:$C,"S"))</f>
        <v/>
      </c>
      <c r="AI38" s="313" t="str">
        <f>IF($B38=0,"",SUMIFS(INPUT_DATA!AH:AH,INPUT_DATA!$A:$A,$B38,INPUT_DATA!$C:$C,"S"))</f>
        <v/>
      </c>
      <c r="AJ38" s="313" t="str">
        <f>IF($B38=0,"",SUMIFS(INPUT_DATA!AI:AI,INPUT_DATA!$A:$A,$B38,INPUT_DATA!$C:$C,"S"))</f>
        <v/>
      </c>
      <c r="AK38" s="313" t="str">
        <f>IF($B38=0,"",SUMIFS(INPUT_DATA!AJ:AJ,INPUT_DATA!$A:$A,$B38,INPUT_DATA!$C:$C,"S"))</f>
        <v/>
      </c>
      <c r="AL38" s="313" t="str">
        <f>IF($B38=0,"",SUMIFS(INPUT_DATA!AK:AK,INPUT_DATA!$A:$A,$B38,INPUT_DATA!$C:$C,"S"))</f>
        <v/>
      </c>
      <c r="AM38" s="313" t="str">
        <f>IF($B38=0,"",SUMIFS(INPUT_DATA!AL:AL,INPUT_DATA!$A:$A,$B38,INPUT_DATA!$C:$C,"S"))</f>
        <v/>
      </c>
      <c r="AN38" s="313" t="str">
        <f>IF($B38=0,"",SUMIFS(INPUT_DATA!AM:AM,INPUT_DATA!$A:$A,$B38,INPUT_DATA!$C:$C,"S"))</f>
        <v/>
      </c>
      <c r="AO38" s="313" t="str">
        <f>IF($B38=0,"",SUMIFS(INPUT_DATA!AN:AN,INPUT_DATA!$A:$A,$B38,INPUT_DATA!$C:$C,"S"))</f>
        <v/>
      </c>
      <c r="AP38" s="313" t="str">
        <f>IF($B38=0,"",SUMIFS(INPUT_DATA!AO:AO,INPUT_DATA!$A:$A,$B38,INPUT_DATA!$C:$C,"S"))</f>
        <v/>
      </c>
      <c r="AQ38" s="313" t="str">
        <f>IF($B38=0,"",SUMIFS(INPUT_DATA!AP:AP,INPUT_DATA!$A:$A,$B38,INPUT_DATA!$C:$C,"S"))</f>
        <v/>
      </c>
      <c r="AR38" s="313" t="str">
        <f>IF($B38=0,"",SUMIFS(INPUT_DATA!AQ:AQ,INPUT_DATA!$A:$A,$B38,INPUT_DATA!$C:$C,"S"))</f>
        <v/>
      </c>
      <c r="AS38" s="749" t="str">
        <f t="shared" si="29"/>
        <v/>
      </c>
      <c r="AT38" s="750" t="str">
        <f t="shared" si="30"/>
        <v/>
      </c>
      <c r="AU38" s="751" t="str">
        <f t="shared" si="31"/>
        <v/>
      </c>
      <c r="AV38" s="749" t="str">
        <f>IF($B38=0,"",SUMIFS(INPUT_DATA!AR:AR,INPUT_DATA!$A:$A,$B38,INPUT_DATA!$C:$C,"S"))</f>
        <v/>
      </c>
      <c r="AW38" s="750" t="str">
        <f>IF($B38=0,"",SUMIFS(INPUT_DATA!AS:AS,INPUT_DATA!$A:$A,$B38,INPUT_DATA!$C:$C,"S"))</f>
        <v/>
      </c>
      <c r="AX38" s="751" t="str">
        <f>IF($B38=0,"",SUMIFS(INPUT_DATA!AT:AT,INPUT_DATA!$A:$A,$B38,INPUT_DATA!$C:$C,"S"))</f>
        <v/>
      </c>
      <c r="AY38" s="749" t="str">
        <f t="shared" si="15"/>
        <v/>
      </c>
      <c r="AZ38" s="750" t="str">
        <f t="shared" si="16"/>
        <v/>
      </c>
      <c r="BA38" s="751" t="str">
        <f t="shared" si="17"/>
        <v/>
      </c>
      <c r="BB38" s="150"/>
      <c r="BC38" s="738" t="str">
        <f>IF($B38=0,"",SUMIFS(INPUT_DATA!D:D,INPUT_DATA!$A:$A,$B38,INPUT_DATA!$C:$C,"D"))</f>
        <v/>
      </c>
      <c r="BD38" s="312" t="str">
        <f>IF($B38=0,"",SUMIFS(INPUT_DATA!F:F,INPUT_DATA!$A:$A,$B38,INPUT_DATA!$C:$C,"D"))</f>
        <v/>
      </c>
      <c r="BE38" s="312" t="str">
        <f>IF($B38=0,"",SUMIFS(INPUT_DATA!G:G,INPUT_DATA!$A:$A,$B38,INPUT_DATA!$C:$C,"D"))</f>
        <v/>
      </c>
      <c r="BF38" s="312" t="str">
        <f>IF($B38=0,"",SUMIFS(INPUT_DATA!H:H,INPUT_DATA!$A:$A,$B38,INPUT_DATA!$C:$C,"D"))</f>
        <v/>
      </c>
      <c r="BG38" s="312" t="str">
        <f>IF($B38=0,"",SUMIFS(INPUT_DATA!I:I,INPUT_DATA!$A:$A,$B38,INPUT_DATA!$C:$C,"D"))</f>
        <v/>
      </c>
      <c r="BH38" s="312" t="str">
        <f>IF($B38=0,"",SUMIFS(INPUT_DATA!J:J,INPUT_DATA!$A:$A,$B38,INPUT_DATA!$C:$C,"D"))</f>
        <v/>
      </c>
      <c r="BI38" s="312" t="str">
        <f>IF($B38=0,"",SUMIFS(INPUT_DATA!K:K,INPUT_DATA!$A:$A,$B38,INPUT_DATA!$C:$C,"D"))</f>
        <v/>
      </c>
      <c r="BJ38" s="312" t="str">
        <f>IF($B38=0,"",SUMIFS(INPUT_DATA!L:L,INPUT_DATA!$A:$A,$B38,INPUT_DATA!$C:$C,"D"))</f>
        <v/>
      </c>
      <c r="BK38" s="312" t="str">
        <f>IF($B38=0,"",SUMIFS(INPUT_DATA!M:M,INPUT_DATA!$A:$A,$B38,INPUT_DATA!$C:$C,"D"))</f>
        <v/>
      </c>
      <c r="BL38" s="312" t="str">
        <f>IF($B38=0,"",SUMIFS(INPUT_DATA!N:N,INPUT_DATA!$A:$A,$B38,INPUT_DATA!$C:$C,"D"))</f>
        <v/>
      </c>
      <c r="BM38" s="312" t="str">
        <f>IF($B38=0,"",SUMIFS(INPUT_DATA!O:O,INPUT_DATA!$A:$A,$B38,INPUT_DATA!$C:$C,"D"))</f>
        <v/>
      </c>
      <c r="BN38" s="754" t="str">
        <f t="shared" si="18"/>
        <v/>
      </c>
      <c r="BO38" s="754" t="str">
        <f>IF($B38=0,"",SUMIFS(INPUT_DATA!O:O,INPUT_DATA!$A:$A,$B38,INPUT_DATA!$C:$C,"D"))</f>
        <v/>
      </c>
      <c r="BP38" s="754" t="str">
        <f t="shared" si="19"/>
        <v/>
      </c>
      <c r="BQ38" s="738" t="str">
        <f>IF($B38=0,"",SUMIFS(INPUT_DATA!Q:Q,INPUT_DATA!$A:$A,$B38,INPUT_DATA!$C:$C,"D"))</f>
        <v/>
      </c>
      <c r="BR38" s="760" t="str">
        <f>IF($B38=0,"",SUMIFS(INPUT_DATA!R:R,INPUT_DATA!$A:$A,$B38,INPUT_DATA!$C:$C,"D"))</f>
        <v/>
      </c>
      <c r="BS38" s="760" t="str">
        <f>IF($B38=0,"",SUMIFS(INPUT_DATA!S:S,INPUT_DATA!$A:$A,$B38,INPUT_DATA!$C:$C,"D"))</f>
        <v/>
      </c>
      <c r="BT38" s="312" t="str">
        <f>IF($B38=0,"",SUMIFS(INPUT_DATA!T:T,INPUT_DATA!$A:$A,$B38,INPUT_DATA!$C:$C,"D"))</f>
        <v/>
      </c>
      <c r="BU38" s="312" t="str">
        <f>IF($B38=0,"",SUMIFS(INPUT_DATA!U:U,INPUT_DATA!$A:$A,$B38,INPUT_DATA!$C:$C,"D"))</f>
        <v/>
      </c>
      <c r="BV38" s="312" t="str">
        <f>IF($B38=0,"",SUMIFS(INPUT_DATA!V:V,INPUT_DATA!$A:$A,$B38,INPUT_DATA!$C:$C,"D"))</f>
        <v/>
      </c>
      <c r="BW38" s="312" t="str">
        <f>IF($B38=0,"",SUMIFS(INPUT_DATA!W:W,INPUT_DATA!$A:$A,$B38,INPUT_DATA!$C:$C,"D"))</f>
        <v/>
      </c>
      <c r="BX38" s="312" t="str">
        <f>IF($B38=0,"",SUMIFS(INPUT_DATA!X:X,INPUT_DATA!$A:$A,$B38,INPUT_DATA!$C:$C,"D"))</f>
        <v/>
      </c>
      <c r="BY38" s="312" t="str">
        <f>IF($B38=0,"",SUMIFS(INPUT_DATA!Y:Y,INPUT_DATA!$A:$A,$B38,INPUT_DATA!$C:$C,"D"))</f>
        <v/>
      </c>
      <c r="BZ38" s="353" t="str">
        <f>IF($B38=0,"",SUMIFS(INPUT_DATA!Z:Z,INPUT_DATA!$A:$A,$B38,INPUT_DATA!$C:$C,"D"))</f>
        <v/>
      </c>
      <c r="CA38" s="353" t="str">
        <f>IF($B38=0,"",SUMIFS(INPUT_DATA!AA:AA,INPUT_DATA!$A:$A,$B38,INPUT_DATA!$C:$C,"D"))</f>
        <v/>
      </c>
      <c r="CB38" s="353" t="str">
        <f>IF($B38=0,"",SUMIFS(INPUT_DATA!AB:AB,INPUT_DATA!$A:$A,$B38,INPUT_DATA!$C:$C,"D"))</f>
        <v/>
      </c>
      <c r="CC38" s="312" t="str">
        <f>IF($B38=0,"",SUMIFS(INPUT_DATA!AC:AC,INPUT_DATA!$A:$A,$B38,INPUT_DATA!$C:$C,"D"))</f>
        <v/>
      </c>
      <c r="CD38" s="312" t="str">
        <f>IF($B38=0,"",SUMIFS(INPUT_DATA!AD:AD,INPUT_DATA!$A:$A,$B38,INPUT_DATA!$C:$C,"D"))</f>
        <v/>
      </c>
      <c r="CE38" s="312" t="str">
        <f>IF($B38=0,"",SUMIFS(INPUT_DATA!AE:AE,INPUT_DATA!$A:$A,$B38,INPUT_DATA!$C:$C,"D"))</f>
        <v/>
      </c>
      <c r="CF38" s="353" t="str">
        <f>IF($B38=0,"",SUMIFS(INPUT_DATA!AF:AF,INPUT_DATA!$A:$A,$B38,INPUT_DATA!$C:$C,"D"))</f>
        <v/>
      </c>
      <c r="CG38" s="353" t="str">
        <f>IF($B38=0,"",SUMIFS(INPUT_DATA!AG:AG,INPUT_DATA!$A:$A,$B38,INPUT_DATA!$C:$C,"D"))</f>
        <v/>
      </c>
      <c r="CH38" s="353" t="str">
        <f>IF($B38=0,"",SUMIFS(INPUT_DATA!AH:AH,INPUT_DATA!$A:$A,$B38,INPUT_DATA!$C:$C,"D"))</f>
        <v/>
      </c>
      <c r="CI38" s="153" t="str">
        <f>IF($B38=0,"",SUMIFS(INPUT_DATA!AI:AI,INPUT_DATA!$A:$A,$B38,INPUT_DATA!$C:$C,"D"))</f>
        <v/>
      </c>
      <c r="CJ38" s="153" t="str">
        <f>IF($B38=0,"",SUMIFS(INPUT_DATA!AJ:AJ,INPUT_DATA!$A:$A,$B38,INPUT_DATA!$C:$C,"D"))</f>
        <v/>
      </c>
      <c r="CK38" s="153" t="str">
        <f>IF($B38=0,"",SUMIFS(INPUT_DATA!AK:AK,INPUT_DATA!$A:$A,$B38,INPUT_DATA!$C:$C,"D"))</f>
        <v/>
      </c>
      <c r="CL38" s="153" t="str">
        <f>IF($B38=0,"",SUMIFS(INPUT_DATA!AL:AL,INPUT_DATA!$A:$A,$B38,INPUT_DATA!$C:$C,"D"))</f>
        <v/>
      </c>
      <c r="CM38" s="153" t="str">
        <f>IF($B38=0,"",SUMIFS(INPUT_DATA!AM:AM,INPUT_DATA!$A:$A,$B38,INPUT_DATA!$C:$C,"D"))</f>
        <v/>
      </c>
      <c r="CN38" s="153" t="str">
        <f>IF($B38=0,"",SUMIFS(INPUT_DATA!AN:AN,INPUT_DATA!$A:$A,$B38,INPUT_DATA!$C:$C,"D"))</f>
        <v/>
      </c>
      <c r="CO38" s="153" t="str">
        <f>IF($B38=0,"",SUMIFS(INPUT_DATA!AO:AO,INPUT_DATA!$A:$A,$B38,INPUT_DATA!$C:$C,"D"))</f>
        <v/>
      </c>
      <c r="CP38" s="153" t="str">
        <f>IF($B38=0,"",SUMIFS(INPUT_DATA!AP:AP,INPUT_DATA!$A:$A,$B38,INPUT_DATA!$C:$C,"D"))</f>
        <v/>
      </c>
      <c r="CQ38" s="153" t="str">
        <f>IF($B38=0,"",SUMIFS(INPUT_DATA!AQ:AQ,INPUT_DATA!$A:$A,$B38,INPUT_DATA!$C:$C,"D"))</f>
        <v/>
      </c>
      <c r="CR38" s="750" t="str">
        <f t="shared" si="32"/>
        <v/>
      </c>
      <c r="CS38" s="750" t="str">
        <f t="shared" si="33"/>
        <v/>
      </c>
      <c r="CT38" s="750" t="str">
        <f t="shared" si="34"/>
        <v/>
      </c>
      <c r="CU38" s="739" t="str">
        <f>IF($B38=0,"",SUMIFS(INPUT_DATA!AR:AR,INPUT_DATA!$A:$A,$B38,INPUT_DATA!$C:$C,"D"))</f>
        <v/>
      </c>
      <c r="CV38" s="739" t="str">
        <f>IF($B38=0,"",SUMIFS(INPUT_DATA!AS:AS,INPUT_DATA!$A:$A,$B38,INPUT_DATA!$C:$C,"D"))</f>
        <v/>
      </c>
      <c r="CW38" s="739" t="str">
        <f>IF($B38=0,"",SUMIFS(INPUT_DATA!AT:AT,INPUT_DATA!$A:$A,$B38,INPUT_DATA!$C:$C,"D"))</f>
        <v/>
      </c>
      <c r="CX38" s="739" t="str">
        <f t="shared" si="35"/>
        <v/>
      </c>
      <c r="CY38" s="750" t="str">
        <f t="shared" si="36"/>
        <v/>
      </c>
      <c r="CZ38" s="761" t="str">
        <f t="shared" si="37"/>
        <v/>
      </c>
      <c r="DA38" s="150"/>
    </row>
    <row r="39" spans="1:105" ht="13" x14ac:dyDescent="0.25">
      <c r="B39" s="733">
        <f>INPUT_DATA!BQ26</f>
        <v>0</v>
      </c>
      <c r="C39" s="738" t="str">
        <f>IF($B39=0,"",SUMIFS(INPUT_DATA!D:D,INPUT_DATA!$A:$A,$B39,INPUT_DATA!$C:$C,"S"))</f>
        <v/>
      </c>
      <c r="D39" s="739" t="str">
        <f>IF($B39=0,"",SUMIFS(INPUT_DATA!E:E,INPUT_DATA!$A:$A,$B39,INPUT_DATA!$C:$C,"S"))</f>
        <v/>
      </c>
      <c r="E39" s="740" t="str">
        <f>IF($B39=0,"",SUMIFS(INPUT_DATA!F:F,INPUT_DATA!$A:$A,$B39,INPUT_DATA!$C:$C,"S"))</f>
        <v/>
      </c>
      <c r="F39" s="740" t="str">
        <f>IF($B39=0,"",SUMIFS(INPUT_DATA!G:G,INPUT_DATA!$A:$A,$B39,INPUT_DATA!$C:$C,"S"))</f>
        <v/>
      </c>
      <c r="G39" s="740" t="str">
        <f>IF($B39=0,"",SUMIFS(INPUT_DATA!H:H,INPUT_DATA!$A:$A,$B39,INPUT_DATA!$C:$C,"S"))</f>
        <v/>
      </c>
      <c r="H39" s="740" t="str">
        <f>IF($B39=0,"",SUMIFS(INPUT_DATA!I:I,INPUT_DATA!$A:$A,$B39,INPUT_DATA!$C:$C,"S"))</f>
        <v/>
      </c>
      <c r="I39" s="740" t="str">
        <f>IF($B39=0,"",SUMIFS(INPUT_DATA!J:J,INPUT_DATA!$A:$A,$B39,INPUT_DATA!$C:$C,"S"))</f>
        <v/>
      </c>
      <c r="J39" s="740" t="str">
        <f>IF($B39=0,"",SUMIFS(INPUT_DATA!K:K,INPUT_DATA!$A:$A,$B39,INPUT_DATA!$C:$C,"S"))</f>
        <v/>
      </c>
      <c r="K39" s="740" t="str">
        <f>IF($B39=0,"",SUMIFS(INPUT_DATA!L:L,INPUT_DATA!$A:$A,$B39,INPUT_DATA!$C:$C,"S"))</f>
        <v/>
      </c>
      <c r="L39" s="740" t="str">
        <f>IF($B39=0,"",SUMIFS(INPUT_DATA!M:M,INPUT_DATA!$A:$A,$B39,INPUT_DATA!$C:$C,"S"))</f>
        <v/>
      </c>
      <c r="M39" s="740" t="str">
        <f>IF($B39=0,"",SUMIFS(INPUT_DATA!N:N,INPUT_DATA!$A:$A,$B39,INPUT_DATA!$C:$C,"S"))</f>
        <v/>
      </c>
      <c r="N39" s="740" t="str">
        <f>IF($B39=0,"",SUMIFS(INPUT_DATA!O:O,INPUT_DATA!$A:$A,$B39,INPUT_DATA!$C:$C,"S"))</f>
        <v/>
      </c>
      <c r="O39" s="741" t="str">
        <f t="shared" si="38"/>
        <v/>
      </c>
      <c r="P39" s="742" t="str">
        <f>IF($B39=0,"",SUMIFS(INPUT_DATA!P:P,INPUT_DATA!$A:$A,$B39,INPUT_DATA!$C:$C,"S"))</f>
        <v/>
      </c>
      <c r="Q39" s="742" t="str">
        <f t="shared" si="39"/>
        <v/>
      </c>
      <c r="R39" s="748" t="str">
        <f>IF($B39=0,"",SUMIFS(INPUT_DATA!Q:Q,INPUT_DATA!$A:$A,$B39,INPUT_DATA!$C:$C,"S"))</f>
        <v/>
      </c>
      <c r="S39" s="748" t="str">
        <f>IF($B39=0,"",SUMIFS(INPUT_DATA!R:R,INPUT_DATA!$A:$A,$B39,INPUT_DATA!$C:$C,"S"))</f>
        <v/>
      </c>
      <c r="T39" s="748" t="str">
        <f>IF($B39=0,"",SUMIFS(INPUT_DATA!S:S,INPUT_DATA!$A:$A,$B39,INPUT_DATA!$C:$C,"S"))</f>
        <v/>
      </c>
      <c r="U39" s="313" t="str">
        <f>IF($B39=0,"",SUMIFS(INPUT_DATA!T:T,INPUT_DATA!$A:$A,$B39,INPUT_DATA!$C:$C,"S"))</f>
        <v/>
      </c>
      <c r="V39" s="313" t="str">
        <f>IF($B39=0,"",SUMIFS(INPUT_DATA!U:U,INPUT_DATA!$A:$A,$B39,INPUT_DATA!$C:$C,"S"))</f>
        <v/>
      </c>
      <c r="W39" s="313" t="str">
        <f>IF($B39=0,"",SUMIFS(INPUT_DATA!V:V,INPUT_DATA!$A:$A,$B39,INPUT_DATA!$C:$C,"S"))</f>
        <v/>
      </c>
      <c r="X39" s="313" t="str">
        <f>IF($B39=0,"",SUMIFS(INPUT_DATA!W:W,INPUT_DATA!$A:$A,$B39,INPUT_DATA!$C:$C,"S"))</f>
        <v/>
      </c>
      <c r="Y39" s="313" t="str">
        <f>IF($B39=0,"",SUMIFS(INPUT_DATA!X:X,INPUT_DATA!$A:$A,$B39,INPUT_DATA!$C:$C,"S"))</f>
        <v/>
      </c>
      <c r="Z39" s="313" t="str">
        <f>IF($B39=0,"",SUMIFS(INPUT_DATA!Y:Y,INPUT_DATA!$A:$A,$B39,INPUT_DATA!$C:$C,"S"))</f>
        <v/>
      </c>
      <c r="AA39" s="313" t="str">
        <f>IF($B39=0,"",SUMIFS(INPUT_DATA!Z:Z,INPUT_DATA!$A:$A,$B39,INPUT_DATA!$C:$C,"S"))</f>
        <v/>
      </c>
      <c r="AB39" s="313" t="str">
        <f>IF($B39=0,"",SUMIFS(INPUT_DATA!AA:AA,INPUT_DATA!$A:$A,$B39,INPUT_DATA!$C:$C,"S"))</f>
        <v/>
      </c>
      <c r="AC39" s="313" t="str">
        <f>IF($B39=0,"",SUMIFS(INPUT_DATA!AB:AB,INPUT_DATA!$A:$A,$B39,INPUT_DATA!$C:$C,"S"))</f>
        <v/>
      </c>
      <c r="AD39" s="313" t="str">
        <f>IF($B39=0,"",SUMIFS(INPUT_DATA!AC:AC,INPUT_DATA!$A:$A,$B39,INPUT_DATA!$C:$C,"S"))</f>
        <v/>
      </c>
      <c r="AE39" s="313" t="str">
        <f>IF($B39=0,"",SUMIFS(INPUT_DATA!AD:AD,INPUT_DATA!$A:$A,$B39,INPUT_DATA!$C:$C,"S"))</f>
        <v/>
      </c>
      <c r="AF39" s="313" t="str">
        <f>IF($B39=0,"",SUMIFS(INPUT_DATA!AE:AE,INPUT_DATA!$A:$A,$B39,INPUT_DATA!$C:$C,"S"))</f>
        <v/>
      </c>
      <c r="AG39" s="313" t="str">
        <f>IF($B39=0,"",SUMIFS(INPUT_DATA!AF:AF,INPUT_DATA!$A:$A,$B39,INPUT_DATA!$C:$C,"S"))</f>
        <v/>
      </c>
      <c r="AH39" s="313" t="str">
        <f>IF($B39=0,"",SUMIFS(INPUT_DATA!AG:AG,INPUT_DATA!$A:$A,$B39,INPUT_DATA!$C:$C,"S"))</f>
        <v/>
      </c>
      <c r="AI39" s="313" t="str">
        <f>IF($B39=0,"",SUMIFS(INPUT_DATA!AH:AH,INPUT_DATA!$A:$A,$B39,INPUT_DATA!$C:$C,"S"))</f>
        <v/>
      </c>
      <c r="AJ39" s="313" t="str">
        <f>IF($B39=0,"",SUMIFS(INPUT_DATA!AI:AI,INPUT_DATA!$A:$A,$B39,INPUT_DATA!$C:$C,"S"))</f>
        <v/>
      </c>
      <c r="AK39" s="313" t="str">
        <f>IF($B39=0,"",SUMIFS(INPUT_DATA!AJ:AJ,INPUT_DATA!$A:$A,$B39,INPUT_DATA!$C:$C,"S"))</f>
        <v/>
      </c>
      <c r="AL39" s="313" t="str">
        <f>IF($B39=0,"",SUMIFS(INPUT_DATA!AK:AK,INPUT_DATA!$A:$A,$B39,INPUT_DATA!$C:$C,"S"))</f>
        <v/>
      </c>
      <c r="AM39" s="313" t="str">
        <f>IF($B39=0,"",SUMIFS(INPUT_DATA!AL:AL,INPUT_DATA!$A:$A,$B39,INPUT_DATA!$C:$C,"S"))</f>
        <v/>
      </c>
      <c r="AN39" s="313" t="str">
        <f>IF($B39=0,"",SUMIFS(INPUT_DATA!AM:AM,INPUT_DATA!$A:$A,$B39,INPUT_DATA!$C:$C,"S"))</f>
        <v/>
      </c>
      <c r="AO39" s="313" t="str">
        <f>IF($B39=0,"",SUMIFS(INPUT_DATA!AN:AN,INPUT_DATA!$A:$A,$B39,INPUT_DATA!$C:$C,"S"))</f>
        <v/>
      </c>
      <c r="AP39" s="313" t="str">
        <f>IF($B39=0,"",SUMIFS(INPUT_DATA!AO:AO,INPUT_DATA!$A:$A,$B39,INPUT_DATA!$C:$C,"S"))</f>
        <v/>
      </c>
      <c r="AQ39" s="313" t="str">
        <f>IF($B39=0,"",SUMIFS(INPUT_DATA!AP:AP,INPUT_DATA!$A:$A,$B39,INPUT_DATA!$C:$C,"S"))</f>
        <v/>
      </c>
      <c r="AR39" s="313" t="str">
        <f>IF($B39=0,"",SUMIFS(INPUT_DATA!AQ:AQ,INPUT_DATA!$A:$A,$B39,INPUT_DATA!$C:$C,"S"))</f>
        <v/>
      </c>
      <c r="AS39" s="749" t="str">
        <f t="shared" si="29"/>
        <v/>
      </c>
      <c r="AT39" s="750" t="str">
        <f t="shared" si="30"/>
        <v/>
      </c>
      <c r="AU39" s="751" t="str">
        <f t="shared" si="31"/>
        <v/>
      </c>
      <c r="AV39" s="749" t="str">
        <f>IF($B39=0,"",SUMIFS(INPUT_DATA!AR:AR,INPUT_DATA!$A:$A,$B39,INPUT_DATA!$C:$C,"S"))</f>
        <v/>
      </c>
      <c r="AW39" s="750" t="str">
        <f>IF($B39=0,"",SUMIFS(INPUT_DATA!AS:AS,INPUT_DATA!$A:$A,$B39,INPUT_DATA!$C:$C,"S"))</f>
        <v/>
      </c>
      <c r="AX39" s="751" t="str">
        <f>IF($B39=0,"",SUMIFS(INPUT_DATA!AT:AT,INPUT_DATA!$A:$A,$B39,INPUT_DATA!$C:$C,"S"))</f>
        <v/>
      </c>
      <c r="AY39" s="749" t="str">
        <f t="shared" si="15"/>
        <v/>
      </c>
      <c r="AZ39" s="750" t="str">
        <f t="shared" si="16"/>
        <v/>
      </c>
      <c r="BA39" s="751" t="str">
        <f t="shared" si="17"/>
        <v/>
      </c>
      <c r="BB39" s="150"/>
      <c r="BC39" s="738" t="str">
        <f>IF($B39=0,"",SUMIFS(INPUT_DATA!D:D,INPUT_DATA!$A:$A,$B39,INPUT_DATA!$C:$C,"D"))</f>
        <v/>
      </c>
      <c r="BD39" s="312" t="str">
        <f>IF($B39=0,"",SUMIFS(INPUT_DATA!F:F,INPUT_DATA!$A:$A,$B39,INPUT_DATA!$C:$C,"D"))</f>
        <v/>
      </c>
      <c r="BE39" s="312" t="str">
        <f>IF($B39=0,"",SUMIFS(INPUT_DATA!G:G,INPUT_DATA!$A:$A,$B39,INPUT_DATA!$C:$C,"D"))</f>
        <v/>
      </c>
      <c r="BF39" s="312" t="str">
        <f>IF($B39=0,"",SUMIFS(INPUT_DATA!H:H,INPUT_DATA!$A:$A,$B39,INPUT_DATA!$C:$C,"D"))</f>
        <v/>
      </c>
      <c r="BG39" s="312" t="str">
        <f>IF($B39=0,"",SUMIFS(INPUT_DATA!I:I,INPUT_DATA!$A:$A,$B39,INPUT_DATA!$C:$C,"D"))</f>
        <v/>
      </c>
      <c r="BH39" s="312" t="str">
        <f>IF($B39=0,"",SUMIFS(INPUT_DATA!J:J,INPUT_DATA!$A:$A,$B39,INPUT_DATA!$C:$C,"D"))</f>
        <v/>
      </c>
      <c r="BI39" s="312" t="str">
        <f>IF($B39=0,"",SUMIFS(INPUT_DATA!K:K,INPUT_DATA!$A:$A,$B39,INPUT_DATA!$C:$C,"D"))</f>
        <v/>
      </c>
      <c r="BJ39" s="312" t="str">
        <f>IF($B39=0,"",SUMIFS(INPUT_DATA!L:L,INPUT_DATA!$A:$A,$B39,INPUT_DATA!$C:$C,"D"))</f>
        <v/>
      </c>
      <c r="BK39" s="312" t="str">
        <f>IF($B39=0,"",SUMIFS(INPUT_DATA!M:M,INPUT_DATA!$A:$A,$B39,INPUT_DATA!$C:$C,"D"))</f>
        <v/>
      </c>
      <c r="BL39" s="312" t="str">
        <f>IF($B39=0,"",SUMIFS(INPUT_DATA!N:N,INPUT_DATA!$A:$A,$B39,INPUT_DATA!$C:$C,"D"))</f>
        <v/>
      </c>
      <c r="BM39" s="312" t="str">
        <f>IF($B39=0,"",SUMIFS(INPUT_DATA!O:O,INPUT_DATA!$A:$A,$B39,INPUT_DATA!$C:$C,"D"))</f>
        <v/>
      </c>
      <c r="BN39" s="754" t="str">
        <f t="shared" si="18"/>
        <v/>
      </c>
      <c r="BO39" s="754" t="str">
        <f>IF($B39=0,"",SUMIFS(INPUT_DATA!O:O,INPUT_DATA!$A:$A,$B39,INPUT_DATA!$C:$C,"D"))</f>
        <v/>
      </c>
      <c r="BP39" s="754" t="str">
        <f t="shared" si="19"/>
        <v/>
      </c>
      <c r="BQ39" s="738" t="str">
        <f>IF($B39=0,"",SUMIFS(INPUT_DATA!Q:Q,INPUT_DATA!$A:$A,$B39,INPUT_DATA!$C:$C,"D"))</f>
        <v/>
      </c>
      <c r="BR39" s="760" t="str">
        <f>IF($B39=0,"",SUMIFS(INPUT_DATA!R:R,INPUT_DATA!$A:$A,$B39,INPUT_DATA!$C:$C,"D"))</f>
        <v/>
      </c>
      <c r="BS39" s="760" t="str">
        <f>IF($B39=0,"",SUMIFS(INPUT_DATA!S:S,INPUT_DATA!$A:$A,$B39,INPUT_DATA!$C:$C,"D"))</f>
        <v/>
      </c>
      <c r="BT39" s="312" t="str">
        <f>IF($B39=0,"",SUMIFS(INPUT_DATA!T:T,INPUT_DATA!$A:$A,$B39,INPUT_DATA!$C:$C,"D"))</f>
        <v/>
      </c>
      <c r="BU39" s="312" t="str">
        <f>IF($B39=0,"",SUMIFS(INPUT_DATA!U:U,INPUT_DATA!$A:$A,$B39,INPUT_DATA!$C:$C,"D"))</f>
        <v/>
      </c>
      <c r="BV39" s="312" t="str">
        <f>IF($B39=0,"",SUMIFS(INPUT_DATA!V:V,INPUT_DATA!$A:$A,$B39,INPUT_DATA!$C:$C,"D"))</f>
        <v/>
      </c>
      <c r="BW39" s="312" t="str">
        <f>IF($B39=0,"",SUMIFS(INPUT_DATA!W:W,INPUT_DATA!$A:$A,$B39,INPUT_DATA!$C:$C,"D"))</f>
        <v/>
      </c>
      <c r="BX39" s="312" t="str">
        <f>IF($B39=0,"",SUMIFS(INPUT_DATA!X:X,INPUT_DATA!$A:$A,$B39,INPUT_DATA!$C:$C,"D"))</f>
        <v/>
      </c>
      <c r="BY39" s="312" t="str">
        <f>IF($B39=0,"",SUMIFS(INPUT_DATA!Y:Y,INPUT_DATA!$A:$A,$B39,INPUT_DATA!$C:$C,"D"))</f>
        <v/>
      </c>
      <c r="BZ39" s="353" t="str">
        <f>IF($B39=0,"",SUMIFS(INPUT_DATA!Z:Z,INPUT_DATA!$A:$A,$B39,INPUT_DATA!$C:$C,"D"))</f>
        <v/>
      </c>
      <c r="CA39" s="353" t="str">
        <f>IF($B39=0,"",SUMIFS(INPUT_DATA!AA:AA,INPUT_DATA!$A:$A,$B39,INPUT_DATA!$C:$C,"D"))</f>
        <v/>
      </c>
      <c r="CB39" s="353" t="str">
        <f>IF($B39=0,"",SUMIFS(INPUT_DATA!AB:AB,INPUT_DATA!$A:$A,$B39,INPUT_DATA!$C:$C,"D"))</f>
        <v/>
      </c>
      <c r="CC39" s="312" t="str">
        <f>IF($B39=0,"",SUMIFS(INPUT_DATA!AC:AC,INPUT_DATA!$A:$A,$B39,INPUT_DATA!$C:$C,"D"))</f>
        <v/>
      </c>
      <c r="CD39" s="312" t="str">
        <f>IF($B39=0,"",SUMIFS(INPUT_DATA!AD:AD,INPUT_DATA!$A:$A,$B39,INPUT_DATA!$C:$C,"D"))</f>
        <v/>
      </c>
      <c r="CE39" s="312" t="str">
        <f>IF($B39=0,"",SUMIFS(INPUT_DATA!AE:AE,INPUT_DATA!$A:$A,$B39,INPUT_DATA!$C:$C,"D"))</f>
        <v/>
      </c>
      <c r="CF39" s="353" t="str">
        <f>IF($B39=0,"",SUMIFS(INPUT_DATA!AF:AF,INPUT_DATA!$A:$A,$B39,INPUT_DATA!$C:$C,"D"))</f>
        <v/>
      </c>
      <c r="CG39" s="353" t="str">
        <f>IF($B39=0,"",SUMIFS(INPUT_DATA!AG:AG,INPUT_DATA!$A:$A,$B39,INPUT_DATA!$C:$C,"D"))</f>
        <v/>
      </c>
      <c r="CH39" s="353" t="str">
        <f>IF($B39=0,"",SUMIFS(INPUT_DATA!AH:AH,INPUT_DATA!$A:$A,$B39,INPUT_DATA!$C:$C,"D"))</f>
        <v/>
      </c>
      <c r="CI39" s="153" t="str">
        <f>IF($B39=0,"",SUMIFS(INPUT_DATA!AI:AI,INPUT_DATA!$A:$A,$B39,INPUT_DATA!$C:$C,"D"))</f>
        <v/>
      </c>
      <c r="CJ39" s="153" t="str">
        <f>IF($B39=0,"",SUMIFS(INPUT_DATA!AJ:AJ,INPUT_DATA!$A:$A,$B39,INPUT_DATA!$C:$C,"D"))</f>
        <v/>
      </c>
      <c r="CK39" s="153" t="str">
        <f>IF($B39=0,"",SUMIFS(INPUT_DATA!AK:AK,INPUT_DATA!$A:$A,$B39,INPUT_DATA!$C:$C,"D"))</f>
        <v/>
      </c>
      <c r="CL39" s="153" t="str">
        <f>IF($B39=0,"",SUMIFS(INPUT_DATA!AL:AL,INPUT_DATA!$A:$A,$B39,INPUT_DATA!$C:$C,"D"))</f>
        <v/>
      </c>
      <c r="CM39" s="153" t="str">
        <f>IF($B39=0,"",SUMIFS(INPUT_DATA!AM:AM,INPUT_DATA!$A:$A,$B39,INPUT_DATA!$C:$C,"D"))</f>
        <v/>
      </c>
      <c r="CN39" s="153" t="str">
        <f>IF($B39=0,"",SUMIFS(INPUT_DATA!AN:AN,INPUT_DATA!$A:$A,$B39,INPUT_DATA!$C:$C,"D"))</f>
        <v/>
      </c>
      <c r="CO39" s="153" t="str">
        <f>IF($B39=0,"",SUMIFS(INPUT_DATA!AO:AO,INPUT_DATA!$A:$A,$B39,INPUT_DATA!$C:$C,"D"))</f>
        <v/>
      </c>
      <c r="CP39" s="153" t="str">
        <f>IF($B39=0,"",SUMIFS(INPUT_DATA!AP:AP,INPUT_DATA!$A:$A,$B39,INPUT_DATA!$C:$C,"D"))</f>
        <v/>
      </c>
      <c r="CQ39" s="153" t="str">
        <f>IF($B39=0,"",SUMIFS(INPUT_DATA!AQ:AQ,INPUT_DATA!$A:$A,$B39,INPUT_DATA!$C:$C,"D"))</f>
        <v/>
      </c>
      <c r="CR39" s="750" t="str">
        <f t="shared" si="32"/>
        <v/>
      </c>
      <c r="CS39" s="750" t="str">
        <f t="shared" si="33"/>
        <v/>
      </c>
      <c r="CT39" s="750" t="str">
        <f t="shared" si="34"/>
        <v/>
      </c>
      <c r="CU39" s="739" t="str">
        <f>IF($B39=0,"",SUMIFS(INPUT_DATA!AR:AR,INPUT_DATA!$A:$A,$B39,INPUT_DATA!$C:$C,"D"))</f>
        <v/>
      </c>
      <c r="CV39" s="739" t="str">
        <f>IF($B39=0,"",SUMIFS(INPUT_DATA!AS:AS,INPUT_DATA!$A:$A,$B39,INPUT_DATA!$C:$C,"D"))</f>
        <v/>
      </c>
      <c r="CW39" s="739" t="str">
        <f>IF($B39=0,"",SUMIFS(INPUT_DATA!AT:AT,INPUT_DATA!$A:$A,$B39,INPUT_DATA!$C:$C,"D"))</f>
        <v/>
      </c>
      <c r="CX39" s="739" t="str">
        <f t="shared" si="35"/>
        <v/>
      </c>
      <c r="CY39" s="750" t="str">
        <f t="shared" si="36"/>
        <v/>
      </c>
      <c r="CZ39" s="761" t="str">
        <f t="shared" si="37"/>
        <v/>
      </c>
      <c r="DA39" s="150"/>
    </row>
    <row r="40" spans="1:105" ht="13" x14ac:dyDescent="0.25">
      <c r="B40" s="733">
        <f>INPUT_DATA!BQ27</f>
        <v>0</v>
      </c>
      <c r="C40" s="738" t="str">
        <f>IF($B40=0,"",SUMIFS(INPUT_DATA!D:D,INPUT_DATA!$A:$A,$B40,INPUT_DATA!$C:$C,"S"))</f>
        <v/>
      </c>
      <c r="D40" s="739" t="str">
        <f>IF($B40=0,"",SUMIFS(INPUT_DATA!E:E,INPUT_DATA!$A:$A,$B40,INPUT_DATA!$C:$C,"S"))</f>
        <v/>
      </c>
      <c r="E40" s="740" t="str">
        <f>IF($B40=0,"",SUMIFS(INPUT_DATA!F:F,INPUT_DATA!$A:$A,$B40,INPUT_DATA!$C:$C,"S"))</f>
        <v/>
      </c>
      <c r="F40" s="740" t="str">
        <f>IF($B40=0,"",SUMIFS(INPUT_DATA!G:G,INPUT_DATA!$A:$A,$B40,INPUT_DATA!$C:$C,"S"))</f>
        <v/>
      </c>
      <c r="G40" s="740" t="str">
        <f>IF($B40=0,"",SUMIFS(INPUT_DATA!H:H,INPUT_DATA!$A:$A,$B40,INPUT_DATA!$C:$C,"S"))</f>
        <v/>
      </c>
      <c r="H40" s="740" t="str">
        <f>IF($B40=0,"",SUMIFS(INPUT_DATA!I:I,INPUT_DATA!$A:$A,$B40,INPUT_DATA!$C:$C,"S"))</f>
        <v/>
      </c>
      <c r="I40" s="740" t="str">
        <f>IF($B40=0,"",SUMIFS(INPUT_DATA!J:J,INPUT_DATA!$A:$A,$B40,INPUT_DATA!$C:$C,"S"))</f>
        <v/>
      </c>
      <c r="J40" s="740" t="str">
        <f>IF($B40=0,"",SUMIFS(INPUT_DATA!K:K,INPUT_DATA!$A:$A,$B40,INPUT_DATA!$C:$C,"S"))</f>
        <v/>
      </c>
      <c r="K40" s="740" t="str">
        <f>IF($B40=0,"",SUMIFS(INPUT_DATA!L:L,INPUT_DATA!$A:$A,$B40,INPUT_DATA!$C:$C,"S"))</f>
        <v/>
      </c>
      <c r="L40" s="740" t="str">
        <f>IF($B40=0,"",SUMIFS(INPUT_DATA!M:M,INPUT_DATA!$A:$A,$B40,INPUT_DATA!$C:$C,"S"))</f>
        <v/>
      </c>
      <c r="M40" s="740" t="str">
        <f>IF($B40=0,"",SUMIFS(INPUT_DATA!N:N,INPUT_DATA!$A:$A,$B40,INPUT_DATA!$C:$C,"S"))</f>
        <v/>
      </c>
      <c r="N40" s="740" t="str">
        <f>IF($B40=0,"",SUMIFS(INPUT_DATA!O:O,INPUT_DATA!$A:$A,$B40,INPUT_DATA!$C:$C,"S"))</f>
        <v/>
      </c>
      <c r="O40" s="741" t="str">
        <f t="shared" si="38"/>
        <v/>
      </c>
      <c r="P40" s="742" t="str">
        <f>IF($B40=0,"",SUMIFS(INPUT_DATA!P:P,INPUT_DATA!$A:$A,$B40,INPUT_DATA!$C:$C,"S"))</f>
        <v/>
      </c>
      <c r="Q40" s="742" t="str">
        <f t="shared" si="39"/>
        <v/>
      </c>
      <c r="R40" s="748" t="str">
        <f>IF($B40=0,"",SUMIFS(INPUT_DATA!Q:Q,INPUT_DATA!$A:$A,$B40,INPUT_DATA!$C:$C,"S"))</f>
        <v/>
      </c>
      <c r="S40" s="748" t="str">
        <f>IF($B40=0,"",SUMIFS(INPUT_DATA!R:R,INPUT_DATA!$A:$A,$B40,INPUT_DATA!$C:$C,"S"))</f>
        <v/>
      </c>
      <c r="T40" s="748" t="str">
        <f>IF($B40=0,"",SUMIFS(INPUT_DATA!S:S,INPUT_DATA!$A:$A,$B40,INPUT_DATA!$C:$C,"S"))</f>
        <v/>
      </c>
      <c r="U40" s="313" t="str">
        <f>IF($B40=0,"",SUMIFS(INPUT_DATA!T:T,INPUT_DATA!$A:$A,$B40,INPUT_DATA!$C:$C,"S"))</f>
        <v/>
      </c>
      <c r="V40" s="313" t="str">
        <f>IF($B40=0,"",SUMIFS(INPUT_DATA!U:U,INPUT_DATA!$A:$A,$B40,INPUT_DATA!$C:$C,"S"))</f>
        <v/>
      </c>
      <c r="W40" s="313" t="str">
        <f>IF($B40=0,"",SUMIFS(INPUT_DATA!V:V,INPUT_DATA!$A:$A,$B40,INPUT_DATA!$C:$C,"S"))</f>
        <v/>
      </c>
      <c r="X40" s="313" t="str">
        <f>IF($B40=0,"",SUMIFS(INPUT_DATA!W:W,INPUT_DATA!$A:$A,$B40,INPUT_DATA!$C:$C,"S"))</f>
        <v/>
      </c>
      <c r="Y40" s="313" t="str">
        <f>IF($B40=0,"",SUMIFS(INPUT_DATA!X:X,INPUT_DATA!$A:$A,$B40,INPUT_DATA!$C:$C,"S"))</f>
        <v/>
      </c>
      <c r="Z40" s="313" t="str">
        <f>IF($B40=0,"",SUMIFS(INPUT_DATA!Y:Y,INPUT_DATA!$A:$A,$B40,INPUT_DATA!$C:$C,"S"))</f>
        <v/>
      </c>
      <c r="AA40" s="313" t="str">
        <f>IF($B40=0,"",SUMIFS(INPUT_DATA!Z:Z,INPUT_DATA!$A:$A,$B40,INPUT_DATA!$C:$C,"S"))</f>
        <v/>
      </c>
      <c r="AB40" s="313" t="str">
        <f>IF($B40=0,"",SUMIFS(INPUT_DATA!AA:AA,INPUT_DATA!$A:$A,$B40,INPUT_DATA!$C:$C,"S"))</f>
        <v/>
      </c>
      <c r="AC40" s="313" t="str">
        <f>IF($B40=0,"",SUMIFS(INPUT_DATA!AB:AB,INPUT_DATA!$A:$A,$B40,INPUT_DATA!$C:$C,"S"))</f>
        <v/>
      </c>
      <c r="AD40" s="313" t="str">
        <f>IF($B40=0,"",SUMIFS(INPUT_DATA!AC:AC,INPUT_DATA!$A:$A,$B40,INPUT_DATA!$C:$C,"S"))</f>
        <v/>
      </c>
      <c r="AE40" s="313" t="str">
        <f>IF($B40=0,"",SUMIFS(INPUT_DATA!AD:AD,INPUT_DATA!$A:$A,$B40,INPUT_DATA!$C:$C,"S"))</f>
        <v/>
      </c>
      <c r="AF40" s="313" t="str">
        <f>IF($B40=0,"",SUMIFS(INPUT_DATA!AE:AE,INPUT_DATA!$A:$A,$B40,INPUT_DATA!$C:$C,"S"))</f>
        <v/>
      </c>
      <c r="AG40" s="313" t="str">
        <f>IF($B40=0,"",SUMIFS(INPUT_DATA!AF:AF,INPUT_DATA!$A:$A,$B40,INPUT_DATA!$C:$C,"S"))</f>
        <v/>
      </c>
      <c r="AH40" s="313" t="str">
        <f>IF($B40=0,"",SUMIFS(INPUT_DATA!AG:AG,INPUT_DATA!$A:$A,$B40,INPUT_DATA!$C:$C,"S"))</f>
        <v/>
      </c>
      <c r="AI40" s="313" t="str">
        <f>IF($B40=0,"",SUMIFS(INPUT_DATA!AH:AH,INPUT_DATA!$A:$A,$B40,INPUT_DATA!$C:$C,"S"))</f>
        <v/>
      </c>
      <c r="AJ40" s="313" t="str">
        <f>IF($B40=0,"",SUMIFS(INPUT_DATA!AI:AI,INPUT_DATA!$A:$A,$B40,INPUT_DATA!$C:$C,"S"))</f>
        <v/>
      </c>
      <c r="AK40" s="313" t="str">
        <f>IF($B40=0,"",SUMIFS(INPUT_DATA!AJ:AJ,INPUT_DATA!$A:$A,$B40,INPUT_DATA!$C:$C,"S"))</f>
        <v/>
      </c>
      <c r="AL40" s="313" t="str">
        <f>IF($B40=0,"",SUMIFS(INPUT_DATA!AK:AK,INPUT_DATA!$A:$A,$B40,INPUT_DATA!$C:$C,"S"))</f>
        <v/>
      </c>
      <c r="AM40" s="313" t="str">
        <f>IF($B40=0,"",SUMIFS(INPUT_DATA!AL:AL,INPUT_DATA!$A:$A,$B40,INPUT_DATA!$C:$C,"S"))</f>
        <v/>
      </c>
      <c r="AN40" s="313" t="str">
        <f>IF($B40=0,"",SUMIFS(INPUT_DATA!AM:AM,INPUT_DATA!$A:$A,$B40,INPUT_DATA!$C:$C,"S"))</f>
        <v/>
      </c>
      <c r="AO40" s="313" t="str">
        <f>IF($B40=0,"",SUMIFS(INPUT_DATA!AN:AN,INPUT_DATA!$A:$A,$B40,INPUT_DATA!$C:$C,"S"))</f>
        <v/>
      </c>
      <c r="AP40" s="313" t="str">
        <f>IF($B40=0,"",SUMIFS(INPUT_DATA!AO:AO,INPUT_DATA!$A:$A,$B40,INPUT_DATA!$C:$C,"S"))</f>
        <v/>
      </c>
      <c r="AQ40" s="313" t="str">
        <f>IF($B40=0,"",SUMIFS(INPUT_DATA!AP:AP,INPUT_DATA!$A:$A,$B40,INPUT_DATA!$C:$C,"S"))</f>
        <v/>
      </c>
      <c r="AR40" s="313" t="str">
        <f>IF($B40=0,"",SUMIFS(INPUT_DATA!AQ:AQ,INPUT_DATA!$A:$A,$B40,INPUT_DATA!$C:$C,"S"))</f>
        <v/>
      </c>
      <c r="AS40" s="749" t="str">
        <f t="shared" si="29"/>
        <v/>
      </c>
      <c r="AT40" s="750" t="str">
        <f t="shared" si="30"/>
        <v/>
      </c>
      <c r="AU40" s="751" t="str">
        <f t="shared" si="31"/>
        <v/>
      </c>
      <c r="AV40" s="749" t="str">
        <f>IF($B40=0,"",SUMIFS(INPUT_DATA!AR:AR,INPUT_DATA!$A:$A,$B40,INPUT_DATA!$C:$C,"S"))</f>
        <v/>
      </c>
      <c r="AW40" s="750" t="str">
        <f>IF($B40=0,"",SUMIFS(INPUT_DATA!AS:AS,INPUT_DATA!$A:$A,$B40,INPUT_DATA!$C:$C,"S"))</f>
        <v/>
      </c>
      <c r="AX40" s="751" t="str">
        <f>IF($B40=0,"",SUMIFS(INPUT_DATA!AT:AT,INPUT_DATA!$A:$A,$B40,INPUT_DATA!$C:$C,"S"))</f>
        <v/>
      </c>
      <c r="AY40" s="749" t="str">
        <f t="shared" si="15"/>
        <v/>
      </c>
      <c r="AZ40" s="750" t="str">
        <f t="shared" si="16"/>
        <v/>
      </c>
      <c r="BA40" s="751" t="str">
        <f t="shared" si="17"/>
        <v/>
      </c>
      <c r="BB40" s="150"/>
      <c r="BC40" s="738" t="str">
        <f>IF($B40=0,"",SUMIFS(INPUT_DATA!D:D,INPUT_DATA!$A:$A,$B40,INPUT_DATA!$C:$C,"D"))</f>
        <v/>
      </c>
      <c r="BD40" s="312" t="str">
        <f>IF($B40=0,"",SUMIFS(INPUT_DATA!F:F,INPUT_DATA!$A:$A,$B40,INPUT_DATA!$C:$C,"D"))</f>
        <v/>
      </c>
      <c r="BE40" s="312" t="str">
        <f>IF($B40=0,"",SUMIFS(INPUT_DATA!G:G,INPUT_DATA!$A:$A,$B40,INPUT_DATA!$C:$C,"D"))</f>
        <v/>
      </c>
      <c r="BF40" s="312" t="str">
        <f>IF($B40=0,"",SUMIFS(INPUT_DATA!H:H,INPUT_DATA!$A:$A,$B40,INPUT_DATA!$C:$C,"D"))</f>
        <v/>
      </c>
      <c r="BG40" s="312" t="str">
        <f>IF($B40=0,"",SUMIFS(INPUT_DATA!I:I,INPUT_DATA!$A:$A,$B40,INPUT_DATA!$C:$C,"D"))</f>
        <v/>
      </c>
      <c r="BH40" s="312" t="str">
        <f>IF($B40=0,"",SUMIFS(INPUT_DATA!J:J,INPUT_DATA!$A:$A,$B40,INPUT_DATA!$C:$C,"D"))</f>
        <v/>
      </c>
      <c r="BI40" s="312" t="str">
        <f>IF($B40=0,"",SUMIFS(INPUT_DATA!K:K,INPUT_DATA!$A:$A,$B40,INPUT_DATA!$C:$C,"D"))</f>
        <v/>
      </c>
      <c r="BJ40" s="312" t="str">
        <f>IF($B40=0,"",SUMIFS(INPUT_DATA!L:L,INPUT_DATA!$A:$A,$B40,INPUT_DATA!$C:$C,"D"))</f>
        <v/>
      </c>
      <c r="BK40" s="312" t="str">
        <f>IF($B40=0,"",SUMIFS(INPUT_DATA!M:M,INPUT_DATA!$A:$A,$B40,INPUT_DATA!$C:$C,"D"))</f>
        <v/>
      </c>
      <c r="BL40" s="312" t="str">
        <f>IF($B40=0,"",SUMIFS(INPUT_DATA!N:N,INPUT_DATA!$A:$A,$B40,INPUT_DATA!$C:$C,"D"))</f>
        <v/>
      </c>
      <c r="BM40" s="312" t="str">
        <f>IF($B40=0,"",SUMIFS(INPUT_DATA!O:O,INPUT_DATA!$A:$A,$B40,INPUT_DATA!$C:$C,"D"))</f>
        <v/>
      </c>
      <c r="BN40" s="754" t="str">
        <f t="shared" si="18"/>
        <v/>
      </c>
      <c r="BO40" s="754" t="str">
        <f>IF($B40=0,"",SUMIFS(INPUT_DATA!O:O,INPUT_DATA!$A:$A,$B40,INPUT_DATA!$C:$C,"D"))</f>
        <v/>
      </c>
      <c r="BP40" s="754" t="str">
        <f t="shared" si="19"/>
        <v/>
      </c>
      <c r="BQ40" s="738" t="str">
        <f>IF($B40=0,"",SUMIFS(INPUT_DATA!Q:Q,INPUT_DATA!$A:$A,$B40,INPUT_DATA!$C:$C,"D"))</f>
        <v/>
      </c>
      <c r="BR40" s="760" t="str">
        <f>IF($B40=0,"",SUMIFS(INPUT_DATA!R:R,INPUT_DATA!$A:$A,$B40,INPUT_DATA!$C:$C,"D"))</f>
        <v/>
      </c>
      <c r="BS40" s="760" t="str">
        <f>IF($B40=0,"",SUMIFS(INPUT_DATA!S:S,INPUT_DATA!$A:$A,$B40,INPUT_DATA!$C:$C,"D"))</f>
        <v/>
      </c>
      <c r="BT40" s="312" t="str">
        <f>IF($B40=0,"",SUMIFS(INPUT_DATA!T:T,INPUT_DATA!$A:$A,$B40,INPUT_DATA!$C:$C,"D"))</f>
        <v/>
      </c>
      <c r="BU40" s="312" t="str">
        <f>IF($B40=0,"",SUMIFS(INPUT_DATA!U:U,INPUT_DATA!$A:$A,$B40,INPUT_DATA!$C:$C,"D"))</f>
        <v/>
      </c>
      <c r="BV40" s="312" t="str">
        <f>IF($B40=0,"",SUMIFS(INPUT_DATA!V:V,INPUT_DATA!$A:$A,$B40,INPUT_DATA!$C:$C,"D"))</f>
        <v/>
      </c>
      <c r="BW40" s="312" t="str">
        <f>IF($B40=0,"",SUMIFS(INPUT_DATA!W:W,INPUT_DATA!$A:$A,$B40,INPUT_DATA!$C:$C,"D"))</f>
        <v/>
      </c>
      <c r="BX40" s="312" t="str">
        <f>IF($B40=0,"",SUMIFS(INPUT_DATA!X:X,INPUT_DATA!$A:$A,$B40,INPUT_DATA!$C:$C,"D"))</f>
        <v/>
      </c>
      <c r="BY40" s="312" t="str">
        <f>IF($B40=0,"",SUMIFS(INPUT_DATA!Y:Y,INPUT_DATA!$A:$A,$B40,INPUT_DATA!$C:$C,"D"))</f>
        <v/>
      </c>
      <c r="BZ40" s="353" t="str">
        <f>IF($B40=0,"",SUMIFS(INPUT_DATA!Z:Z,INPUT_DATA!$A:$A,$B40,INPUT_DATA!$C:$C,"D"))</f>
        <v/>
      </c>
      <c r="CA40" s="353" t="str">
        <f>IF($B40=0,"",SUMIFS(INPUT_DATA!AA:AA,INPUT_DATA!$A:$A,$B40,INPUT_DATA!$C:$C,"D"))</f>
        <v/>
      </c>
      <c r="CB40" s="353" t="str">
        <f>IF($B40=0,"",SUMIFS(INPUT_DATA!AB:AB,INPUT_DATA!$A:$A,$B40,INPUT_DATA!$C:$C,"D"))</f>
        <v/>
      </c>
      <c r="CC40" s="312" t="str">
        <f>IF($B40=0,"",SUMIFS(INPUT_DATA!AC:AC,INPUT_DATA!$A:$A,$B40,INPUT_DATA!$C:$C,"D"))</f>
        <v/>
      </c>
      <c r="CD40" s="312" t="str">
        <f>IF($B40=0,"",SUMIFS(INPUT_DATA!AD:AD,INPUT_DATA!$A:$A,$B40,INPUT_DATA!$C:$C,"D"))</f>
        <v/>
      </c>
      <c r="CE40" s="312" t="str">
        <f>IF($B40=0,"",SUMIFS(INPUT_DATA!AE:AE,INPUT_DATA!$A:$A,$B40,INPUT_DATA!$C:$C,"D"))</f>
        <v/>
      </c>
      <c r="CF40" s="353" t="str">
        <f>IF($B40=0,"",SUMIFS(INPUT_DATA!AF:AF,INPUT_DATA!$A:$A,$B40,INPUT_DATA!$C:$C,"D"))</f>
        <v/>
      </c>
      <c r="CG40" s="353" t="str">
        <f>IF($B40=0,"",SUMIFS(INPUT_DATA!AG:AG,INPUT_DATA!$A:$A,$B40,INPUT_DATA!$C:$C,"D"))</f>
        <v/>
      </c>
      <c r="CH40" s="353" t="str">
        <f>IF($B40=0,"",SUMIFS(INPUT_DATA!AH:AH,INPUT_DATA!$A:$A,$B40,INPUT_DATA!$C:$C,"D"))</f>
        <v/>
      </c>
      <c r="CI40" s="153" t="str">
        <f>IF($B40=0,"",SUMIFS(INPUT_DATA!AI:AI,INPUT_DATA!$A:$A,$B40,INPUT_DATA!$C:$C,"D"))</f>
        <v/>
      </c>
      <c r="CJ40" s="153" t="str">
        <f>IF($B40=0,"",SUMIFS(INPUT_DATA!AJ:AJ,INPUT_DATA!$A:$A,$B40,INPUT_DATA!$C:$C,"D"))</f>
        <v/>
      </c>
      <c r="CK40" s="153" t="str">
        <f>IF($B40=0,"",SUMIFS(INPUT_DATA!AK:AK,INPUT_DATA!$A:$A,$B40,INPUT_DATA!$C:$C,"D"))</f>
        <v/>
      </c>
      <c r="CL40" s="153" t="str">
        <f>IF($B40=0,"",SUMIFS(INPUT_DATA!AL:AL,INPUT_DATA!$A:$A,$B40,INPUT_DATA!$C:$C,"D"))</f>
        <v/>
      </c>
      <c r="CM40" s="153" t="str">
        <f>IF($B40=0,"",SUMIFS(INPUT_DATA!AM:AM,INPUT_DATA!$A:$A,$B40,INPUT_DATA!$C:$C,"D"))</f>
        <v/>
      </c>
      <c r="CN40" s="153" t="str">
        <f>IF($B40=0,"",SUMIFS(INPUT_DATA!AN:AN,INPUT_DATA!$A:$A,$B40,INPUT_DATA!$C:$C,"D"))</f>
        <v/>
      </c>
      <c r="CO40" s="153" t="str">
        <f>IF($B40=0,"",SUMIFS(INPUT_DATA!AO:AO,INPUT_DATA!$A:$A,$B40,INPUT_DATA!$C:$C,"D"))</f>
        <v/>
      </c>
      <c r="CP40" s="153" t="str">
        <f>IF($B40=0,"",SUMIFS(INPUT_DATA!AP:AP,INPUT_DATA!$A:$A,$B40,INPUT_DATA!$C:$C,"D"))</f>
        <v/>
      </c>
      <c r="CQ40" s="153" t="str">
        <f>IF($B40=0,"",SUMIFS(INPUT_DATA!AQ:AQ,INPUT_DATA!$A:$A,$B40,INPUT_DATA!$C:$C,"D"))</f>
        <v/>
      </c>
      <c r="CR40" s="750" t="str">
        <f t="shared" si="32"/>
        <v/>
      </c>
      <c r="CS40" s="750" t="str">
        <f t="shared" si="33"/>
        <v/>
      </c>
      <c r="CT40" s="750" t="str">
        <f t="shared" si="34"/>
        <v/>
      </c>
      <c r="CU40" s="739" t="str">
        <f>IF($B40=0,"",SUMIFS(INPUT_DATA!AR:AR,INPUT_DATA!$A:$A,$B40,INPUT_DATA!$C:$C,"D"))</f>
        <v/>
      </c>
      <c r="CV40" s="739" t="str">
        <f>IF($B40=0,"",SUMIFS(INPUT_DATA!AS:AS,INPUT_DATA!$A:$A,$B40,INPUT_DATA!$C:$C,"D"))</f>
        <v/>
      </c>
      <c r="CW40" s="739" t="str">
        <f>IF($B40=0,"",SUMIFS(INPUT_DATA!AT:AT,INPUT_DATA!$A:$A,$B40,INPUT_DATA!$C:$C,"D"))</f>
        <v/>
      </c>
      <c r="CX40" s="739" t="str">
        <f t="shared" si="35"/>
        <v/>
      </c>
      <c r="CY40" s="750" t="str">
        <f t="shared" si="36"/>
        <v/>
      </c>
      <c r="CZ40" s="761" t="str">
        <f t="shared" si="37"/>
        <v/>
      </c>
      <c r="DA40" s="150"/>
    </row>
    <row r="41" spans="1:105" ht="13" x14ac:dyDescent="0.25">
      <c r="B41" s="733">
        <f>INPUT_DATA!BQ28</f>
        <v>0</v>
      </c>
      <c r="C41" s="738" t="str">
        <f>IF($B41=0,"",SUMIFS(INPUT_DATA!D:D,INPUT_DATA!$A:$A,$B41,INPUT_DATA!$C:$C,"S"))</f>
        <v/>
      </c>
      <c r="D41" s="739" t="str">
        <f>IF($B41=0,"",SUMIFS(INPUT_DATA!E:E,INPUT_DATA!$A:$A,$B41,INPUT_DATA!$C:$C,"S"))</f>
        <v/>
      </c>
      <c r="E41" s="740" t="str">
        <f>IF($B41=0,"",SUMIFS(INPUT_DATA!F:F,INPUT_DATA!$A:$A,$B41,INPUT_DATA!$C:$C,"S"))</f>
        <v/>
      </c>
      <c r="F41" s="740" t="str">
        <f>IF($B41=0,"",SUMIFS(INPUT_DATA!G:G,INPUT_DATA!$A:$A,$B41,INPUT_DATA!$C:$C,"S"))</f>
        <v/>
      </c>
      <c r="G41" s="740" t="str">
        <f>IF($B41=0,"",SUMIFS(INPUT_DATA!H:H,INPUT_DATA!$A:$A,$B41,INPUT_DATA!$C:$C,"S"))</f>
        <v/>
      </c>
      <c r="H41" s="740" t="str">
        <f>IF($B41=0,"",SUMIFS(INPUT_DATA!I:I,INPUT_DATA!$A:$A,$B41,INPUT_DATA!$C:$C,"S"))</f>
        <v/>
      </c>
      <c r="I41" s="740" t="str">
        <f>IF($B41=0,"",SUMIFS(INPUT_DATA!J:J,INPUT_DATA!$A:$A,$B41,INPUT_DATA!$C:$C,"S"))</f>
        <v/>
      </c>
      <c r="J41" s="740" t="str">
        <f>IF($B41=0,"",SUMIFS(INPUT_DATA!K:K,INPUT_DATA!$A:$A,$B41,INPUT_DATA!$C:$C,"S"))</f>
        <v/>
      </c>
      <c r="K41" s="740" t="str">
        <f>IF($B41=0,"",SUMIFS(INPUT_DATA!L:L,INPUT_DATA!$A:$A,$B41,INPUT_DATA!$C:$C,"S"))</f>
        <v/>
      </c>
      <c r="L41" s="740" t="str">
        <f>IF($B41=0,"",SUMIFS(INPUT_DATA!M:M,INPUT_DATA!$A:$A,$B41,INPUT_DATA!$C:$C,"S"))</f>
        <v/>
      </c>
      <c r="M41" s="740" t="str">
        <f>IF($B41=0,"",SUMIFS(INPUT_DATA!N:N,INPUT_DATA!$A:$A,$B41,INPUT_DATA!$C:$C,"S"))</f>
        <v/>
      </c>
      <c r="N41" s="740" t="str">
        <f>IF($B41=0,"",SUMIFS(INPUT_DATA!O:O,INPUT_DATA!$A:$A,$B41,INPUT_DATA!$C:$C,"S"))</f>
        <v/>
      </c>
      <c r="O41" s="741" t="str">
        <f t="shared" si="38"/>
        <v/>
      </c>
      <c r="P41" s="742" t="str">
        <f>IF($B41=0,"",SUMIFS(INPUT_DATA!P:P,INPUT_DATA!$A:$A,$B41,INPUT_DATA!$C:$C,"S"))</f>
        <v/>
      </c>
      <c r="Q41" s="742" t="str">
        <f t="shared" si="39"/>
        <v/>
      </c>
      <c r="R41" s="748" t="str">
        <f>IF($B41=0,"",SUMIFS(INPUT_DATA!Q:Q,INPUT_DATA!$A:$A,$B41,INPUT_DATA!$C:$C,"S"))</f>
        <v/>
      </c>
      <c r="S41" s="748" t="str">
        <f>IF($B41=0,"",SUMIFS(INPUT_DATA!R:R,INPUT_DATA!$A:$A,$B41,INPUT_DATA!$C:$C,"S"))</f>
        <v/>
      </c>
      <c r="T41" s="748" t="str">
        <f>IF($B41=0,"",SUMIFS(INPUT_DATA!S:S,INPUT_DATA!$A:$A,$B41,INPUT_DATA!$C:$C,"S"))</f>
        <v/>
      </c>
      <c r="U41" s="313" t="str">
        <f>IF($B41=0,"",SUMIFS(INPUT_DATA!T:T,INPUT_DATA!$A:$A,$B41,INPUT_DATA!$C:$C,"S"))</f>
        <v/>
      </c>
      <c r="V41" s="313" t="str">
        <f>IF($B41=0,"",SUMIFS(INPUT_DATA!U:U,INPUT_DATA!$A:$A,$B41,INPUT_DATA!$C:$C,"S"))</f>
        <v/>
      </c>
      <c r="W41" s="313" t="str">
        <f>IF($B41=0,"",SUMIFS(INPUT_DATA!V:V,INPUT_DATA!$A:$A,$B41,INPUT_DATA!$C:$C,"S"))</f>
        <v/>
      </c>
      <c r="X41" s="313" t="str">
        <f>IF($B41=0,"",SUMIFS(INPUT_DATA!W:W,INPUT_DATA!$A:$A,$B41,INPUT_DATA!$C:$C,"S"))</f>
        <v/>
      </c>
      <c r="Y41" s="313" t="str">
        <f>IF($B41=0,"",SUMIFS(INPUT_DATA!X:X,INPUT_DATA!$A:$A,$B41,INPUT_DATA!$C:$C,"S"))</f>
        <v/>
      </c>
      <c r="Z41" s="313" t="str">
        <f>IF($B41=0,"",SUMIFS(INPUT_DATA!Y:Y,INPUT_DATA!$A:$A,$B41,INPUT_DATA!$C:$C,"S"))</f>
        <v/>
      </c>
      <c r="AA41" s="313" t="str">
        <f>IF($B41=0,"",SUMIFS(INPUT_DATA!Z:Z,INPUT_DATA!$A:$A,$B41,INPUT_DATA!$C:$C,"S"))</f>
        <v/>
      </c>
      <c r="AB41" s="313" t="str">
        <f>IF($B41=0,"",SUMIFS(INPUT_DATA!AA:AA,INPUT_DATA!$A:$A,$B41,INPUT_DATA!$C:$C,"S"))</f>
        <v/>
      </c>
      <c r="AC41" s="313" t="str">
        <f>IF($B41=0,"",SUMIFS(INPUT_DATA!AB:AB,INPUT_DATA!$A:$A,$B41,INPUT_DATA!$C:$C,"S"))</f>
        <v/>
      </c>
      <c r="AD41" s="313" t="str">
        <f>IF($B41=0,"",SUMIFS(INPUT_DATA!AC:AC,INPUT_DATA!$A:$A,$B41,INPUT_DATA!$C:$C,"S"))</f>
        <v/>
      </c>
      <c r="AE41" s="313" t="str">
        <f>IF($B41=0,"",SUMIFS(INPUT_DATA!AD:AD,INPUT_DATA!$A:$A,$B41,INPUT_DATA!$C:$C,"S"))</f>
        <v/>
      </c>
      <c r="AF41" s="313" t="str">
        <f>IF($B41=0,"",SUMIFS(INPUT_DATA!AE:AE,INPUT_DATA!$A:$A,$B41,INPUT_DATA!$C:$C,"S"))</f>
        <v/>
      </c>
      <c r="AG41" s="313" t="str">
        <f>IF($B41=0,"",SUMIFS(INPUT_DATA!AF:AF,INPUT_DATA!$A:$A,$B41,INPUT_DATA!$C:$C,"S"))</f>
        <v/>
      </c>
      <c r="AH41" s="313" t="str">
        <f>IF($B41=0,"",SUMIFS(INPUT_DATA!AG:AG,INPUT_DATA!$A:$A,$B41,INPUT_DATA!$C:$C,"S"))</f>
        <v/>
      </c>
      <c r="AI41" s="313" t="str">
        <f>IF($B41=0,"",SUMIFS(INPUT_DATA!AH:AH,INPUT_DATA!$A:$A,$B41,INPUT_DATA!$C:$C,"S"))</f>
        <v/>
      </c>
      <c r="AJ41" s="313" t="str">
        <f>IF($B41=0,"",SUMIFS(INPUT_DATA!AI:AI,INPUT_DATA!$A:$A,$B41,INPUT_DATA!$C:$C,"S"))</f>
        <v/>
      </c>
      <c r="AK41" s="313" t="str">
        <f>IF($B41=0,"",SUMIFS(INPUT_DATA!AJ:AJ,INPUT_DATA!$A:$A,$B41,INPUT_DATA!$C:$C,"S"))</f>
        <v/>
      </c>
      <c r="AL41" s="313" t="str">
        <f>IF($B41=0,"",SUMIFS(INPUT_DATA!AK:AK,INPUT_DATA!$A:$A,$B41,INPUT_DATA!$C:$C,"S"))</f>
        <v/>
      </c>
      <c r="AM41" s="313" t="str">
        <f>IF($B41=0,"",SUMIFS(INPUT_DATA!AL:AL,INPUT_DATA!$A:$A,$B41,INPUT_DATA!$C:$C,"S"))</f>
        <v/>
      </c>
      <c r="AN41" s="313" t="str">
        <f>IF($B41=0,"",SUMIFS(INPUT_DATA!AM:AM,INPUT_DATA!$A:$A,$B41,INPUT_DATA!$C:$C,"S"))</f>
        <v/>
      </c>
      <c r="AO41" s="313" t="str">
        <f>IF($B41=0,"",SUMIFS(INPUT_DATA!AN:AN,INPUT_DATA!$A:$A,$B41,INPUT_DATA!$C:$C,"S"))</f>
        <v/>
      </c>
      <c r="AP41" s="313" t="str">
        <f>IF($B41=0,"",SUMIFS(INPUT_DATA!AO:AO,INPUT_DATA!$A:$A,$B41,INPUT_DATA!$C:$C,"S"))</f>
        <v/>
      </c>
      <c r="AQ41" s="313" t="str">
        <f>IF($B41=0,"",SUMIFS(INPUT_DATA!AP:AP,INPUT_DATA!$A:$A,$B41,INPUT_DATA!$C:$C,"S"))</f>
        <v/>
      </c>
      <c r="AR41" s="313" t="str">
        <f>IF($B41=0,"",SUMIFS(INPUT_DATA!AQ:AQ,INPUT_DATA!$A:$A,$B41,INPUT_DATA!$C:$C,"S"))</f>
        <v/>
      </c>
      <c r="AS41" s="749" t="str">
        <f t="shared" si="29"/>
        <v/>
      </c>
      <c r="AT41" s="750" t="str">
        <f t="shared" si="30"/>
        <v/>
      </c>
      <c r="AU41" s="751" t="str">
        <f t="shared" si="31"/>
        <v/>
      </c>
      <c r="AV41" s="749" t="str">
        <f>IF($B41=0,"",SUMIFS(INPUT_DATA!AR:AR,INPUT_DATA!$A:$A,$B41,INPUT_DATA!$C:$C,"S"))</f>
        <v/>
      </c>
      <c r="AW41" s="750" t="str">
        <f>IF($B41=0,"",SUMIFS(INPUT_DATA!AS:AS,INPUT_DATA!$A:$A,$B41,INPUT_DATA!$C:$C,"S"))</f>
        <v/>
      </c>
      <c r="AX41" s="751" t="str">
        <f>IF($B41=0,"",SUMIFS(INPUT_DATA!AT:AT,INPUT_DATA!$A:$A,$B41,INPUT_DATA!$C:$C,"S"))</f>
        <v/>
      </c>
      <c r="AY41" s="749" t="str">
        <f t="shared" si="15"/>
        <v/>
      </c>
      <c r="AZ41" s="750" t="str">
        <f t="shared" si="16"/>
        <v/>
      </c>
      <c r="BA41" s="751" t="str">
        <f t="shared" si="17"/>
        <v/>
      </c>
      <c r="BB41" s="150"/>
      <c r="BC41" s="738" t="str">
        <f>IF($B41=0,"",SUMIFS(INPUT_DATA!D:D,INPUT_DATA!$A:$A,$B41,INPUT_DATA!$C:$C,"D"))</f>
        <v/>
      </c>
      <c r="BD41" s="312" t="str">
        <f>IF($B41=0,"",SUMIFS(INPUT_DATA!F:F,INPUT_DATA!$A:$A,$B41,INPUT_DATA!$C:$C,"D"))</f>
        <v/>
      </c>
      <c r="BE41" s="312" t="str">
        <f>IF($B41=0,"",SUMIFS(INPUT_DATA!G:G,INPUT_DATA!$A:$A,$B41,INPUT_DATA!$C:$C,"D"))</f>
        <v/>
      </c>
      <c r="BF41" s="312" t="str">
        <f>IF($B41=0,"",SUMIFS(INPUT_DATA!H:H,INPUT_DATA!$A:$A,$B41,INPUT_DATA!$C:$C,"D"))</f>
        <v/>
      </c>
      <c r="BG41" s="312" t="str">
        <f>IF($B41=0,"",SUMIFS(INPUT_DATA!I:I,INPUT_DATA!$A:$A,$B41,INPUT_DATA!$C:$C,"D"))</f>
        <v/>
      </c>
      <c r="BH41" s="312" t="str">
        <f>IF($B41=0,"",SUMIFS(INPUT_DATA!J:J,INPUT_DATA!$A:$A,$B41,INPUT_DATA!$C:$C,"D"))</f>
        <v/>
      </c>
      <c r="BI41" s="312" t="str">
        <f>IF($B41=0,"",SUMIFS(INPUT_DATA!K:K,INPUT_DATA!$A:$A,$B41,INPUT_DATA!$C:$C,"D"))</f>
        <v/>
      </c>
      <c r="BJ41" s="312" t="str">
        <f>IF($B41=0,"",SUMIFS(INPUT_DATA!L:L,INPUT_DATA!$A:$A,$B41,INPUT_DATA!$C:$C,"D"))</f>
        <v/>
      </c>
      <c r="BK41" s="312" t="str">
        <f>IF($B41=0,"",SUMIFS(INPUT_DATA!M:M,INPUT_DATA!$A:$A,$B41,INPUT_DATA!$C:$C,"D"))</f>
        <v/>
      </c>
      <c r="BL41" s="312" t="str">
        <f>IF($B41=0,"",SUMIFS(INPUT_DATA!N:N,INPUT_DATA!$A:$A,$B41,INPUT_DATA!$C:$C,"D"))</f>
        <v/>
      </c>
      <c r="BM41" s="312" t="str">
        <f>IF($B41=0,"",SUMIFS(INPUT_DATA!O:O,INPUT_DATA!$A:$A,$B41,INPUT_DATA!$C:$C,"D"))</f>
        <v/>
      </c>
      <c r="BN41" s="754" t="str">
        <f t="shared" si="18"/>
        <v/>
      </c>
      <c r="BO41" s="754" t="str">
        <f>IF($B41=0,"",SUMIFS(INPUT_DATA!O:O,INPUT_DATA!$A:$A,$B41,INPUT_DATA!$C:$C,"D"))</f>
        <v/>
      </c>
      <c r="BP41" s="754" t="str">
        <f t="shared" si="19"/>
        <v/>
      </c>
      <c r="BQ41" s="738" t="str">
        <f>IF($B41=0,"",SUMIFS(INPUT_DATA!Q:Q,INPUT_DATA!$A:$A,$B41,INPUT_DATA!$C:$C,"D"))</f>
        <v/>
      </c>
      <c r="BR41" s="760" t="str">
        <f>IF($B41=0,"",SUMIFS(INPUT_DATA!R:R,INPUT_DATA!$A:$A,$B41,INPUT_DATA!$C:$C,"D"))</f>
        <v/>
      </c>
      <c r="BS41" s="760" t="str">
        <f>IF($B41=0,"",SUMIFS(INPUT_DATA!S:S,INPUT_DATA!$A:$A,$B41,INPUT_DATA!$C:$C,"D"))</f>
        <v/>
      </c>
      <c r="BT41" s="312" t="str">
        <f>IF($B41=0,"",SUMIFS(INPUT_DATA!T:T,INPUT_DATA!$A:$A,$B41,INPUT_DATA!$C:$C,"D"))</f>
        <v/>
      </c>
      <c r="BU41" s="312" t="str">
        <f>IF($B41=0,"",SUMIFS(INPUT_DATA!U:U,INPUT_DATA!$A:$A,$B41,INPUT_DATA!$C:$C,"D"))</f>
        <v/>
      </c>
      <c r="BV41" s="312" t="str">
        <f>IF($B41=0,"",SUMIFS(INPUT_DATA!V:V,INPUT_DATA!$A:$A,$B41,INPUT_DATA!$C:$C,"D"))</f>
        <v/>
      </c>
      <c r="BW41" s="312" t="str">
        <f>IF($B41=0,"",SUMIFS(INPUT_DATA!W:W,INPUT_DATA!$A:$A,$B41,INPUT_DATA!$C:$C,"D"))</f>
        <v/>
      </c>
      <c r="BX41" s="312" t="str">
        <f>IF($B41=0,"",SUMIFS(INPUT_DATA!X:X,INPUT_DATA!$A:$A,$B41,INPUT_DATA!$C:$C,"D"))</f>
        <v/>
      </c>
      <c r="BY41" s="312" t="str">
        <f>IF($B41=0,"",SUMIFS(INPUT_DATA!Y:Y,INPUT_DATA!$A:$A,$B41,INPUT_DATA!$C:$C,"D"))</f>
        <v/>
      </c>
      <c r="BZ41" s="353" t="str">
        <f>IF($B41=0,"",SUMIFS(INPUT_DATA!Z:Z,INPUT_DATA!$A:$A,$B41,INPUT_DATA!$C:$C,"D"))</f>
        <v/>
      </c>
      <c r="CA41" s="353" t="str">
        <f>IF($B41=0,"",SUMIFS(INPUT_DATA!AA:AA,INPUT_DATA!$A:$A,$B41,INPUT_DATA!$C:$C,"D"))</f>
        <v/>
      </c>
      <c r="CB41" s="353" t="str">
        <f>IF($B41=0,"",SUMIFS(INPUT_DATA!AB:AB,INPUT_DATA!$A:$A,$B41,INPUT_DATA!$C:$C,"D"))</f>
        <v/>
      </c>
      <c r="CC41" s="312" t="str">
        <f>IF($B41=0,"",SUMIFS(INPUT_DATA!AC:AC,INPUT_DATA!$A:$A,$B41,INPUT_DATA!$C:$C,"D"))</f>
        <v/>
      </c>
      <c r="CD41" s="312" t="str">
        <f>IF($B41=0,"",SUMIFS(INPUT_DATA!AD:AD,INPUT_DATA!$A:$A,$B41,INPUT_DATA!$C:$C,"D"))</f>
        <v/>
      </c>
      <c r="CE41" s="312" t="str">
        <f>IF($B41=0,"",SUMIFS(INPUT_DATA!AE:AE,INPUT_DATA!$A:$A,$B41,INPUT_DATA!$C:$C,"D"))</f>
        <v/>
      </c>
      <c r="CF41" s="353" t="str">
        <f>IF($B41=0,"",SUMIFS(INPUT_DATA!AF:AF,INPUT_DATA!$A:$A,$B41,INPUT_DATA!$C:$C,"D"))</f>
        <v/>
      </c>
      <c r="CG41" s="353" t="str">
        <f>IF($B41=0,"",SUMIFS(INPUT_DATA!AG:AG,INPUT_DATA!$A:$A,$B41,INPUT_DATA!$C:$C,"D"))</f>
        <v/>
      </c>
      <c r="CH41" s="353" t="str">
        <f>IF($B41=0,"",SUMIFS(INPUT_DATA!AH:AH,INPUT_DATA!$A:$A,$B41,INPUT_DATA!$C:$C,"D"))</f>
        <v/>
      </c>
      <c r="CI41" s="153" t="str">
        <f>IF($B41=0,"",SUMIFS(INPUT_DATA!AI:AI,INPUT_DATA!$A:$A,$B41,INPUT_DATA!$C:$C,"D"))</f>
        <v/>
      </c>
      <c r="CJ41" s="153" t="str">
        <f>IF($B41=0,"",SUMIFS(INPUT_DATA!AJ:AJ,INPUT_DATA!$A:$A,$B41,INPUT_DATA!$C:$C,"D"))</f>
        <v/>
      </c>
      <c r="CK41" s="153" t="str">
        <f>IF($B41=0,"",SUMIFS(INPUT_DATA!AK:AK,INPUT_DATA!$A:$A,$B41,INPUT_DATA!$C:$C,"D"))</f>
        <v/>
      </c>
      <c r="CL41" s="153" t="str">
        <f>IF($B41=0,"",SUMIFS(INPUT_DATA!AL:AL,INPUT_DATA!$A:$A,$B41,INPUT_DATA!$C:$C,"D"))</f>
        <v/>
      </c>
      <c r="CM41" s="153" t="str">
        <f>IF($B41=0,"",SUMIFS(INPUT_DATA!AM:AM,INPUT_DATA!$A:$A,$B41,INPUT_DATA!$C:$C,"D"))</f>
        <v/>
      </c>
      <c r="CN41" s="153" t="str">
        <f>IF($B41=0,"",SUMIFS(INPUT_DATA!AN:AN,INPUT_DATA!$A:$A,$B41,INPUT_DATA!$C:$C,"D"))</f>
        <v/>
      </c>
      <c r="CO41" s="153" t="str">
        <f>IF($B41=0,"",SUMIFS(INPUT_DATA!AO:AO,INPUT_DATA!$A:$A,$B41,INPUT_DATA!$C:$C,"D"))</f>
        <v/>
      </c>
      <c r="CP41" s="153" t="str">
        <f>IF($B41=0,"",SUMIFS(INPUT_DATA!AP:AP,INPUT_DATA!$A:$A,$B41,INPUT_DATA!$C:$C,"D"))</f>
        <v/>
      </c>
      <c r="CQ41" s="153" t="str">
        <f>IF($B41=0,"",SUMIFS(INPUT_DATA!AQ:AQ,INPUT_DATA!$A:$A,$B41,INPUT_DATA!$C:$C,"D"))</f>
        <v/>
      </c>
      <c r="CR41" s="750" t="str">
        <f t="shared" si="32"/>
        <v/>
      </c>
      <c r="CS41" s="750" t="str">
        <f t="shared" si="33"/>
        <v/>
      </c>
      <c r="CT41" s="750" t="str">
        <f t="shared" si="34"/>
        <v/>
      </c>
      <c r="CU41" s="739" t="str">
        <f>IF($B41=0,"",SUMIFS(INPUT_DATA!AR:AR,INPUT_DATA!$A:$A,$B41,INPUT_DATA!$C:$C,"D"))</f>
        <v/>
      </c>
      <c r="CV41" s="739" t="str">
        <f>IF($B41=0,"",SUMIFS(INPUT_DATA!AS:AS,INPUT_DATA!$A:$A,$B41,INPUT_DATA!$C:$C,"D"))</f>
        <v/>
      </c>
      <c r="CW41" s="739" t="str">
        <f>IF($B41=0,"",SUMIFS(INPUT_DATA!AT:AT,INPUT_DATA!$A:$A,$B41,INPUT_DATA!$C:$C,"D"))</f>
        <v/>
      </c>
      <c r="CX41" s="739" t="str">
        <f t="shared" si="35"/>
        <v/>
      </c>
      <c r="CY41" s="750" t="str">
        <f t="shared" si="36"/>
        <v/>
      </c>
      <c r="CZ41" s="761" t="str">
        <f t="shared" si="37"/>
        <v/>
      </c>
      <c r="DA41" s="150"/>
    </row>
    <row r="42" spans="1:105" ht="13" x14ac:dyDescent="0.25">
      <c r="B42" s="733">
        <f>INPUT_DATA!BQ29</f>
        <v>0</v>
      </c>
      <c r="C42" s="738" t="str">
        <f>IF($B42=0,"",SUMIFS(INPUT_DATA!D:D,INPUT_DATA!$A:$A,$B42,INPUT_DATA!$C:$C,"S"))</f>
        <v/>
      </c>
      <c r="D42" s="739" t="str">
        <f>IF($B42=0,"",SUMIFS(INPUT_DATA!E:E,INPUT_DATA!$A:$A,$B42,INPUT_DATA!$C:$C,"S"))</f>
        <v/>
      </c>
      <c r="E42" s="740" t="str">
        <f>IF($B42=0,"",SUMIFS(INPUT_DATA!F:F,INPUT_DATA!$A:$A,$B42,INPUT_DATA!$C:$C,"S"))</f>
        <v/>
      </c>
      <c r="F42" s="740" t="str">
        <f>IF($B42=0,"",SUMIFS(INPUT_DATA!G:G,INPUT_DATA!$A:$A,$B42,INPUT_DATA!$C:$C,"S"))</f>
        <v/>
      </c>
      <c r="G42" s="740" t="str">
        <f>IF($B42=0,"",SUMIFS(INPUT_DATA!H:H,INPUT_DATA!$A:$A,$B42,INPUT_DATA!$C:$C,"S"))</f>
        <v/>
      </c>
      <c r="H42" s="740" t="str">
        <f>IF($B42=0,"",SUMIFS(INPUT_DATA!I:I,INPUT_DATA!$A:$A,$B42,INPUT_DATA!$C:$C,"S"))</f>
        <v/>
      </c>
      <c r="I42" s="740" t="str">
        <f>IF($B42=0,"",SUMIFS(INPUT_DATA!J:J,INPUT_DATA!$A:$A,$B42,INPUT_DATA!$C:$C,"S"))</f>
        <v/>
      </c>
      <c r="J42" s="740" t="str">
        <f>IF($B42=0,"",SUMIFS(INPUT_DATA!K:K,INPUT_DATA!$A:$A,$B42,INPUT_DATA!$C:$C,"S"))</f>
        <v/>
      </c>
      <c r="K42" s="740" t="str">
        <f>IF($B42=0,"",SUMIFS(INPUT_DATA!L:L,INPUT_DATA!$A:$A,$B42,INPUT_DATA!$C:$C,"S"))</f>
        <v/>
      </c>
      <c r="L42" s="740" t="str">
        <f>IF($B42=0,"",SUMIFS(INPUT_DATA!M:M,INPUT_DATA!$A:$A,$B42,INPUT_DATA!$C:$C,"S"))</f>
        <v/>
      </c>
      <c r="M42" s="740" t="str">
        <f>IF($B42=0,"",SUMIFS(INPUT_DATA!N:N,INPUT_DATA!$A:$A,$B42,INPUT_DATA!$C:$C,"S"))</f>
        <v/>
      </c>
      <c r="N42" s="740" t="str">
        <f>IF($B42=0,"",SUMIFS(INPUT_DATA!O:O,INPUT_DATA!$A:$A,$B42,INPUT_DATA!$C:$C,"S"))</f>
        <v/>
      </c>
      <c r="O42" s="741" t="str">
        <f t="shared" si="38"/>
        <v/>
      </c>
      <c r="P42" s="742" t="str">
        <f>IF($B42=0,"",SUMIFS(INPUT_DATA!P:P,INPUT_DATA!$A:$A,$B42,INPUT_DATA!$C:$C,"S"))</f>
        <v/>
      </c>
      <c r="Q42" s="742" t="str">
        <f t="shared" si="39"/>
        <v/>
      </c>
      <c r="R42" s="748" t="str">
        <f>IF($B42=0,"",SUMIFS(INPUT_DATA!Q:Q,INPUT_DATA!$A:$A,$B42,INPUT_DATA!$C:$C,"S"))</f>
        <v/>
      </c>
      <c r="S42" s="748" t="str">
        <f>IF($B42=0,"",SUMIFS(INPUT_DATA!R:R,INPUT_DATA!$A:$A,$B42,INPUT_DATA!$C:$C,"S"))</f>
        <v/>
      </c>
      <c r="T42" s="748" t="str">
        <f>IF($B42=0,"",SUMIFS(INPUT_DATA!S:S,INPUT_DATA!$A:$A,$B42,INPUT_DATA!$C:$C,"S"))</f>
        <v/>
      </c>
      <c r="U42" s="313" t="str">
        <f>IF($B42=0,"",SUMIFS(INPUT_DATA!T:T,INPUT_DATA!$A:$A,$B42,INPUT_DATA!$C:$C,"S"))</f>
        <v/>
      </c>
      <c r="V42" s="313" t="str">
        <f>IF($B42=0,"",SUMIFS(INPUT_DATA!U:U,INPUT_DATA!$A:$A,$B42,INPUT_DATA!$C:$C,"S"))</f>
        <v/>
      </c>
      <c r="W42" s="313" t="str">
        <f>IF($B42=0,"",SUMIFS(INPUT_DATA!V:V,INPUT_DATA!$A:$A,$B42,INPUT_DATA!$C:$C,"S"))</f>
        <v/>
      </c>
      <c r="X42" s="313" t="str">
        <f>IF($B42=0,"",SUMIFS(INPUT_DATA!W:W,INPUT_DATA!$A:$A,$B42,INPUT_DATA!$C:$C,"S"))</f>
        <v/>
      </c>
      <c r="Y42" s="313" t="str">
        <f>IF($B42=0,"",SUMIFS(INPUT_DATA!X:X,INPUT_DATA!$A:$A,$B42,INPUT_DATA!$C:$C,"S"))</f>
        <v/>
      </c>
      <c r="Z42" s="313" t="str">
        <f>IF($B42=0,"",SUMIFS(INPUT_DATA!Y:Y,INPUT_DATA!$A:$A,$B42,INPUT_DATA!$C:$C,"S"))</f>
        <v/>
      </c>
      <c r="AA42" s="313" t="str">
        <f>IF($B42=0,"",SUMIFS(INPUT_DATA!Z:Z,INPUT_DATA!$A:$A,$B42,INPUT_DATA!$C:$C,"S"))</f>
        <v/>
      </c>
      <c r="AB42" s="313" t="str">
        <f>IF($B42=0,"",SUMIFS(INPUT_DATA!AA:AA,INPUT_DATA!$A:$A,$B42,INPUT_DATA!$C:$C,"S"))</f>
        <v/>
      </c>
      <c r="AC42" s="313" t="str">
        <f>IF($B42=0,"",SUMIFS(INPUT_DATA!AB:AB,INPUT_DATA!$A:$A,$B42,INPUT_DATA!$C:$C,"S"))</f>
        <v/>
      </c>
      <c r="AD42" s="313" t="str">
        <f>IF($B42=0,"",SUMIFS(INPUT_DATA!AC:AC,INPUT_DATA!$A:$A,$B42,INPUT_DATA!$C:$C,"S"))</f>
        <v/>
      </c>
      <c r="AE42" s="313" t="str">
        <f>IF($B42=0,"",SUMIFS(INPUT_DATA!AD:AD,INPUT_DATA!$A:$A,$B42,INPUT_DATA!$C:$C,"S"))</f>
        <v/>
      </c>
      <c r="AF42" s="313" t="str">
        <f>IF($B42=0,"",SUMIFS(INPUT_DATA!AE:AE,INPUT_DATA!$A:$A,$B42,INPUT_DATA!$C:$C,"S"))</f>
        <v/>
      </c>
      <c r="AG42" s="313" t="str">
        <f>IF($B42=0,"",SUMIFS(INPUT_DATA!AF:AF,INPUT_DATA!$A:$A,$B42,INPUT_DATA!$C:$C,"S"))</f>
        <v/>
      </c>
      <c r="AH42" s="313" t="str">
        <f>IF($B42=0,"",SUMIFS(INPUT_DATA!AG:AG,INPUT_DATA!$A:$A,$B42,INPUT_DATA!$C:$C,"S"))</f>
        <v/>
      </c>
      <c r="AI42" s="313" t="str">
        <f>IF($B42=0,"",SUMIFS(INPUT_DATA!AH:AH,INPUT_DATA!$A:$A,$B42,INPUT_DATA!$C:$C,"S"))</f>
        <v/>
      </c>
      <c r="AJ42" s="313" t="str">
        <f>IF($B42=0,"",SUMIFS(INPUT_DATA!AI:AI,INPUT_DATA!$A:$A,$B42,INPUT_DATA!$C:$C,"S"))</f>
        <v/>
      </c>
      <c r="AK42" s="313" t="str">
        <f>IF($B42=0,"",SUMIFS(INPUT_DATA!AJ:AJ,INPUT_DATA!$A:$A,$B42,INPUT_DATA!$C:$C,"S"))</f>
        <v/>
      </c>
      <c r="AL42" s="313" t="str">
        <f>IF($B42=0,"",SUMIFS(INPUT_DATA!AK:AK,INPUT_DATA!$A:$A,$B42,INPUT_DATA!$C:$C,"S"))</f>
        <v/>
      </c>
      <c r="AM42" s="313" t="str">
        <f>IF($B42=0,"",SUMIFS(INPUT_DATA!AL:AL,INPUT_DATA!$A:$A,$B42,INPUT_DATA!$C:$C,"S"))</f>
        <v/>
      </c>
      <c r="AN42" s="313" t="str">
        <f>IF($B42=0,"",SUMIFS(INPUT_DATA!AM:AM,INPUT_DATA!$A:$A,$B42,INPUT_DATA!$C:$C,"S"))</f>
        <v/>
      </c>
      <c r="AO42" s="313" t="str">
        <f>IF($B42=0,"",SUMIFS(INPUT_DATA!AN:AN,INPUT_DATA!$A:$A,$B42,INPUT_DATA!$C:$C,"S"))</f>
        <v/>
      </c>
      <c r="AP42" s="313" t="str">
        <f>IF($B42=0,"",SUMIFS(INPUT_DATA!AO:AO,INPUT_DATA!$A:$A,$B42,INPUT_DATA!$C:$C,"S"))</f>
        <v/>
      </c>
      <c r="AQ42" s="313" t="str">
        <f>IF($B42=0,"",SUMIFS(INPUT_DATA!AP:AP,INPUT_DATA!$A:$A,$B42,INPUT_DATA!$C:$C,"S"))</f>
        <v/>
      </c>
      <c r="AR42" s="313" t="str">
        <f>IF($B42=0,"",SUMIFS(INPUT_DATA!AQ:AQ,INPUT_DATA!$A:$A,$B42,INPUT_DATA!$C:$C,"S"))</f>
        <v/>
      </c>
      <c r="AS42" s="749" t="str">
        <f t="shared" si="29"/>
        <v/>
      </c>
      <c r="AT42" s="750" t="str">
        <f t="shared" si="30"/>
        <v/>
      </c>
      <c r="AU42" s="751" t="str">
        <f t="shared" si="31"/>
        <v/>
      </c>
      <c r="AV42" s="749" t="str">
        <f>IF($B42=0,"",SUMIFS(INPUT_DATA!AR:AR,INPUT_DATA!$A:$A,$B42,INPUT_DATA!$C:$C,"S"))</f>
        <v/>
      </c>
      <c r="AW42" s="750" t="str">
        <f>IF($B42=0,"",SUMIFS(INPUT_DATA!AS:AS,INPUT_DATA!$A:$A,$B42,INPUT_DATA!$C:$C,"S"))</f>
        <v/>
      </c>
      <c r="AX42" s="751" t="str">
        <f>IF($B42=0,"",SUMIFS(INPUT_DATA!AT:AT,INPUT_DATA!$A:$A,$B42,INPUT_DATA!$C:$C,"S"))</f>
        <v/>
      </c>
      <c r="AY42" s="749" t="str">
        <f t="shared" si="15"/>
        <v/>
      </c>
      <c r="AZ42" s="750" t="str">
        <f t="shared" si="16"/>
        <v/>
      </c>
      <c r="BA42" s="751" t="str">
        <f t="shared" si="17"/>
        <v/>
      </c>
      <c r="BB42" s="150"/>
      <c r="BC42" s="738" t="str">
        <f>IF($B42=0,"",SUMIFS(INPUT_DATA!D:D,INPUT_DATA!$A:$A,$B42,INPUT_DATA!$C:$C,"D"))</f>
        <v/>
      </c>
      <c r="BD42" s="312" t="str">
        <f>IF($B42=0,"",SUMIFS(INPUT_DATA!F:F,INPUT_DATA!$A:$A,$B42,INPUT_DATA!$C:$C,"D"))</f>
        <v/>
      </c>
      <c r="BE42" s="312" t="str">
        <f>IF($B42=0,"",SUMIFS(INPUT_DATA!G:G,INPUT_DATA!$A:$A,$B42,INPUT_DATA!$C:$C,"D"))</f>
        <v/>
      </c>
      <c r="BF42" s="312" t="str">
        <f>IF($B42=0,"",SUMIFS(INPUT_DATA!H:H,INPUT_DATA!$A:$A,$B42,INPUT_DATA!$C:$C,"D"))</f>
        <v/>
      </c>
      <c r="BG42" s="312" t="str">
        <f>IF($B42=0,"",SUMIFS(INPUT_DATA!I:I,INPUT_DATA!$A:$A,$B42,INPUT_DATA!$C:$C,"D"))</f>
        <v/>
      </c>
      <c r="BH42" s="312" t="str">
        <f>IF($B42=0,"",SUMIFS(INPUT_DATA!J:J,INPUT_DATA!$A:$A,$B42,INPUT_DATA!$C:$C,"D"))</f>
        <v/>
      </c>
      <c r="BI42" s="312" t="str">
        <f>IF($B42=0,"",SUMIFS(INPUT_DATA!K:K,INPUT_DATA!$A:$A,$B42,INPUT_DATA!$C:$C,"D"))</f>
        <v/>
      </c>
      <c r="BJ42" s="312" t="str">
        <f>IF($B42=0,"",SUMIFS(INPUT_DATA!L:L,INPUT_DATA!$A:$A,$B42,INPUT_DATA!$C:$C,"D"))</f>
        <v/>
      </c>
      <c r="BK42" s="312" t="str">
        <f>IF($B42=0,"",SUMIFS(INPUT_DATA!M:M,INPUT_DATA!$A:$A,$B42,INPUT_DATA!$C:$C,"D"))</f>
        <v/>
      </c>
      <c r="BL42" s="312" t="str">
        <f>IF($B42=0,"",SUMIFS(INPUT_DATA!N:N,INPUT_DATA!$A:$A,$B42,INPUT_DATA!$C:$C,"D"))</f>
        <v/>
      </c>
      <c r="BM42" s="312" t="str">
        <f>IF($B42=0,"",SUMIFS(INPUT_DATA!O:O,INPUT_DATA!$A:$A,$B42,INPUT_DATA!$C:$C,"D"))</f>
        <v/>
      </c>
      <c r="BN42" s="754" t="str">
        <f t="shared" si="18"/>
        <v/>
      </c>
      <c r="BO42" s="754" t="str">
        <f>IF($B42=0,"",SUMIFS(INPUT_DATA!O:O,INPUT_DATA!$A:$A,$B42,INPUT_DATA!$C:$C,"D"))</f>
        <v/>
      </c>
      <c r="BP42" s="754" t="str">
        <f t="shared" si="19"/>
        <v/>
      </c>
      <c r="BQ42" s="738" t="str">
        <f>IF($B42=0,"",SUMIFS(INPUT_DATA!Q:Q,INPUT_DATA!$A:$A,$B42,INPUT_DATA!$C:$C,"D"))</f>
        <v/>
      </c>
      <c r="BR42" s="760" t="str">
        <f>IF($B42=0,"",SUMIFS(INPUT_DATA!R:R,INPUT_DATA!$A:$A,$B42,INPUT_DATA!$C:$C,"D"))</f>
        <v/>
      </c>
      <c r="BS42" s="760" t="str">
        <f>IF($B42=0,"",SUMIFS(INPUT_DATA!S:S,INPUT_DATA!$A:$A,$B42,INPUT_DATA!$C:$C,"D"))</f>
        <v/>
      </c>
      <c r="BT42" s="312" t="str">
        <f>IF($B42=0,"",SUMIFS(INPUT_DATA!T:T,INPUT_DATA!$A:$A,$B42,INPUT_DATA!$C:$C,"D"))</f>
        <v/>
      </c>
      <c r="BU42" s="312" t="str">
        <f>IF($B42=0,"",SUMIFS(INPUT_DATA!U:U,INPUT_DATA!$A:$A,$B42,INPUT_DATA!$C:$C,"D"))</f>
        <v/>
      </c>
      <c r="BV42" s="312" t="str">
        <f>IF($B42=0,"",SUMIFS(INPUT_DATA!V:V,INPUT_DATA!$A:$A,$B42,INPUT_DATA!$C:$C,"D"))</f>
        <v/>
      </c>
      <c r="BW42" s="312" t="str">
        <f>IF($B42=0,"",SUMIFS(INPUT_DATA!W:W,INPUT_DATA!$A:$A,$B42,INPUT_DATA!$C:$C,"D"))</f>
        <v/>
      </c>
      <c r="BX42" s="312" t="str">
        <f>IF($B42=0,"",SUMIFS(INPUT_DATA!X:X,INPUT_DATA!$A:$A,$B42,INPUT_DATA!$C:$C,"D"))</f>
        <v/>
      </c>
      <c r="BY42" s="312" t="str">
        <f>IF($B42=0,"",SUMIFS(INPUT_DATA!Y:Y,INPUT_DATA!$A:$A,$B42,INPUT_DATA!$C:$C,"D"))</f>
        <v/>
      </c>
      <c r="BZ42" s="353" t="str">
        <f>IF($B42=0,"",SUMIFS(INPUT_DATA!Z:Z,INPUT_DATA!$A:$A,$B42,INPUT_DATA!$C:$C,"D"))</f>
        <v/>
      </c>
      <c r="CA42" s="353" t="str">
        <f>IF($B42=0,"",SUMIFS(INPUT_DATA!AA:AA,INPUT_DATA!$A:$A,$B42,INPUT_DATA!$C:$C,"D"))</f>
        <v/>
      </c>
      <c r="CB42" s="353" t="str">
        <f>IF($B42=0,"",SUMIFS(INPUT_DATA!AB:AB,INPUT_DATA!$A:$A,$B42,INPUT_DATA!$C:$C,"D"))</f>
        <v/>
      </c>
      <c r="CC42" s="312" t="str">
        <f>IF($B42=0,"",SUMIFS(INPUT_DATA!AC:AC,INPUT_DATA!$A:$A,$B42,INPUT_DATA!$C:$C,"D"))</f>
        <v/>
      </c>
      <c r="CD42" s="312" t="str">
        <f>IF($B42=0,"",SUMIFS(INPUT_DATA!AD:AD,INPUT_DATA!$A:$A,$B42,INPUT_DATA!$C:$C,"D"))</f>
        <v/>
      </c>
      <c r="CE42" s="312" t="str">
        <f>IF($B42=0,"",SUMIFS(INPUT_DATA!AE:AE,INPUT_DATA!$A:$A,$B42,INPUT_DATA!$C:$C,"D"))</f>
        <v/>
      </c>
      <c r="CF42" s="353" t="str">
        <f>IF($B42=0,"",SUMIFS(INPUT_DATA!AF:AF,INPUT_DATA!$A:$A,$B42,INPUT_DATA!$C:$C,"D"))</f>
        <v/>
      </c>
      <c r="CG42" s="353" t="str">
        <f>IF($B42=0,"",SUMIFS(INPUT_DATA!AG:AG,INPUT_DATA!$A:$A,$B42,INPUT_DATA!$C:$C,"D"))</f>
        <v/>
      </c>
      <c r="CH42" s="353" t="str">
        <f>IF($B42=0,"",SUMIFS(INPUT_DATA!AH:AH,INPUT_DATA!$A:$A,$B42,INPUT_DATA!$C:$C,"D"))</f>
        <v/>
      </c>
      <c r="CI42" s="153" t="str">
        <f>IF($B42=0,"",SUMIFS(INPUT_DATA!AI:AI,INPUT_DATA!$A:$A,$B42,INPUT_DATA!$C:$C,"D"))</f>
        <v/>
      </c>
      <c r="CJ42" s="153" t="str">
        <f>IF($B42=0,"",SUMIFS(INPUT_DATA!AJ:AJ,INPUT_DATA!$A:$A,$B42,INPUT_DATA!$C:$C,"D"))</f>
        <v/>
      </c>
      <c r="CK42" s="153" t="str">
        <f>IF($B42=0,"",SUMIFS(INPUT_DATA!AK:AK,INPUT_DATA!$A:$A,$B42,INPUT_DATA!$C:$C,"D"))</f>
        <v/>
      </c>
      <c r="CL42" s="153" t="str">
        <f>IF($B42=0,"",SUMIFS(INPUT_DATA!AL:AL,INPUT_DATA!$A:$A,$B42,INPUT_DATA!$C:$C,"D"))</f>
        <v/>
      </c>
      <c r="CM42" s="153" t="str">
        <f>IF($B42=0,"",SUMIFS(INPUT_DATA!AM:AM,INPUT_DATA!$A:$A,$B42,INPUT_DATA!$C:$C,"D"))</f>
        <v/>
      </c>
      <c r="CN42" s="153" t="str">
        <f>IF($B42=0,"",SUMIFS(INPUT_DATA!AN:AN,INPUT_DATA!$A:$A,$B42,INPUT_DATA!$C:$C,"D"))</f>
        <v/>
      </c>
      <c r="CO42" s="153" t="str">
        <f>IF($B42=0,"",SUMIFS(INPUT_DATA!AO:AO,INPUT_DATA!$A:$A,$B42,INPUT_DATA!$C:$C,"D"))</f>
        <v/>
      </c>
      <c r="CP42" s="153" t="str">
        <f>IF($B42=0,"",SUMIFS(INPUT_DATA!AP:AP,INPUT_DATA!$A:$A,$B42,INPUT_DATA!$C:$C,"D"))</f>
        <v/>
      </c>
      <c r="CQ42" s="153" t="str">
        <f>IF($B42=0,"",SUMIFS(INPUT_DATA!AQ:AQ,INPUT_DATA!$A:$A,$B42,INPUT_DATA!$C:$C,"D"))</f>
        <v/>
      </c>
      <c r="CR42" s="750" t="str">
        <f t="shared" si="32"/>
        <v/>
      </c>
      <c r="CS42" s="750" t="str">
        <f t="shared" si="33"/>
        <v/>
      </c>
      <c r="CT42" s="750" t="str">
        <f t="shared" si="34"/>
        <v/>
      </c>
      <c r="CU42" s="739" t="str">
        <f>IF($B42=0,"",SUMIFS(INPUT_DATA!AR:AR,INPUT_DATA!$A:$A,$B42,INPUT_DATA!$C:$C,"D"))</f>
        <v/>
      </c>
      <c r="CV42" s="739" t="str">
        <f>IF($B42=0,"",SUMIFS(INPUT_DATA!AS:AS,INPUT_DATA!$A:$A,$B42,INPUT_DATA!$C:$C,"D"))</f>
        <v/>
      </c>
      <c r="CW42" s="739" t="str">
        <f>IF($B42=0,"",SUMIFS(INPUT_DATA!AT:AT,INPUT_DATA!$A:$A,$B42,INPUT_DATA!$C:$C,"D"))</f>
        <v/>
      </c>
      <c r="CX42" s="739" t="str">
        <f t="shared" si="35"/>
        <v/>
      </c>
      <c r="CY42" s="750" t="str">
        <f t="shared" si="36"/>
        <v/>
      </c>
      <c r="CZ42" s="761" t="str">
        <f t="shared" si="37"/>
        <v/>
      </c>
      <c r="DA42" s="150"/>
    </row>
    <row r="43" spans="1:105" ht="13" x14ac:dyDescent="0.25">
      <c r="B43" s="733">
        <f>INPUT_DATA!BQ30</f>
        <v>0</v>
      </c>
      <c r="C43" s="738" t="str">
        <f>IF($B43=0,"",SUMIFS(INPUT_DATA!D:D,INPUT_DATA!$A:$A,$B43,INPUT_DATA!$C:$C,"S"))</f>
        <v/>
      </c>
      <c r="D43" s="739" t="str">
        <f>IF($B43=0,"",SUMIFS(INPUT_DATA!E:E,INPUT_DATA!$A:$A,$B43,INPUT_DATA!$C:$C,"S"))</f>
        <v/>
      </c>
      <c r="E43" s="740" t="str">
        <f>IF($B43=0,"",SUMIFS(INPUT_DATA!F:F,INPUT_DATA!$A:$A,$B43,INPUT_DATA!$C:$C,"S"))</f>
        <v/>
      </c>
      <c r="F43" s="740" t="str">
        <f>IF($B43=0,"",SUMIFS(INPUT_DATA!G:G,INPUT_DATA!$A:$A,$B43,INPUT_DATA!$C:$C,"S"))</f>
        <v/>
      </c>
      <c r="G43" s="740" t="str">
        <f>IF($B43=0,"",SUMIFS(INPUT_DATA!H:H,INPUT_DATA!$A:$A,$B43,INPUT_DATA!$C:$C,"S"))</f>
        <v/>
      </c>
      <c r="H43" s="740" t="str">
        <f>IF($B43=0,"",SUMIFS(INPUT_DATA!I:I,INPUT_DATA!$A:$A,$B43,INPUT_DATA!$C:$C,"S"))</f>
        <v/>
      </c>
      <c r="I43" s="740" t="str">
        <f>IF($B43=0,"",SUMIFS(INPUT_DATA!J:J,INPUT_DATA!$A:$A,$B43,INPUT_DATA!$C:$C,"S"))</f>
        <v/>
      </c>
      <c r="J43" s="740" t="str">
        <f>IF($B43=0,"",SUMIFS(INPUT_DATA!K:K,INPUT_DATA!$A:$A,$B43,INPUT_DATA!$C:$C,"S"))</f>
        <v/>
      </c>
      <c r="K43" s="740" t="str">
        <f>IF($B43=0,"",SUMIFS(INPUT_DATA!L:L,INPUT_DATA!$A:$A,$B43,INPUT_DATA!$C:$C,"S"))</f>
        <v/>
      </c>
      <c r="L43" s="740" t="str">
        <f>IF($B43=0,"",SUMIFS(INPUT_DATA!M:M,INPUT_DATA!$A:$A,$B43,INPUT_DATA!$C:$C,"S"))</f>
        <v/>
      </c>
      <c r="M43" s="740" t="str">
        <f>IF($B43=0,"",SUMIFS(INPUT_DATA!N:N,INPUT_DATA!$A:$A,$B43,INPUT_DATA!$C:$C,"S"))</f>
        <v/>
      </c>
      <c r="N43" s="740" t="str">
        <f>IF($B43=0,"",SUMIFS(INPUT_DATA!O:O,INPUT_DATA!$A:$A,$B43,INPUT_DATA!$C:$C,"S"))</f>
        <v/>
      </c>
      <c r="O43" s="741" t="str">
        <f t="shared" si="38"/>
        <v/>
      </c>
      <c r="P43" s="742" t="str">
        <f>IF($B43=0,"",SUMIFS(INPUT_DATA!P:P,INPUT_DATA!$A:$A,$B43,INPUT_DATA!$C:$C,"S"))</f>
        <v/>
      </c>
      <c r="Q43" s="742" t="str">
        <f t="shared" si="39"/>
        <v/>
      </c>
      <c r="R43" s="748" t="str">
        <f>IF($B43=0,"",SUMIFS(INPUT_DATA!Q:Q,INPUT_DATA!$A:$A,$B43,INPUT_DATA!$C:$C,"S"))</f>
        <v/>
      </c>
      <c r="S43" s="748" t="str">
        <f>IF($B43=0,"",SUMIFS(INPUT_DATA!R:R,INPUT_DATA!$A:$A,$B43,INPUT_DATA!$C:$C,"S"))</f>
        <v/>
      </c>
      <c r="T43" s="748" t="str">
        <f>IF($B43=0,"",SUMIFS(INPUT_DATA!S:S,INPUT_DATA!$A:$A,$B43,INPUT_DATA!$C:$C,"S"))</f>
        <v/>
      </c>
      <c r="U43" s="313" t="str">
        <f>IF($B43=0,"",SUMIFS(INPUT_DATA!T:T,INPUT_DATA!$A:$A,$B43,INPUT_DATA!$C:$C,"S"))</f>
        <v/>
      </c>
      <c r="V43" s="313" t="str">
        <f>IF($B43=0,"",SUMIFS(INPUT_DATA!U:U,INPUT_DATA!$A:$A,$B43,INPUT_DATA!$C:$C,"S"))</f>
        <v/>
      </c>
      <c r="W43" s="313" t="str">
        <f>IF($B43=0,"",SUMIFS(INPUT_DATA!V:V,INPUT_DATA!$A:$A,$B43,INPUT_DATA!$C:$C,"S"))</f>
        <v/>
      </c>
      <c r="X43" s="313" t="str">
        <f>IF($B43=0,"",SUMIFS(INPUT_DATA!W:W,INPUT_DATA!$A:$A,$B43,INPUT_DATA!$C:$C,"S"))</f>
        <v/>
      </c>
      <c r="Y43" s="313" t="str">
        <f>IF($B43=0,"",SUMIFS(INPUT_DATA!X:X,INPUT_DATA!$A:$A,$B43,INPUT_DATA!$C:$C,"S"))</f>
        <v/>
      </c>
      <c r="Z43" s="313" t="str">
        <f>IF($B43=0,"",SUMIFS(INPUT_DATA!Y:Y,INPUT_DATA!$A:$A,$B43,INPUT_DATA!$C:$C,"S"))</f>
        <v/>
      </c>
      <c r="AA43" s="313" t="str">
        <f>IF($B43=0,"",SUMIFS(INPUT_DATA!Z:Z,INPUT_DATA!$A:$A,$B43,INPUT_DATA!$C:$C,"S"))</f>
        <v/>
      </c>
      <c r="AB43" s="313" t="str">
        <f>IF($B43=0,"",SUMIFS(INPUT_DATA!AA:AA,INPUT_DATA!$A:$A,$B43,INPUT_DATA!$C:$C,"S"))</f>
        <v/>
      </c>
      <c r="AC43" s="313" t="str">
        <f>IF($B43=0,"",SUMIFS(INPUT_DATA!AB:AB,INPUT_DATA!$A:$A,$B43,INPUT_DATA!$C:$C,"S"))</f>
        <v/>
      </c>
      <c r="AD43" s="313" t="str">
        <f>IF($B43=0,"",SUMIFS(INPUT_DATA!AC:AC,INPUT_DATA!$A:$A,$B43,INPUT_DATA!$C:$C,"S"))</f>
        <v/>
      </c>
      <c r="AE43" s="313" t="str">
        <f>IF($B43=0,"",SUMIFS(INPUT_DATA!AD:AD,INPUT_DATA!$A:$A,$B43,INPUT_DATA!$C:$C,"S"))</f>
        <v/>
      </c>
      <c r="AF43" s="313" t="str">
        <f>IF($B43=0,"",SUMIFS(INPUT_DATA!AE:AE,INPUT_DATA!$A:$A,$B43,INPUT_DATA!$C:$C,"S"))</f>
        <v/>
      </c>
      <c r="AG43" s="313" t="str">
        <f>IF($B43=0,"",SUMIFS(INPUT_DATA!AF:AF,INPUT_DATA!$A:$A,$B43,INPUT_DATA!$C:$C,"S"))</f>
        <v/>
      </c>
      <c r="AH43" s="313" t="str">
        <f>IF($B43=0,"",SUMIFS(INPUT_DATA!AG:AG,INPUT_DATA!$A:$A,$B43,INPUT_DATA!$C:$C,"S"))</f>
        <v/>
      </c>
      <c r="AI43" s="313" t="str">
        <f>IF($B43=0,"",SUMIFS(INPUT_DATA!AH:AH,INPUT_DATA!$A:$A,$B43,INPUT_DATA!$C:$C,"S"))</f>
        <v/>
      </c>
      <c r="AJ43" s="313" t="str">
        <f>IF($B43=0,"",SUMIFS(INPUT_DATA!AI:AI,INPUT_DATA!$A:$A,$B43,INPUT_DATA!$C:$C,"S"))</f>
        <v/>
      </c>
      <c r="AK43" s="313" t="str">
        <f>IF($B43=0,"",SUMIFS(INPUT_DATA!AJ:AJ,INPUT_DATA!$A:$A,$B43,INPUT_DATA!$C:$C,"S"))</f>
        <v/>
      </c>
      <c r="AL43" s="313" t="str">
        <f>IF($B43=0,"",SUMIFS(INPUT_DATA!AK:AK,INPUT_DATA!$A:$A,$B43,INPUT_DATA!$C:$C,"S"))</f>
        <v/>
      </c>
      <c r="AM43" s="313" t="str">
        <f>IF($B43=0,"",SUMIFS(INPUT_DATA!AL:AL,INPUT_DATA!$A:$A,$B43,INPUT_DATA!$C:$C,"S"))</f>
        <v/>
      </c>
      <c r="AN43" s="313" t="str">
        <f>IF($B43=0,"",SUMIFS(INPUT_DATA!AM:AM,INPUT_DATA!$A:$A,$B43,INPUT_DATA!$C:$C,"S"))</f>
        <v/>
      </c>
      <c r="AO43" s="313" t="str">
        <f>IF($B43=0,"",SUMIFS(INPUT_DATA!AN:AN,INPUT_DATA!$A:$A,$B43,INPUT_DATA!$C:$C,"S"))</f>
        <v/>
      </c>
      <c r="AP43" s="313" t="str">
        <f>IF($B43=0,"",SUMIFS(INPUT_DATA!AO:AO,INPUT_DATA!$A:$A,$B43,INPUT_DATA!$C:$C,"S"))</f>
        <v/>
      </c>
      <c r="AQ43" s="313" t="str">
        <f>IF($B43=0,"",SUMIFS(INPUT_DATA!AP:AP,INPUT_DATA!$A:$A,$B43,INPUT_DATA!$C:$C,"S"))</f>
        <v/>
      </c>
      <c r="AR43" s="313" t="str">
        <f>IF($B43=0,"",SUMIFS(INPUT_DATA!AQ:AQ,INPUT_DATA!$A:$A,$B43,INPUT_DATA!$C:$C,"S"))</f>
        <v/>
      </c>
      <c r="AS43" s="749" t="str">
        <f t="shared" si="29"/>
        <v/>
      </c>
      <c r="AT43" s="750" t="str">
        <f t="shared" si="30"/>
        <v/>
      </c>
      <c r="AU43" s="751" t="str">
        <f t="shared" si="31"/>
        <v/>
      </c>
      <c r="AV43" s="749" t="str">
        <f>IF($B43=0,"",SUMIFS(INPUT_DATA!AR:AR,INPUT_DATA!$A:$A,$B43,INPUT_DATA!$C:$C,"S"))</f>
        <v/>
      </c>
      <c r="AW43" s="750" t="str">
        <f>IF($B43=0,"",SUMIFS(INPUT_DATA!AS:AS,INPUT_DATA!$A:$A,$B43,INPUT_DATA!$C:$C,"S"))</f>
        <v/>
      </c>
      <c r="AX43" s="751" t="str">
        <f>IF($B43=0,"",SUMIFS(INPUT_DATA!AT:AT,INPUT_DATA!$A:$A,$B43,INPUT_DATA!$C:$C,"S"))</f>
        <v/>
      </c>
      <c r="AY43" s="749" t="str">
        <f t="shared" si="15"/>
        <v/>
      </c>
      <c r="AZ43" s="750" t="str">
        <f t="shared" si="16"/>
        <v/>
      </c>
      <c r="BA43" s="751" t="str">
        <f t="shared" si="17"/>
        <v/>
      </c>
      <c r="BB43" s="150"/>
      <c r="BC43" s="738" t="str">
        <f>IF($B43=0,"",SUMIFS(INPUT_DATA!D:D,INPUT_DATA!$A:$A,$B43,INPUT_DATA!$C:$C,"D"))</f>
        <v/>
      </c>
      <c r="BD43" s="312" t="str">
        <f>IF($B43=0,"",SUMIFS(INPUT_DATA!F:F,INPUT_DATA!$A:$A,$B43,INPUT_DATA!$C:$C,"D"))</f>
        <v/>
      </c>
      <c r="BE43" s="312" t="str">
        <f>IF($B43=0,"",SUMIFS(INPUT_DATA!G:G,INPUT_DATA!$A:$A,$B43,INPUT_DATA!$C:$C,"D"))</f>
        <v/>
      </c>
      <c r="BF43" s="312" t="str">
        <f>IF($B43=0,"",SUMIFS(INPUT_DATA!H:H,INPUT_DATA!$A:$A,$B43,INPUT_DATA!$C:$C,"D"))</f>
        <v/>
      </c>
      <c r="BG43" s="312" t="str">
        <f>IF($B43=0,"",SUMIFS(INPUT_DATA!I:I,INPUT_DATA!$A:$A,$B43,INPUT_DATA!$C:$C,"D"))</f>
        <v/>
      </c>
      <c r="BH43" s="312" t="str">
        <f>IF($B43=0,"",SUMIFS(INPUT_DATA!J:J,INPUT_DATA!$A:$A,$B43,INPUT_DATA!$C:$C,"D"))</f>
        <v/>
      </c>
      <c r="BI43" s="312" t="str">
        <f>IF($B43=0,"",SUMIFS(INPUT_DATA!K:K,INPUT_DATA!$A:$A,$B43,INPUT_DATA!$C:$C,"D"))</f>
        <v/>
      </c>
      <c r="BJ43" s="312" t="str">
        <f>IF($B43=0,"",SUMIFS(INPUT_DATA!L:L,INPUT_DATA!$A:$A,$B43,INPUT_DATA!$C:$C,"D"))</f>
        <v/>
      </c>
      <c r="BK43" s="312" t="str">
        <f>IF($B43=0,"",SUMIFS(INPUT_DATA!M:M,INPUT_DATA!$A:$A,$B43,INPUT_DATA!$C:$C,"D"))</f>
        <v/>
      </c>
      <c r="BL43" s="312" t="str">
        <f>IF($B43=0,"",SUMIFS(INPUT_DATA!N:N,INPUT_DATA!$A:$A,$B43,INPUT_DATA!$C:$C,"D"))</f>
        <v/>
      </c>
      <c r="BM43" s="312" t="str">
        <f>IF($B43=0,"",SUMIFS(INPUT_DATA!O:O,INPUT_DATA!$A:$A,$B43,INPUT_DATA!$C:$C,"D"))</f>
        <v/>
      </c>
      <c r="BN43" s="754" t="str">
        <f t="shared" si="18"/>
        <v/>
      </c>
      <c r="BO43" s="754" t="str">
        <f>IF($B43=0,"",SUMIFS(INPUT_DATA!O:O,INPUT_DATA!$A:$A,$B43,INPUT_DATA!$C:$C,"D"))</f>
        <v/>
      </c>
      <c r="BP43" s="754" t="str">
        <f t="shared" si="19"/>
        <v/>
      </c>
      <c r="BQ43" s="738" t="str">
        <f>IF($B43=0,"",SUMIFS(INPUT_DATA!Q:Q,INPUT_DATA!$A:$A,$B43,INPUT_DATA!$C:$C,"D"))</f>
        <v/>
      </c>
      <c r="BR43" s="760" t="str">
        <f>IF($B43=0,"",SUMIFS(INPUT_DATA!R:R,INPUT_DATA!$A:$A,$B43,INPUT_DATA!$C:$C,"D"))</f>
        <v/>
      </c>
      <c r="BS43" s="760" t="str">
        <f>IF($B43=0,"",SUMIFS(INPUT_DATA!S:S,INPUT_DATA!$A:$A,$B43,INPUT_DATA!$C:$C,"D"))</f>
        <v/>
      </c>
      <c r="BT43" s="312" t="str">
        <f>IF($B43=0,"",SUMIFS(INPUT_DATA!T:T,INPUT_DATA!$A:$A,$B43,INPUT_DATA!$C:$C,"D"))</f>
        <v/>
      </c>
      <c r="BU43" s="312" t="str">
        <f>IF($B43=0,"",SUMIFS(INPUT_DATA!U:U,INPUT_DATA!$A:$A,$B43,INPUT_DATA!$C:$C,"D"))</f>
        <v/>
      </c>
      <c r="BV43" s="312" t="str">
        <f>IF($B43=0,"",SUMIFS(INPUT_DATA!V:V,INPUT_DATA!$A:$A,$B43,INPUT_DATA!$C:$C,"D"))</f>
        <v/>
      </c>
      <c r="BW43" s="312" t="str">
        <f>IF($B43=0,"",SUMIFS(INPUT_DATA!W:W,INPUT_DATA!$A:$A,$B43,INPUT_DATA!$C:$C,"D"))</f>
        <v/>
      </c>
      <c r="BX43" s="312" t="str">
        <f>IF($B43=0,"",SUMIFS(INPUT_DATA!X:X,INPUT_DATA!$A:$A,$B43,INPUT_DATA!$C:$C,"D"))</f>
        <v/>
      </c>
      <c r="BY43" s="312" t="str">
        <f>IF($B43=0,"",SUMIFS(INPUT_DATA!Y:Y,INPUT_DATA!$A:$A,$B43,INPUT_DATA!$C:$C,"D"))</f>
        <v/>
      </c>
      <c r="BZ43" s="353" t="str">
        <f>IF($B43=0,"",SUMIFS(INPUT_DATA!Z:Z,INPUT_DATA!$A:$A,$B43,INPUT_DATA!$C:$C,"D"))</f>
        <v/>
      </c>
      <c r="CA43" s="353" t="str">
        <f>IF($B43=0,"",SUMIFS(INPUT_DATA!AA:AA,INPUT_DATA!$A:$A,$B43,INPUT_DATA!$C:$C,"D"))</f>
        <v/>
      </c>
      <c r="CB43" s="353" t="str">
        <f>IF($B43=0,"",SUMIFS(INPUT_DATA!AB:AB,INPUT_DATA!$A:$A,$B43,INPUT_DATA!$C:$C,"D"))</f>
        <v/>
      </c>
      <c r="CC43" s="312" t="str">
        <f>IF($B43=0,"",SUMIFS(INPUT_DATA!AC:AC,INPUT_DATA!$A:$A,$B43,INPUT_DATA!$C:$C,"D"))</f>
        <v/>
      </c>
      <c r="CD43" s="312" t="str">
        <f>IF($B43=0,"",SUMIFS(INPUT_DATA!AD:AD,INPUT_DATA!$A:$A,$B43,INPUT_DATA!$C:$C,"D"))</f>
        <v/>
      </c>
      <c r="CE43" s="312" t="str">
        <f>IF($B43=0,"",SUMIFS(INPUT_DATA!AE:AE,INPUT_DATA!$A:$A,$B43,INPUT_DATA!$C:$C,"D"))</f>
        <v/>
      </c>
      <c r="CF43" s="353" t="str">
        <f>IF($B43=0,"",SUMIFS(INPUT_DATA!AF:AF,INPUT_DATA!$A:$A,$B43,INPUT_DATA!$C:$C,"D"))</f>
        <v/>
      </c>
      <c r="CG43" s="353" t="str">
        <f>IF($B43=0,"",SUMIFS(INPUT_DATA!AG:AG,INPUT_DATA!$A:$A,$B43,INPUT_DATA!$C:$C,"D"))</f>
        <v/>
      </c>
      <c r="CH43" s="353" t="str">
        <f>IF($B43=0,"",SUMIFS(INPUT_DATA!AH:AH,INPUT_DATA!$A:$A,$B43,INPUT_DATA!$C:$C,"D"))</f>
        <v/>
      </c>
      <c r="CI43" s="153" t="str">
        <f>IF($B43=0,"",SUMIFS(INPUT_DATA!AI:AI,INPUT_DATA!$A:$A,$B43,INPUT_DATA!$C:$C,"D"))</f>
        <v/>
      </c>
      <c r="CJ43" s="153" t="str">
        <f>IF($B43=0,"",SUMIFS(INPUT_DATA!AJ:AJ,INPUT_DATA!$A:$A,$B43,INPUT_DATA!$C:$C,"D"))</f>
        <v/>
      </c>
      <c r="CK43" s="153" t="str">
        <f>IF($B43=0,"",SUMIFS(INPUT_DATA!AK:AK,INPUT_DATA!$A:$A,$B43,INPUT_DATA!$C:$C,"D"))</f>
        <v/>
      </c>
      <c r="CL43" s="153" t="str">
        <f>IF($B43=0,"",SUMIFS(INPUT_DATA!AL:AL,INPUT_DATA!$A:$A,$B43,INPUT_DATA!$C:$C,"D"))</f>
        <v/>
      </c>
      <c r="CM43" s="153" t="str">
        <f>IF($B43=0,"",SUMIFS(INPUT_DATA!AM:AM,INPUT_DATA!$A:$A,$B43,INPUT_DATA!$C:$C,"D"))</f>
        <v/>
      </c>
      <c r="CN43" s="153" t="str">
        <f>IF($B43=0,"",SUMIFS(INPUT_DATA!AN:AN,INPUT_DATA!$A:$A,$B43,INPUT_DATA!$C:$C,"D"))</f>
        <v/>
      </c>
      <c r="CO43" s="153" t="str">
        <f>IF($B43=0,"",SUMIFS(INPUT_DATA!AO:AO,INPUT_DATA!$A:$A,$B43,INPUT_DATA!$C:$C,"D"))</f>
        <v/>
      </c>
      <c r="CP43" s="153" t="str">
        <f>IF($B43=0,"",SUMIFS(INPUT_DATA!AP:AP,INPUT_DATA!$A:$A,$B43,INPUT_DATA!$C:$C,"D"))</f>
        <v/>
      </c>
      <c r="CQ43" s="153" t="str">
        <f>IF($B43=0,"",SUMIFS(INPUT_DATA!AQ:AQ,INPUT_DATA!$A:$A,$B43,INPUT_DATA!$C:$C,"D"))</f>
        <v/>
      </c>
      <c r="CR43" s="750" t="str">
        <f t="shared" si="32"/>
        <v/>
      </c>
      <c r="CS43" s="750" t="str">
        <f t="shared" si="33"/>
        <v/>
      </c>
      <c r="CT43" s="750" t="str">
        <f t="shared" si="34"/>
        <v/>
      </c>
      <c r="CU43" s="739" t="str">
        <f>IF($B43=0,"",SUMIFS(INPUT_DATA!AR:AR,INPUT_DATA!$A:$A,$B43,INPUT_DATA!$C:$C,"D"))</f>
        <v/>
      </c>
      <c r="CV43" s="739" t="str">
        <f>IF($B43=0,"",SUMIFS(INPUT_DATA!AS:AS,INPUT_DATA!$A:$A,$B43,INPUT_DATA!$C:$C,"D"))</f>
        <v/>
      </c>
      <c r="CW43" s="739" t="str">
        <f>IF($B43=0,"",SUMIFS(INPUT_DATA!AT:AT,INPUT_DATA!$A:$A,$B43,INPUT_DATA!$C:$C,"D"))</f>
        <v/>
      </c>
      <c r="CX43" s="739" t="str">
        <f t="shared" si="35"/>
        <v/>
      </c>
      <c r="CY43" s="750" t="str">
        <f t="shared" si="36"/>
        <v/>
      </c>
      <c r="CZ43" s="761" t="str">
        <f t="shared" si="37"/>
        <v/>
      </c>
      <c r="DA43" s="150"/>
    </row>
    <row r="44" spans="1:105" ht="13" x14ac:dyDescent="0.25">
      <c r="B44" s="733">
        <f>INPUT_DATA!BQ31</f>
        <v>0</v>
      </c>
      <c r="C44" s="738" t="str">
        <f>IF($B44=0,"",SUMIFS(INPUT_DATA!D:D,INPUT_DATA!$A:$A,$B44,INPUT_DATA!$C:$C,"S"))</f>
        <v/>
      </c>
      <c r="D44" s="739" t="str">
        <f>IF($B44=0,"",SUMIFS(INPUT_DATA!E:E,INPUT_DATA!$A:$A,$B44,INPUT_DATA!$C:$C,"S"))</f>
        <v/>
      </c>
      <c r="E44" s="740" t="str">
        <f>IF($B44=0,"",SUMIFS(INPUT_DATA!F:F,INPUT_DATA!$A:$A,$B44,INPUT_DATA!$C:$C,"S"))</f>
        <v/>
      </c>
      <c r="F44" s="740" t="str">
        <f>IF($B44=0,"",SUMIFS(INPUT_DATA!G:G,INPUT_DATA!$A:$A,$B44,INPUT_DATA!$C:$C,"S"))</f>
        <v/>
      </c>
      <c r="G44" s="740" t="str">
        <f>IF($B44=0,"",SUMIFS(INPUT_DATA!H:H,INPUT_DATA!$A:$A,$B44,INPUT_DATA!$C:$C,"S"))</f>
        <v/>
      </c>
      <c r="H44" s="740" t="str">
        <f>IF($B44=0,"",SUMIFS(INPUT_DATA!I:I,INPUT_DATA!$A:$A,$B44,INPUT_DATA!$C:$C,"S"))</f>
        <v/>
      </c>
      <c r="I44" s="740" t="str">
        <f>IF($B44=0,"",SUMIFS(INPUT_DATA!J:J,INPUT_DATA!$A:$A,$B44,INPUT_DATA!$C:$C,"S"))</f>
        <v/>
      </c>
      <c r="J44" s="740" t="str">
        <f>IF($B44=0,"",SUMIFS(INPUT_DATA!K:K,INPUT_DATA!$A:$A,$B44,INPUT_DATA!$C:$C,"S"))</f>
        <v/>
      </c>
      <c r="K44" s="740" t="str">
        <f>IF($B44=0,"",SUMIFS(INPUT_DATA!L:L,INPUT_DATA!$A:$A,$B44,INPUT_DATA!$C:$C,"S"))</f>
        <v/>
      </c>
      <c r="L44" s="740" t="str">
        <f>IF($B44=0,"",SUMIFS(INPUT_DATA!M:M,INPUT_DATA!$A:$A,$B44,INPUT_DATA!$C:$C,"S"))</f>
        <v/>
      </c>
      <c r="M44" s="740" t="str">
        <f>IF($B44=0,"",SUMIFS(INPUT_DATA!N:N,INPUT_DATA!$A:$A,$B44,INPUT_DATA!$C:$C,"S"))</f>
        <v/>
      </c>
      <c r="N44" s="740" t="str">
        <f>IF($B44=0,"",SUMIFS(INPUT_DATA!O:O,INPUT_DATA!$A:$A,$B44,INPUT_DATA!$C:$C,"S"))</f>
        <v/>
      </c>
      <c r="O44" s="741" t="str">
        <f t="shared" si="38"/>
        <v/>
      </c>
      <c r="P44" s="742" t="str">
        <f>IF($B44=0,"",SUMIFS(INPUT_DATA!P:P,INPUT_DATA!$A:$A,$B44,INPUT_DATA!$C:$C,"S"))</f>
        <v/>
      </c>
      <c r="Q44" s="742" t="str">
        <f t="shared" si="39"/>
        <v/>
      </c>
      <c r="R44" s="748" t="str">
        <f>IF($B44=0,"",SUMIFS(INPUT_DATA!Q:Q,INPUT_DATA!$A:$A,$B44,INPUT_DATA!$C:$C,"S"))</f>
        <v/>
      </c>
      <c r="S44" s="748" t="str">
        <f>IF($B44=0,"",SUMIFS(INPUT_DATA!R:R,INPUT_DATA!$A:$A,$B44,INPUT_DATA!$C:$C,"S"))</f>
        <v/>
      </c>
      <c r="T44" s="748" t="str">
        <f>IF($B44=0,"",SUMIFS(INPUT_DATA!S:S,INPUT_DATA!$A:$A,$B44,INPUT_DATA!$C:$C,"S"))</f>
        <v/>
      </c>
      <c r="U44" s="313" t="str">
        <f>IF($B44=0,"",SUMIFS(INPUT_DATA!T:T,INPUT_DATA!$A:$A,$B44,INPUT_DATA!$C:$C,"S"))</f>
        <v/>
      </c>
      <c r="V44" s="313" t="str">
        <f>IF($B44=0,"",SUMIFS(INPUT_DATA!U:U,INPUT_DATA!$A:$A,$B44,INPUT_DATA!$C:$C,"S"))</f>
        <v/>
      </c>
      <c r="W44" s="313" t="str">
        <f>IF($B44=0,"",SUMIFS(INPUT_DATA!V:V,INPUT_DATA!$A:$A,$B44,INPUT_DATA!$C:$C,"S"))</f>
        <v/>
      </c>
      <c r="X44" s="313" t="str">
        <f>IF($B44=0,"",SUMIFS(INPUT_DATA!W:W,INPUT_DATA!$A:$A,$B44,INPUT_DATA!$C:$C,"S"))</f>
        <v/>
      </c>
      <c r="Y44" s="313" t="str">
        <f>IF($B44=0,"",SUMIFS(INPUT_DATA!X:X,INPUT_DATA!$A:$A,$B44,INPUT_DATA!$C:$C,"S"))</f>
        <v/>
      </c>
      <c r="Z44" s="313" t="str">
        <f>IF($B44=0,"",SUMIFS(INPUT_DATA!Y:Y,INPUT_DATA!$A:$A,$B44,INPUT_DATA!$C:$C,"S"))</f>
        <v/>
      </c>
      <c r="AA44" s="313" t="str">
        <f>IF($B44=0,"",SUMIFS(INPUT_DATA!Z:Z,INPUT_DATA!$A:$A,$B44,INPUT_DATA!$C:$C,"S"))</f>
        <v/>
      </c>
      <c r="AB44" s="313" t="str">
        <f>IF($B44=0,"",SUMIFS(INPUT_DATA!AA:AA,INPUT_DATA!$A:$A,$B44,INPUT_DATA!$C:$C,"S"))</f>
        <v/>
      </c>
      <c r="AC44" s="313" t="str">
        <f>IF($B44=0,"",SUMIFS(INPUT_DATA!AB:AB,INPUT_DATA!$A:$A,$B44,INPUT_DATA!$C:$C,"S"))</f>
        <v/>
      </c>
      <c r="AD44" s="313" t="str">
        <f>IF($B44=0,"",SUMIFS(INPUT_DATA!AC:AC,INPUT_DATA!$A:$A,$B44,INPUT_DATA!$C:$C,"S"))</f>
        <v/>
      </c>
      <c r="AE44" s="313" t="str">
        <f>IF($B44=0,"",SUMIFS(INPUT_DATA!AD:AD,INPUT_DATA!$A:$A,$B44,INPUT_DATA!$C:$C,"S"))</f>
        <v/>
      </c>
      <c r="AF44" s="313" t="str">
        <f>IF($B44=0,"",SUMIFS(INPUT_DATA!AE:AE,INPUT_DATA!$A:$A,$B44,INPUT_DATA!$C:$C,"S"))</f>
        <v/>
      </c>
      <c r="AG44" s="313" t="str">
        <f>IF($B44=0,"",SUMIFS(INPUT_DATA!AF:AF,INPUT_DATA!$A:$A,$B44,INPUT_DATA!$C:$C,"S"))</f>
        <v/>
      </c>
      <c r="AH44" s="313" t="str">
        <f>IF($B44=0,"",SUMIFS(INPUT_DATA!AG:AG,INPUT_DATA!$A:$A,$B44,INPUT_DATA!$C:$C,"S"))</f>
        <v/>
      </c>
      <c r="AI44" s="313" t="str">
        <f>IF($B44=0,"",SUMIFS(INPUT_DATA!AH:AH,INPUT_DATA!$A:$A,$B44,INPUT_DATA!$C:$C,"S"))</f>
        <v/>
      </c>
      <c r="AJ44" s="313" t="str">
        <f>IF($B44=0,"",SUMIFS(INPUT_DATA!AI:AI,INPUT_DATA!$A:$A,$B44,INPUT_DATA!$C:$C,"S"))</f>
        <v/>
      </c>
      <c r="AK44" s="313" t="str">
        <f>IF($B44=0,"",SUMIFS(INPUT_DATA!AJ:AJ,INPUT_DATA!$A:$A,$B44,INPUT_DATA!$C:$C,"S"))</f>
        <v/>
      </c>
      <c r="AL44" s="313" t="str">
        <f>IF($B44=0,"",SUMIFS(INPUT_DATA!AK:AK,INPUT_DATA!$A:$A,$B44,INPUT_DATA!$C:$C,"S"))</f>
        <v/>
      </c>
      <c r="AM44" s="313" t="str">
        <f>IF($B44=0,"",SUMIFS(INPUT_DATA!AL:AL,INPUT_DATA!$A:$A,$B44,INPUT_DATA!$C:$C,"S"))</f>
        <v/>
      </c>
      <c r="AN44" s="313" t="str">
        <f>IF($B44=0,"",SUMIFS(INPUT_DATA!AM:AM,INPUT_DATA!$A:$A,$B44,INPUT_DATA!$C:$C,"S"))</f>
        <v/>
      </c>
      <c r="AO44" s="313" t="str">
        <f>IF($B44=0,"",SUMIFS(INPUT_DATA!AN:AN,INPUT_DATA!$A:$A,$B44,INPUT_DATA!$C:$C,"S"))</f>
        <v/>
      </c>
      <c r="AP44" s="313" t="str">
        <f>IF($B44=0,"",SUMIFS(INPUT_DATA!AO:AO,INPUT_DATA!$A:$A,$B44,INPUT_DATA!$C:$C,"S"))</f>
        <v/>
      </c>
      <c r="AQ44" s="313" t="str">
        <f>IF($B44=0,"",SUMIFS(INPUT_DATA!AP:AP,INPUT_DATA!$A:$A,$B44,INPUT_DATA!$C:$C,"S"))</f>
        <v/>
      </c>
      <c r="AR44" s="313" t="str">
        <f>IF($B44=0,"",SUMIFS(INPUT_DATA!AQ:AQ,INPUT_DATA!$A:$A,$B44,INPUT_DATA!$C:$C,"S"))</f>
        <v/>
      </c>
      <c r="AS44" s="749" t="str">
        <f t="shared" si="29"/>
        <v/>
      </c>
      <c r="AT44" s="750" t="str">
        <f t="shared" si="30"/>
        <v/>
      </c>
      <c r="AU44" s="751" t="str">
        <f t="shared" si="31"/>
        <v/>
      </c>
      <c r="AV44" s="749" t="str">
        <f>IF($B44=0,"",SUMIFS(INPUT_DATA!AR:AR,INPUT_DATA!$A:$A,$B44,INPUT_DATA!$C:$C,"S"))</f>
        <v/>
      </c>
      <c r="AW44" s="750" t="str">
        <f>IF($B44=0,"",SUMIFS(INPUT_DATA!AS:AS,INPUT_DATA!$A:$A,$B44,INPUT_DATA!$C:$C,"S"))</f>
        <v/>
      </c>
      <c r="AX44" s="751" t="str">
        <f>IF($B44=0,"",SUMIFS(INPUT_DATA!AT:AT,INPUT_DATA!$A:$A,$B44,INPUT_DATA!$C:$C,"S"))</f>
        <v/>
      </c>
      <c r="AY44" s="749" t="str">
        <f t="shared" si="15"/>
        <v/>
      </c>
      <c r="AZ44" s="750" t="str">
        <f t="shared" si="16"/>
        <v/>
      </c>
      <c r="BA44" s="751" t="str">
        <f t="shared" si="17"/>
        <v/>
      </c>
      <c r="BB44" s="150"/>
      <c r="BC44" s="738" t="str">
        <f>IF($B44=0,"",SUMIFS(INPUT_DATA!D:D,INPUT_DATA!$A:$A,$B44,INPUT_DATA!$C:$C,"D"))</f>
        <v/>
      </c>
      <c r="BD44" s="312" t="str">
        <f>IF($B44=0,"",SUMIFS(INPUT_DATA!F:F,INPUT_DATA!$A:$A,$B44,INPUT_DATA!$C:$C,"D"))</f>
        <v/>
      </c>
      <c r="BE44" s="312" t="str">
        <f>IF($B44=0,"",SUMIFS(INPUT_DATA!G:G,INPUT_DATA!$A:$A,$B44,INPUT_DATA!$C:$C,"D"))</f>
        <v/>
      </c>
      <c r="BF44" s="312" t="str">
        <f>IF($B44=0,"",SUMIFS(INPUT_DATA!H:H,INPUT_DATA!$A:$A,$B44,INPUT_DATA!$C:$C,"D"))</f>
        <v/>
      </c>
      <c r="BG44" s="312" t="str">
        <f>IF($B44=0,"",SUMIFS(INPUT_DATA!I:I,INPUT_DATA!$A:$A,$B44,INPUT_DATA!$C:$C,"D"))</f>
        <v/>
      </c>
      <c r="BH44" s="312" t="str">
        <f>IF($B44=0,"",SUMIFS(INPUT_DATA!J:J,INPUT_DATA!$A:$A,$B44,INPUT_DATA!$C:$C,"D"))</f>
        <v/>
      </c>
      <c r="BI44" s="312" t="str">
        <f>IF($B44=0,"",SUMIFS(INPUT_DATA!K:K,INPUT_DATA!$A:$A,$B44,INPUT_DATA!$C:$C,"D"))</f>
        <v/>
      </c>
      <c r="BJ44" s="312" t="str">
        <f>IF($B44=0,"",SUMIFS(INPUT_DATA!L:L,INPUT_DATA!$A:$A,$B44,INPUT_DATA!$C:$C,"D"))</f>
        <v/>
      </c>
      <c r="BK44" s="312" t="str">
        <f>IF($B44=0,"",SUMIFS(INPUT_DATA!M:M,INPUT_DATA!$A:$A,$B44,INPUT_DATA!$C:$C,"D"))</f>
        <v/>
      </c>
      <c r="BL44" s="312" t="str">
        <f>IF($B44=0,"",SUMIFS(INPUT_DATA!N:N,INPUT_DATA!$A:$A,$B44,INPUT_DATA!$C:$C,"D"))</f>
        <v/>
      </c>
      <c r="BM44" s="312" t="str">
        <f>IF($B44=0,"",SUMIFS(INPUT_DATA!O:O,INPUT_DATA!$A:$A,$B44,INPUT_DATA!$C:$C,"D"))</f>
        <v/>
      </c>
      <c r="BN44" s="754" t="str">
        <f t="shared" si="18"/>
        <v/>
      </c>
      <c r="BO44" s="754" t="str">
        <f>IF($B44=0,"",SUMIFS(INPUT_DATA!O:O,INPUT_DATA!$A:$A,$B44,INPUT_DATA!$C:$C,"D"))</f>
        <v/>
      </c>
      <c r="BP44" s="754" t="str">
        <f t="shared" si="19"/>
        <v/>
      </c>
      <c r="BQ44" s="738" t="str">
        <f>IF($B44=0,"",SUMIFS(INPUT_DATA!Q:Q,INPUT_DATA!$A:$A,$B44,INPUT_DATA!$C:$C,"D"))</f>
        <v/>
      </c>
      <c r="BR44" s="760" t="str">
        <f>IF($B44=0,"",SUMIFS(INPUT_DATA!R:R,INPUT_DATA!$A:$A,$B44,INPUT_DATA!$C:$C,"D"))</f>
        <v/>
      </c>
      <c r="BS44" s="760" t="str">
        <f>IF($B44=0,"",SUMIFS(INPUT_DATA!S:S,INPUT_DATA!$A:$A,$B44,INPUT_DATA!$C:$C,"D"))</f>
        <v/>
      </c>
      <c r="BT44" s="312" t="str">
        <f>IF($B44=0,"",SUMIFS(INPUT_DATA!T:T,INPUT_DATA!$A:$A,$B44,INPUT_DATA!$C:$C,"D"))</f>
        <v/>
      </c>
      <c r="BU44" s="312" t="str">
        <f>IF($B44=0,"",SUMIFS(INPUT_DATA!U:U,INPUT_DATA!$A:$A,$B44,INPUT_DATA!$C:$C,"D"))</f>
        <v/>
      </c>
      <c r="BV44" s="312" t="str">
        <f>IF($B44=0,"",SUMIFS(INPUT_DATA!V:V,INPUT_DATA!$A:$A,$B44,INPUT_DATA!$C:$C,"D"))</f>
        <v/>
      </c>
      <c r="BW44" s="312" t="str">
        <f>IF($B44=0,"",SUMIFS(INPUT_DATA!W:W,INPUT_DATA!$A:$A,$B44,INPUT_DATA!$C:$C,"D"))</f>
        <v/>
      </c>
      <c r="BX44" s="312" t="str">
        <f>IF($B44=0,"",SUMIFS(INPUT_DATA!X:X,INPUT_DATA!$A:$A,$B44,INPUT_DATA!$C:$C,"D"))</f>
        <v/>
      </c>
      <c r="BY44" s="312" t="str">
        <f>IF($B44=0,"",SUMIFS(INPUT_DATA!Y:Y,INPUT_DATA!$A:$A,$B44,INPUT_DATA!$C:$C,"D"))</f>
        <v/>
      </c>
      <c r="BZ44" s="353" t="str">
        <f>IF($B44=0,"",SUMIFS(INPUT_DATA!Z:Z,INPUT_DATA!$A:$A,$B44,INPUT_DATA!$C:$C,"D"))</f>
        <v/>
      </c>
      <c r="CA44" s="353" t="str">
        <f>IF($B44=0,"",SUMIFS(INPUT_DATA!AA:AA,INPUT_DATA!$A:$A,$B44,INPUT_DATA!$C:$C,"D"))</f>
        <v/>
      </c>
      <c r="CB44" s="353" t="str">
        <f>IF($B44=0,"",SUMIFS(INPUT_DATA!AB:AB,INPUT_DATA!$A:$A,$B44,INPUT_DATA!$C:$C,"D"))</f>
        <v/>
      </c>
      <c r="CC44" s="312" t="str">
        <f>IF($B44=0,"",SUMIFS(INPUT_DATA!AC:AC,INPUT_DATA!$A:$A,$B44,INPUT_DATA!$C:$C,"D"))</f>
        <v/>
      </c>
      <c r="CD44" s="312" t="str">
        <f>IF($B44=0,"",SUMIFS(INPUT_DATA!AD:AD,INPUT_DATA!$A:$A,$B44,INPUT_DATA!$C:$C,"D"))</f>
        <v/>
      </c>
      <c r="CE44" s="312" t="str">
        <f>IF($B44=0,"",SUMIFS(INPUT_DATA!AE:AE,INPUT_DATA!$A:$A,$B44,INPUT_DATA!$C:$C,"D"))</f>
        <v/>
      </c>
      <c r="CF44" s="353" t="str">
        <f>IF($B44=0,"",SUMIFS(INPUT_DATA!AF:AF,INPUT_DATA!$A:$A,$B44,INPUT_DATA!$C:$C,"D"))</f>
        <v/>
      </c>
      <c r="CG44" s="353" t="str">
        <f>IF($B44=0,"",SUMIFS(INPUT_DATA!AG:AG,INPUT_DATA!$A:$A,$B44,INPUT_DATA!$C:$C,"D"))</f>
        <v/>
      </c>
      <c r="CH44" s="353" t="str">
        <f>IF($B44=0,"",SUMIFS(INPUT_DATA!AH:AH,INPUT_DATA!$A:$A,$B44,INPUT_DATA!$C:$C,"D"))</f>
        <v/>
      </c>
      <c r="CI44" s="153" t="str">
        <f>IF($B44=0,"",SUMIFS(INPUT_DATA!AI:AI,INPUT_DATA!$A:$A,$B44,INPUT_DATA!$C:$C,"D"))</f>
        <v/>
      </c>
      <c r="CJ44" s="153" t="str">
        <f>IF($B44=0,"",SUMIFS(INPUT_DATA!AJ:AJ,INPUT_DATA!$A:$A,$B44,INPUT_DATA!$C:$C,"D"))</f>
        <v/>
      </c>
      <c r="CK44" s="153" t="str">
        <f>IF($B44=0,"",SUMIFS(INPUT_DATA!AK:AK,INPUT_DATA!$A:$A,$B44,INPUT_DATA!$C:$C,"D"))</f>
        <v/>
      </c>
      <c r="CL44" s="153" t="str">
        <f>IF($B44=0,"",SUMIFS(INPUT_DATA!AL:AL,INPUT_DATA!$A:$A,$B44,INPUT_DATA!$C:$C,"D"))</f>
        <v/>
      </c>
      <c r="CM44" s="153" t="str">
        <f>IF($B44=0,"",SUMIFS(INPUT_DATA!AM:AM,INPUT_DATA!$A:$A,$B44,INPUT_DATA!$C:$C,"D"))</f>
        <v/>
      </c>
      <c r="CN44" s="153" t="str">
        <f>IF($B44=0,"",SUMIFS(INPUT_DATA!AN:AN,INPUT_DATA!$A:$A,$B44,INPUT_DATA!$C:$C,"D"))</f>
        <v/>
      </c>
      <c r="CO44" s="153" t="str">
        <f>IF($B44=0,"",SUMIFS(INPUT_DATA!AO:AO,INPUT_DATA!$A:$A,$B44,INPUT_DATA!$C:$C,"D"))</f>
        <v/>
      </c>
      <c r="CP44" s="153" t="str">
        <f>IF($B44=0,"",SUMIFS(INPUT_DATA!AP:AP,INPUT_DATA!$A:$A,$B44,INPUT_DATA!$C:$C,"D"))</f>
        <v/>
      </c>
      <c r="CQ44" s="153" t="str">
        <f>IF($B44=0,"",SUMIFS(INPUT_DATA!AQ:AQ,INPUT_DATA!$A:$A,$B44,INPUT_DATA!$C:$C,"D"))</f>
        <v/>
      </c>
      <c r="CR44" s="750" t="str">
        <f t="shared" si="32"/>
        <v/>
      </c>
      <c r="CS44" s="750" t="str">
        <f t="shared" si="33"/>
        <v/>
      </c>
      <c r="CT44" s="750" t="str">
        <f t="shared" si="34"/>
        <v/>
      </c>
      <c r="CU44" s="739" t="str">
        <f>IF($B44=0,"",SUMIFS(INPUT_DATA!AR:AR,INPUT_DATA!$A:$A,$B44,INPUT_DATA!$C:$C,"D"))</f>
        <v/>
      </c>
      <c r="CV44" s="739" t="str">
        <f>IF($B44=0,"",SUMIFS(INPUT_DATA!AS:AS,INPUT_DATA!$A:$A,$B44,INPUT_DATA!$C:$C,"D"))</f>
        <v/>
      </c>
      <c r="CW44" s="739" t="str">
        <f>IF($B44=0,"",SUMIFS(INPUT_DATA!AT:AT,INPUT_DATA!$A:$A,$B44,INPUT_DATA!$C:$C,"D"))</f>
        <v/>
      </c>
      <c r="CX44" s="739" t="str">
        <f t="shared" si="35"/>
        <v/>
      </c>
      <c r="CY44" s="750" t="str">
        <f t="shared" si="36"/>
        <v/>
      </c>
      <c r="CZ44" s="761" t="str">
        <f t="shared" si="37"/>
        <v/>
      </c>
      <c r="DA44" s="150"/>
    </row>
    <row r="45" spans="1:105" ht="13" x14ac:dyDescent="0.25">
      <c r="B45" s="733">
        <f>INPUT_DATA!BQ32</f>
        <v>0</v>
      </c>
      <c r="C45" s="738" t="str">
        <f>IF($B45=0,"",SUMIFS(INPUT_DATA!D:D,INPUT_DATA!$A:$A,$B45,INPUT_DATA!$C:$C,"S"))</f>
        <v/>
      </c>
      <c r="D45" s="739" t="str">
        <f>IF($B45=0,"",SUMIFS(INPUT_DATA!E:E,INPUT_DATA!$A:$A,$B45,INPUT_DATA!$C:$C,"S"))</f>
        <v/>
      </c>
      <c r="E45" s="740" t="str">
        <f>IF($B45=0,"",SUMIFS(INPUT_DATA!F:F,INPUT_DATA!$A:$A,$B45,INPUT_DATA!$C:$C,"S"))</f>
        <v/>
      </c>
      <c r="F45" s="740" t="str">
        <f>IF($B45=0,"",SUMIFS(INPUT_DATA!G:G,INPUT_DATA!$A:$A,$B45,INPUT_DATA!$C:$C,"S"))</f>
        <v/>
      </c>
      <c r="G45" s="740" t="str">
        <f>IF($B45=0,"",SUMIFS(INPUT_DATA!H:H,INPUT_DATA!$A:$A,$B45,INPUT_DATA!$C:$C,"S"))</f>
        <v/>
      </c>
      <c r="H45" s="740" t="str">
        <f>IF($B45=0,"",SUMIFS(INPUT_DATA!I:I,INPUT_DATA!$A:$A,$B45,INPUT_DATA!$C:$C,"S"))</f>
        <v/>
      </c>
      <c r="I45" s="740" t="str">
        <f>IF($B45=0,"",SUMIFS(INPUT_DATA!J:J,INPUT_DATA!$A:$A,$B45,INPUT_DATA!$C:$C,"S"))</f>
        <v/>
      </c>
      <c r="J45" s="740" t="str">
        <f>IF($B45=0,"",SUMIFS(INPUT_DATA!K:K,INPUT_DATA!$A:$A,$B45,INPUT_DATA!$C:$C,"S"))</f>
        <v/>
      </c>
      <c r="K45" s="740" t="str">
        <f>IF($B45=0,"",SUMIFS(INPUT_DATA!L:L,INPUT_DATA!$A:$A,$B45,INPUT_DATA!$C:$C,"S"))</f>
        <v/>
      </c>
      <c r="L45" s="740" t="str">
        <f>IF($B45=0,"",SUMIFS(INPUT_DATA!M:M,INPUT_DATA!$A:$A,$B45,INPUT_DATA!$C:$C,"S"))</f>
        <v/>
      </c>
      <c r="M45" s="740" t="str">
        <f>IF($B45=0,"",SUMIFS(INPUT_DATA!N:N,INPUT_DATA!$A:$A,$B45,INPUT_DATA!$C:$C,"S"))</f>
        <v/>
      </c>
      <c r="N45" s="740" t="str">
        <f>IF($B45=0,"",SUMIFS(INPUT_DATA!O:O,INPUT_DATA!$A:$A,$B45,INPUT_DATA!$C:$C,"S"))</f>
        <v/>
      </c>
      <c r="O45" s="741" t="str">
        <f t="shared" si="38"/>
        <v/>
      </c>
      <c r="P45" s="742" t="str">
        <f>IF($B45=0,"",SUMIFS(INPUT_DATA!P:P,INPUT_DATA!$A:$A,$B45,INPUT_DATA!$C:$C,"S"))</f>
        <v/>
      </c>
      <c r="Q45" s="742" t="str">
        <f t="shared" si="39"/>
        <v/>
      </c>
      <c r="R45" s="748" t="str">
        <f>IF($B45=0,"",SUMIFS(INPUT_DATA!Q:Q,INPUT_DATA!$A:$A,$B45,INPUT_DATA!$C:$C,"S"))</f>
        <v/>
      </c>
      <c r="S45" s="748" t="str">
        <f>IF($B45=0,"",SUMIFS(INPUT_DATA!R:R,INPUT_DATA!$A:$A,$B45,INPUT_DATA!$C:$C,"S"))</f>
        <v/>
      </c>
      <c r="T45" s="748" t="str">
        <f>IF($B45=0,"",SUMIFS(INPUT_DATA!S:S,INPUT_DATA!$A:$A,$B45,INPUT_DATA!$C:$C,"S"))</f>
        <v/>
      </c>
      <c r="U45" s="313" t="str">
        <f>IF($B45=0,"",SUMIFS(INPUT_DATA!T:T,INPUT_DATA!$A:$A,$B45,INPUT_DATA!$C:$C,"S"))</f>
        <v/>
      </c>
      <c r="V45" s="313" t="str">
        <f>IF($B45=0,"",SUMIFS(INPUT_DATA!U:U,INPUT_DATA!$A:$A,$B45,INPUT_DATA!$C:$C,"S"))</f>
        <v/>
      </c>
      <c r="W45" s="313" t="str">
        <f>IF($B45=0,"",SUMIFS(INPUT_DATA!V:V,INPUT_DATA!$A:$A,$B45,INPUT_DATA!$C:$C,"S"))</f>
        <v/>
      </c>
      <c r="X45" s="313" t="str">
        <f>IF($B45=0,"",SUMIFS(INPUT_DATA!W:W,INPUT_DATA!$A:$A,$B45,INPUT_DATA!$C:$C,"S"))</f>
        <v/>
      </c>
      <c r="Y45" s="313" t="str">
        <f>IF($B45=0,"",SUMIFS(INPUT_DATA!X:X,INPUT_DATA!$A:$A,$B45,INPUT_DATA!$C:$C,"S"))</f>
        <v/>
      </c>
      <c r="Z45" s="313" t="str">
        <f>IF($B45=0,"",SUMIFS(INPUT_DATA!Y:Y,INPUT_DATA!$A:$A,$B45,INPUT_DATA!$C:$C,"S"))</f>
        <v/>
      </c>
      <c r="AA45" s="313" t="str">
        <f>IF($B45=0,"",SUMIFS(INPUT_DATA!Z:Z,INPUT_DATA!$A:$A,$B45,INPUT_DATA!$C:$C,"S"))</f>
        <v/>
      </c>
      <c r="AB45" s="313" t="str">
        <f>IF($B45=0,"",SUMIFS(INPUT_DATA!AA:AA,INPUT_DATA!$A:$A,$B45,INPUT_DATA!$C:$C,"S"))</f>
        <v/>
      </c>
      <c r="AC45" s="313" t="str">
        <f>IF($B45=0,"",SUMIFS(INPUT_DATA!AB:AB,INPUT_DATA!$A:$A,$B45,INPUT_DATA!$C:$C,"S"))</f>
        <v/>
      </c>
      <c r="AD45" s="313" t="str">
        <f>IF($B45=0,"",SUMIFS(INPUT_DATA!AC:AC,INPUT_DATA!$A:$A,$B45,INPUT_DATA!$C:$C,"S"))</f>
        <v/>
      </c>
      <c r="AE45" s="313" t="str">
        <f>IF($B45=0,"",SUMIFS(INPUT_DATA!AD:AD,INPUT_DATA!$A:$A,$B45,INPUT_DATA!$C:$C,"S"))</f>
        <v/>
      </c>
      <c r="AF45" s="313" t="str">
        <f>IF($B45=0,"",SUMIFS(INPUT_DATA!AE:AE,INPUT_DATA!$A:$A,$B45,INPUT_DATA!$C:$C,"S"))</f>
        <v/>
      </c>
      <c r="AG45" s="313" t="str">
        <f>IF($B45=0,"",SUMIFS(INPUT_DATA!AF:AF,INPUT_DATA!$A:$A,$B45,INPUT_DATA!$C:$C,"S"))</f>
        <v/>
      </c>
      <c r="AH45" s="313" t="str">
        <f>IF($B45=0,"",SUMIFS(INPUT_DATA!AG:AG,INPUT_DATA!$A:$A,$B45,INPUT_DATA!$C:$C,"S"))</f>
        <v/>
      </c>
      <c r="AI45" s="313" t="str">
        <f>IF($B45=0,"",SUMIFS(INPUT_DATA!AH:AH,INPUT_DATA!$A:$A,$B45,INPUT_DATA!$C:$C,"S"))</f>
        <v/>
      </c>
      <c r="AJ45" s="313" t="str">
        <f>IF($B45=0,"",SUMIFS(INPUT_DATA!AI:AI,INPUT_DATA!$A:$A,$B45,INPUT_DATA!$C:$C,"S"))</f>
        <v/>
      </c>
      <c r="AK45" s="313" t="str">
        <f>IF($B45=0,"",SUMIFS(INPUT_DATA!AJ:AJ,INPUT_DATA!$A:$A,$B45,INPUT_DATA!$C:$C,"S"))</f>
        <v/>
      </c>
      <c r="AL45" s="313" t="str">
        <f>IF($B45=0,"",SUMIFS(INPUT_DATA!AK:AK,INPUT_DATA!$A:$A,$B45,INPUT_DATA!$C:$C,"S"))</f>
        <v/>
      </c>
      <c r="AM45" s="313" t="str">
        <f>IF($B45=0,"",SUMIFS(INPUT_DATA!AL:AL,INPUT_DATA!$A:$A,$B45,INPUT_DATA!$C:$C,"S"))</f>
        <v/>
      </c>
      <c r="AN45" s="313" t="str">
        <f>IF($B45=0,"",SUMIFS(INPUT_DATA!AM:AM,INPUT_DATA!$A:$A,$B45,INPUT_DATA!$C:$C,"S"))</f>
        <v/>
      </c>
      <c r="AO45" s="313" t="str">
        <f>IF($B45=0,"",SUMIFS(INPUT_DATA!AN:AN,INPUT_DATA!$A:$A,$B45,INPUT_DATA!$C:$C,"S"))</f>
        <v/>
      </c>
      <c r="AP45" s="313" t="str">
        <f>IF($B45=0,"",SUMIFS(INPUT_DATA!AO:AO,INPUT_DATA!$A:$A,$B45,INPUT_DATA!$C:$C,"S"))</f>
        <v/>
      </c>
      <c r="AQ45" s="313" t="str">
        <f>IF($B45=0,"",SUMIFS(INPUT_DATA!AP:AP,INPUT_DATA!$A:$A,$B45,INPUT_DATA!$C:$C,"S"))</f>
        <v/>
      </c>
      <c r="AR45" s="313" t="str">
        <f>IF($B45=0,"",SUMIFS(INPUT_DATA!AQ:AQ,INPUT_DATA!$A:$A,$B45,INPUT_DATA!$C:$C,"S"))</f>
        <v/>
      </c>
      <c r="AS45" s="749" t="str">
        <f t="shared" si="29"/>
        <v/>
      </c>
      <c r="AT45" s="750" t="str">
        <f t="shared" si="30"/>
        <v/>
      </c>
      <c r="AU45" s="751" t="str">
        <f t="shared" si="31"/>
        <v/>
      </c>
      <c r="AV45" s="749" t="str">
        <f>IF($B45=0,"",SUMIFS(INPUT_DATA!AR:AR,INPUT_DATA!$A:$A,$B45,INPUT_DATA!$C:$C,"S"))</f>
        <v/>
      </c>
      <c r="AW45" s="750" t="str">
        <f>IF($B45=0,"",SUMIFS(INPUT_DATA!AS:AS,INPUT_DATA!$A:$A,$B45,INPUT_DATA!$C:$C,"S"))</f>
        <v/>
      </c>
      <c r="AX45" s="751" t="str">
        <f>IF($B45=0,"",SUMIFS(INPUT_DATA!AT:AT,INPUT_DATA!$A:$A,$B45,INPUT_DATA!$C:$C,"S"))</f>
        <v/>
      </c>
      <c r="AY45" s="749" t="str">
        <f t="shared" si="15"/>
        <v/>
      </c>
      <c r="AZ45" s="750" t="str">
        <f t="shared" si="16"/>
        <v/>
      </c>
      <c r="BA45" s="751" t="str">
        <f t="shared" si="17"/>
        <v/>
      </c>
      <c r="BB45" s="150"/>
      <c r="BC45" s="738" t="str">
        <f>IF($B45=0,"",SUMIFS(INPUT_DATA!D:D,INPUT_DATA!$A:$A,$B45,INPUT_DATA!$C:$C,"D"))</f>
        <v/>
      </c>
      <c r="BD45" s="312" t="str">
        <f>IF($B45=0,"",SUMIFS(INPUT_DATA!F:F,INPUT_DATA!$A:$A,$B45,INPUT_DATA!$C:$C,"D"))</f>
        <v/>
      </c>
      <c r="BE45" s="312" t="str">
        <f>IF($B45=0,"",SUMIFS(INPUT_DATA!G:G,INPUT_DATA!$A:$A,$B45,INPUT_DATA!$C:$C,"D"))</f>
        <v/>
      </c>
      <c r="BF45" s="312" t="str">
        <f>IF($B45=0,"",SUMIFS(INPUT_DATA!H:H,INPUT_DATA!$A:$A,$B45,INPUT_DATA!$C:$C,"D"))</f>
        <v/>
      </c>
      <c r="BG45" s="312" t="str">
        <f>IF($B45=0,"",SUMIFS(INPUT_DATA!I:I,INPUT_DATA!$A:$A,$B45,INPUT_DATA!$C:$C,"D"))</f>
        <v/>
      </c>
      <c r="BH45" s="312" t="str">
        <f>IF($B45=0,"",SUMIFS(INPUT_DATA!J:J,INPUT_DATA!$A:$A,$B45,INPUT_DATA!$C:$C,"D"))</f>
        <v/>
      </c>
      <c r="BI45" s="312" t="str">
        <f>IF($B45=0,"",SUMIFS(INPUT_DATA!K:K,INPUT_DATA!$A:$A,$B45,INPUT_DATA!$C:$C,"D"))</f>
        <v/>
      </c>
      <c r="BJ45" s="312" t="str">
        <f>IF($B45=0,"",SUMIFS(INPUT_DATA!L:L,INPUT_DATA!$A:$A,$B45,INPUT_DATA!$C:$C,"D"))</f>
        <v/>
      </c>
      <c r="BK45" s="312" t="str">
        <f>IF($B45=0,"",SUMIFS(INPUT_DATA!M:M,INPUT_DATA!$A:$A,$B45,INPUT_DATA!$C:$C,"D"))</f>
        <v/>
      </c>
      <c r="BL45" s="312" t="str">
        <f>IF($B45=0,"",SUMIFS(INPUT_DATA!N:N,INPUT_DATA!$A:$A,$B45,INPUT_DATA!$C:$C,"D"))</f>
        <v/>
      </c>
      <c r="BM45" s="312" t="str">
        <f>IF($B45=0,"",SUMIFS(INPUT_DATA!O:O,INPUT_DATA!$A:$A,$B45,INPUT_DATA!$C:$C,"D"))</f>
        <v/>
      </c>
      <c r="BN45" s="754" t="str">
        <f t="shared" si="18"/>
        <v/>
      </c>
      <c r="BO45" s="754" t="str">
        <f>IF($B45=0,"",SUMIFS(INPUT_DATA!O:O,INPUT_DATA!$A:$A,$B45,INPUT_DATA!$C:$C,"D"))</f>
        <v/>
      </c>
      <c r="BP45" s="754" t="str">
        <f t="shared" si="19"/>
        <v/>
      </c>
      <c r="BQ45" s="738" t="str">
        <f>IF($B45=0,"",SUMIFS(INPUT_DATA!Q:Q,INPUT_DATA!$A:$A,$B45,INPUT_DATA!$C:$C,"D"))</f>
        <v/>
      </c>
      <c r="BR45" s="760" t="str">
        <f>IF($B45=0,"",SUMIFS(INPUT_DATA!R:R,INPUT_DATA!$A:$A,$B45,INPUT_DATA!$C:$C,"D"))</f>
        <v/>
      </c>
      <c r="BS45" s="760" t="str">
        <f>IF($B45=0,"",SUMIFS(INPUT_DATA!S:S,INPUT_DATA!$A:$A,$B45,INPUT_DATA!$C:$C,"D"))</f>
        <v/>
      </c>
      <c r="BT45" s="312" t="str">
        <f>IF($B45=0,"",SUMIFS(INPUT_DATA!T:T,INPUT_DATA!$A:$A,$B45,INPUT_DATA!$C:$C,"D"))</f>
        <v/>
      </c>
      <c r="BU45" s="312" t="str">
        <f>IF($B45=0,"",SUMIFS(INPUT_DATA!U:U,INPUT_DATA!$A:$A,$B45,INPUT_DATA!$C:$C,"D"))</f>
        <v/>
      </c>
      <c r="BV45" s="312" t="str">
        <f>IF($B45=0,"",SUMIFS(INPUT_DATA!V:V,INPUT_DATA!$A:$A,$B45,INPUT_DATA!$C:$C,"D"))</f>
        <v/>
      </c>
      <c r="BW45" s="312" t="str">
        <f>IF($B45=0,"",SUMIFS(INPUT_DATA!W:W,INPUT_DATA!$A:$A,$B45,INPUT_DATA!$C:$C,"D"))</f>
        <v/>
      </c>
      <c r="BX45" s="312" t="str">
        <f>IF($B45=0,"",SUMIFS(INPUT_DATA!X:X,INPUT_DATA!$A:$A,$B45,INPUT_DATA!$C:$C,"D"))</f>
        <v/>
      </c>
      <c r="BY45" s="312" t="str">
        <f>IF($B45=0,"",SUMIFS(INPUT_DATA!Y:Y,INPUT_DATA!$A:$A,$B45,INPUT_DATA!$C:$C,"D"))</f>
        <v/>
      </c>
      <c r="BZ45" s="353" t="str">
        <f>IF($B45=0,"",SUMIFS(INPUT_DATA!Z:Z,INPUT_DATA!$A:$A,$B45,INPUT_DATA!$C:$C,"D"))</f>
        <v/>
      </c>
      <c r="CA45" s="353" t="str">
        <f>IF($B45=0,"",SUMIFS(INPUT_DATA!AA:AA,INPUT_DATA!$A:$A,$B45,INPUT_DATA!$C:$C,"D"))</f>
        <v/>
      </c>
      <c r="CB45" s="353" t="str">
        <f>IF($B45=0,"",SUMIFS(INPUT_DATA!AB:AB,INPUT_DATA!$A:$A,$B45,INPUT_DATA!$C:$C,"D"))</f>
        <v/>
      </c>
      <c r="CC45" s="312" t="str">
        <f>IF($B45=0,"",SUMIFS(INPUT_DATA!AC:AC,INPUT_DATA!$A:$A,$B45,INPUT_DATA!$C:$C,"D"))</f>
        <v/>
      </c>
      <c r="CD45" s="312" t="str">
        <f>IF($B45=0,"",SUMIFS(INPUT_DATA!AD:AD,INPUT_DATA!$A:$A,$B45,INPUT_DATA!$C:$C,"D"))</f>
        <v/>
      </c>
      <c r="CE45" s="312" t="str">
        <f>IF($B45=0,"",SUMIFS(INPUT_DATA!AE:AE,INPUT_DATA!$A:$A,$B45,INPUT_DATA!$C:$C,"D"))</f>
        <v/>
      </c>
      <c r="CF45" s="353" t="str">
        <f>IF($B45=0,"",SUMIFS(INPUT_DATA!AF:AF,INPUT_DATA!$A:$A,$B45,INPUT_DATA!$C:$C,"D"))</f>
        <v/>
      </c>
      <c r="CG45" s="353" t="str">
        <f>IF($B45=0,"",SUMIFS(INPUT_DATA!AG:AG,INPUT_DATA!$A:$A,$B45,INPUT_DATA!$C:$C,"D"))</f>
        <v/>
      </c>
      <c r="CH45" s="353" t="str">
        <f>IF($B45=0,"",SUMIFS(INPUT_DATA!AH:AH,INPUT_DATA!$A:$A,$B45,INPUT_DATA!$C:$C,"D"))</f>
        <v/>
      </c>
      <c r="CI45" s="153" t="str">
        <f>IF($B45=0,"",SUMIFS(INPUT_DATA!AI:AI,INPUT_DATA!$A:$A,$B45,INPUT_DATA!$C:$C,"D"))</f>
        <v/>
      </c>
      <c r="CJ45" s="153" t="str">
        <f>IF($B45=0,"",SUMIFS(INPUT_DATA!AJ:AJ,INPUT_DATA!$A:$A,$B45,INPUT_DATA!$C:$C,"D"))</f>
        <v/>
      </c>
      <c r="CK45" s="153" t="str">
        <f>IF($B45=0,"",SUMIFS(INPUT_DATA!AK:AK,INPUT_DATA!$A:$A,$B45,INPUT_DATA!$C:$C,"D"))</f>
        <v/>
      </c>
      <c r="CL45" s="153" t="str">
        <f>IF($B45=0,"",SUMIFS(INPUT_DATA!AL:AL,INPUT_DATA!$A:$A,$B45,INPUT_DATA!$C:$C,"D"))</f>
        <v/>
      </c>
      <c r="CM45" s="153" t="str">
        <f>IF($B45=0,"",SUMIFS(INPUT_DATA!AM:AM,INPUT_DATA!$A:$A,$B45,INPUT_DATA!$C:$C,"D"))</f>
        <v/>
      </c>
      <c r="CN45" s="153" t="str">
        <f>IF($B45=0,"",SUMIFS(INPUT_DATA!AN:AN,INPUT_DATA!$A:$A,$B45,INPUT_DATA!$C:$C,"D"))</f>
        <v/>
      </c>
      <c r="CO45" s="153" t="str">
        <f>IF($B45=0,"",SUMIFS(INPUT_DATA!AO:AO,INPUT_DATA!$A:$A,$B45,INPUT_DATA!$C:$C,"D"))</f>
        <v/>
      </c>
      <c r="CP45" s="153" t="str">
        <f>IF($B45=0,"",SUMIFS(INPUT_DATA!AP:AP,INPUT_DATA!$A:$A,$B45,INPUT_DATA!$C:$C,"D"))</f>
        <v/>
      </c>
      <c r="CQ45" s="153" t="str">
        <f>IF($B45=0,"",SUMIFS(INPUT_DATA!AQ:AQ,INPUT_DATA!$A:$A,$B45,INPUT_DATA!$C:$C,"D"))</f>
        <v/>
      </c>
      <c r="CR45" s="750" t="str">
        <f t="shared" si="32"/>
        <v/>
      </c>
      <c r="CS45" s="750" t="str">
        <f t="shared" si="33"/>
        <v/>
      </c>
      <c r="CT45" s="750" t="str">
        <f t="shared" si="34"/>
        <v/>
      </c>
      <c r="CU45" s="739" t="str">
        <f>IF($B45=0,"",SUMIFS(INPUT_DATA!AR:AR,INPUT_DATA!$A:$A,$B45,INPUT_DATA!$C:$C,"D"))</f>
        <v/>
      </c>
      <c r="CV45" s="739" t="str">
        <f>IF($B45=0,"",SUMIFS(INPUT_DATA!AS:AS,INPUT_DATA!$A:$A,$B45,INPUT_DATA!$C:$C,"D"))</f>
        <v/>
      </c>
      <c r="CW45" s="739" t="str">
        <f>IF($B45=0,"",SUMIFS(INPUT_DATA!AT:AT,INPUT_DATA!$A:$A,$B45,INPUT_DATA!$C:$C,"D"))</f>
        <v/>
      </c>
      <c r="CX45" s="739" t="str">
        <f t="shared" si="35"/>
        <v/>
      </c>
      <c r="CY45" s="750" t="str">
        <f t="shared" si="36"/>
        <v/>
      </c>
      <c r="CZ45" s="761" t="str">
        <f t="shared" si="37"/>
        <v/>
      </c>
      <c r="DA45" s="150"/>
    </row>
    <row r="46" spans="1:105" ht="13" x14ac:dyDescent="0.25">
      <c r="B46" s="733">
        <f>INPUT_DATA!BQ33</f>
        <v>0</v>
      </c>
      <c r="C46" s="738" t="str">
        <f>IF($B46=0,"",SUMIFS(INPUT_DATA!D:D,INPUT_DATA!$A:$A,$B46,INPUT_DATA!$C:$C,"S"))</f>
        <v/>
      </c>
      <c r="D46" s="739" t="str">
        <f>IF($B46=0,"",SUMIFS(INPUT_DATA!E:E,INPUT_DATA!$A:$A,$B46,INPUT_DATA!$C:$C,"S"))</f>
        <v/>
      </c>
      <c r="E46" s="740" t="str">
        <f>IF($B46=0,"",SUMIFS(INPUT_DATA!F:F,INPUT_DATA!$A:$A,$B46,INPUT_DATA!$C:$C,"S"))</f>
        <v/>
      </c>
      <c r="F46" s="740" t="str">
        <f>IF($B46=0,"",SUMIFS(INPUT_DATA!G:G,INPUT_DATA!$A:$A,$B46,INPUT_DATA!$C:$C,"S"))</f>
        <v/>
      </c>
      <c r="G46" s="740" t="str">
        <f>IF($B46=0,"",SUMIFS(INPUT_DATA!H:H,INPUT_DATA!$A:$A,$B46,INPUT_DATA!$C:$C,"S"))</f>
        <v/>
      </c>
      <c r="H46" s="740" t="str">
        <f>IF($B46=0,"",SUMIFS(INPUT_DATA!I:I,INPUT_DATA!$A:$A,$B46,INPUT_DATA!$C:$C,"S"))</f>
        <v/>
      </c>
      <c r="I46" s="740" t="str">
        <f>IF($B46=0,"",SUMIFS(INPUT_DATA!J:J,INPUT_DATA!$A:$A,$B46,INPUT_DATA!$C:$C,"S"))</f>
        <v/>
      </c>
      <c r="J46" s="740" t="str">
        <f>IF($B46=0,"",SUMIFS(INPUT_DATA!K:K,INPUT_DATA!$A:$A,$B46,INPUT_DATA!$C:$C,"S"))</f>
        <v/>
      </c>
      <c r="K46" s="740" t="str">
        <f>IF($B46=0,"",SUMIFS(INPUT_DATA!L:L,INPUT_DATA!$A:$A,$B46,INPUT_DATA!$C:$C,"S"))</f>
        <v/>
      </c>
      <c r="L46" s="740" t="str">
        <f>IF($B46=0,"",SUMIFS(INPUT_DATA!M:M,INPUT_DATA!$A:$A,$B46,INPUT_DATA!$C:$C,"S"))</f>
        <v/>
      </c>
      <c r="M46" s="740" t="str">
        <f>IF($B46=0,"",SUMIFS(INPUT_DATA!N:N,INPUT_DATA!$A:$A,$B46,INPUT_DATA!$C:$C,"S"))</f>
        <v/>
      </c>
      <c r="N46" s="740" t="str">
        <f>IF($B46=0,"",SUMIFS(INPUT_DATA!O:O,INPUT_DATA!$A:$A,$B46,INPUT_DATA!$C:$C,"S"))</f>
        <v/>
      </c>
      <c r="O46" s="741" t="str">
        <f t="shared" si="38"/>
        <v/>
      </c>
      <c r="P46" s="742" t="str">
        <f>IF($B46=0,"",SUMIFS(INPUT_DATA!P:P,INPUT_DATA!$A:$A,$B46,INPUT_DATA!$C:$C,"S"))</f>
        <v/>
      </c>
      <c r="Q46" s="742" t="str">
        <f t="shared" si="39"/>
        <v/>
      </c>
      <c r="R46" s="748" t="str">
        <f>IF($B46=0,"",SUMIFS(INPUT_DATA!Q:Q,INPUT_DATA!$A:$A,$B46,INPUT_DATA!$C:$C,"S"))</f>
        <v/>
      </c>
      <c r="S46" s="748" t="str">
        <f>IF($B46=0,"",SUMIFS(INPUT_DATA!R:R,INPUT_DATA!$A:$A,$B46,INPUT_DATA!$C:$C,"S"))</f>
        <v/>
      </c>
      <c r="T46" s="748" t="str">
        <f>IF($B46=0,"",SUMIFS(INPUT_DATA!S:S,INPUT_DATA!$A:$A,$B46,INPUT_DATA!$C:$C,"S"))</f>
        <v/>
      </c>
      <c r="U46" s="313" t="str">
        <f>IF($B46=0,"",SUMIFS(INPUT_DATA!T:T,INPUT_DATA!$A:$A,$B46,INPUT_DATA!$C:$C,"S"))</f>
        <v/>
      </c>
      <c r="V46" s="313" t="str">
        <f>IF($B46=0,"",SUMIFS(INPUT_DATA!U:U,INPUT_DATA!$A:$A,$B46,INPUT_DATA!$C:$C,"S"))</f>
        <v/>
      </c>
      <c r="W46" s="313" t="str">
        <f>IF($B46=0,"",SUMIFS(INPUT_DATA!V:V,INPUT_DATA!$A:$A,$B46,INPUT_DATA!$C:$C,"S"))</f>
        <v/>
      </c>
      <c r="X46" s="313" t="str">
        <f>IF($B46=0,"",SUMIFS(INPUT_DATA!W:W,INPUT_DATA!$A:$A,$B46,INPUT_DATA!$C:$C,"S"))</f>
        <v/>
      </c>
      <c r="Y46" s="313" t="str">
        <f>IF($B46=0,"",SUMIFS(INPUT_DATA!X:X,INPUT_DATA!$A:$A,$B46,INPUT_DATA!$C:$C,"S"))</f>
        <v/>
      </c>
      <c r="Z46" s="313" t="str">
        <f>IF($B46=0,"",SUMIFS(INPUT_DATA!Y:Y,INPUT_DATA!$A:$A,$B46,INPUT_DATA!$C:$C,"S"))</f>
        <v/>
      </c>
      <c r="AA46" s="313" t="str">
        <f>IF($B46=0,"",SUMIFS(INPUT_DATA!Z:Z,INPUT_DATA!$A:$A,$B46,INPUT_DATA!$C:$C,"S"))</f>
        <v/>
      </c>
      <c r="AB46" s="313" t="str">
        <f>IF($B46=0,"",SUMIFS(INPUT_DATA!AA:AA,INPUT_DATA!$A:$A,$B46,INPUT_DATA!$C:$C,"S"))</f>
        <v/>
      </c>
      <c r="AC46" s="313" t="str">
        <f>IF($B46=0,"",SUMIFS(INPUT_DATA!AB:AB,INPUT_DATA!$A:$A,$B46,INPUT_DATA!$C:$C,"S"))</f>
        <v/>
      </c>
      <c r="AD46" s="313" t="str">
        <f>IF($B46=0,"",SUMIFS(INPUT_DATA!AC:AC,INPUT_DATA!$A:$A,$B46,INPUT_DATA!$C:$C,"S"))</f>
        <v/>
      </c>
      <c r="AE46" s="313" t="str">
        <f>IF($B46=0,"",SUMIFS(INPUT_DATA!AD:AD,INPUT_DATA!$A:$A,$B46,INPUT_DATA!$C:$C,"S"))</f>
        <v/>
      </c>
      <c r="AF46" s="313" t="str">
        <f>IF($B46=0,"",SUMIFS(INPUT_DATA!AE:AE,INPUT_DATA!$A:$A,$B46,INPUT_DATA!$C:$C,"S"))</f>
        <v/>
      </c>
      <c r="AG46" s="313" t="str">
        <f>IF($B46=0,"",SUMIFS(INPUT_DATA!AF:AF,INPUT_DATA!$A:$A,$B46,INPUT_DATA!$C:$C,"S"))</f>
        <v/>
      </c>
      <c r="AH46" s="313" t="str">
        <f>IF($B46=0,"",SUMIFS(INPUT_DATA!AG:AG,INPUT_DATA!$A:$A,$B46,INPUT_DATA!$C:$C,"S"))</f>
        <v/>
      </c>
      <c r="AI46" s="313" t="str">
        <f>IF($B46=0,"",SUMIFS(INPUT_DATA!AH:AH,INPUT_DATA!$A:$A,$B46,INPUT_DATA!$C:$C,"S"))</f>
        <v/>
      </c>
      <c r="AJ46" s="313" t="str">
        <f>IF($B46=0,"",SUMIFS(INPUT_DATA!AI:AI,INPUT_DATA!$A:$A,$B46,INPUT_DATA!$C:$C,"S"))</f>
        <v/>
      </c>
      <c r="AK46" s="313" t="str">
        <f>IF($B46=0,"",SUMIFS(INPUT_DATA!AJ:AJ,INPUT_DATA!$A:$A,$B46,INPUT_DATA!$C:$C,"S"))</f>
        <v/>
      </c>
      <c r="AL46" s="313" t="str">
        <f>IF($B46=0,"",SUMIFS(INPUT_DATA!AK:AK,INPUT_DATA!$A:$A,$B46,INPUT_DATA!$C:$C,"S"))</f>
        <v/>
      </c>
      <c r="AM46" s="313" t="str">
        <f>IF($B46=0,"",SUMIFS(INPUT_DATA!AL:AL,INPUT_DATA!$A:$A,$B46,INPUT_DATA!$C:$C,"S"))</f>
        <v/>
      </c>
      <c r="AN46" s="313" t="str">
        <f>IF($B46=0,"",SUMIFS(INPUT_DATA!AM:AM,INPUT_DATA!$A:$A,$B46,INPUT_DATA!$C:$C,"S"))</f>
        <v/>
      </c>
      <c r="AO46" s="313" t="str">
        <f>IF($B46=0,"",SUMIFS(INPUT_DATA!AN:AN,INPUT_DATA!$A:$A,$B46,INPUT_DATA!$C:$C,"S"))</f>
        <v/>
      </c>
      <c r="AP46" s="313" t="str">
        <f>IF($B46=0,"",SUMIFS(INPUT_DATA!AO:AO,INPUT_DATA!$A:$A,$B46,INPUT_DATA!$C:$C,"S"))</f>
        <v/>
      </c>
      <c r="AQ46" s="313" t="str">
        <f>IF($B46=0,"",SUMIFS(INPUT_DATA!AP:AP,INPUT_DATA!$A:$A,$B46,INPUT_DATA!$C:$C,"S"))</f>
        <v/>
      </c>
      <c r="AR46" s="313" t="str">
        <f>IF($B46=0,"",SUMIFS(INPUT_DATA!AQ:AQ,INPUT_DATA!$A:$A,$B46,INPUT_DATA!$C:$C,"S"))</f>
        <v/>
      </c>
      <c r="AS46" s="749" t="str">
        <f t="shared" si="29"/>
        <v/>
      </c>
      <c r="AT46" s="750" t="str">
        <f t="shared" si="30"/>
        <v/>
      </c>
      <c r="AU46" s="751" t="str">
        <f t="shared" si="31"/>
        <v/>
      </c>
      <c r="AV46" s="749" t="str">
        <f>IF($B46=0,"",SUMIFS(INPUT_DATA!AR:AR,INPUT_DATA!$A:$A,$B46,INPUT_DATA!$C:$C,"S"))</f>
        <v/>
      </c>
      <c r="AW46" s="750" t="str">
        <f>IF($B46=0,"",SUMIFS(INPUT_DATA!AS:AS,INPUT_DATA!$A:$A,$B46,INPUT_DATA!$C:$C,"S"))</f>
        <v/>
      </c>
      <c r="AX46" s="751" t="str">
        <f>IF($B46=0,"",SUMIFS(INPUT_DATA!AT:AT,INPUT_DATA!$A:$A,$B46,INPUT_DATA!$C:$C,"S"))</f>
        <v/>
      </c>
      <c r="AY46" s="749" t="str">
        <f t="shared" si="15"/>
        <v/>
      </c>
      <c r="AZ46" s="750" t="str">
        <f t="shared" si="16"/>
        <v/>
      </c>
      <c r="BA46" s="751" t="str">
        <f t="shared" si="17"/>
        <v/>
      </c>
      <c r="BB46" s="150"/>
      <c r="BC46" s="738" t="str">
        <f>IF($B46=0,"",SUMIFS(INPUT_DATA!D:D,INPUT_DATA!$A:$A,$B46,INPUT_DATA!$C:$C,"D"))</f>
        <v/>
      </c>
      <c r="BD46" s="312" t="str">
        <f>IF($B46=0,"",SUMIFS(INPUT_DATA!F:F,INPUT_DATA!$A:$A,$B46,INPUT_DATA!$C:$C,"D"))</f>
        <v/>
      </c>
      <c r="BE46" s="312" t="str">
        <f>IF($B46=0,"",SUMIFS(INPUT_DATA!G:G,INPUT_DATA!$A:$A,$B46,INPUT_DATA!$C:$C,"D"))</f>
        <v/>
      </c>
      <c r="BF46" s="312" t="str">
        <f>IF($B46=0,"",SUMIFS(INPUT_DATA!H:H,INPUT_DATA!$A:$A,$B46,INPUT_DATA!$C:$C,"D"))</f>
        <v/>
      </c>
      <c r="BG46" s="312" t="str">
        <f>IF($B46=0,"",SUMIFS(INPUT_DATA!I:I,INPUT_DATA!$A:$A,$B46,INPUT_DATA!$C:$C,"D"))</f>
        <v/>
      </c>
      <c r="BH46" s="312" t="str">
        <f>IF($B46=0,"",SUMIFS(INPUT_DATA!J:J,INPUT_DATA!$A:$A,$B46,INPUT_DATA!$C:$C,"D"))</f>
        <v/>
      </c>
      <c r="BI46" s="312" t="str">
        <f>IF($B46=0,"",SUMIFS(INPUT_DATA!K:K,INPUT_DATA!$A:$A,$B46,INPUT_DATA!$C:$C,"D"))</f>
        <v/>
      </c>
      <c r="BJ46" s="312" t="str">
        <f>IF($B46=0,"",SUMIFS(INPUT_DATA!L:L,INPUT_DATA!$A:$A,$B46,INPUT_DATA!$C:$C,"D"))</f>
        <v/>
      </c>
      <c r="BK46" s="312" t="str">
        <f>IF($B46=0,"",SUMIFS(INPUT_DATA!M:M,INPUT_DATA!$A:$A,$B46,INPUT_DATA!$C:$C,"D"))</f>
        <v/>
      </c>
      <c r="BL46" s="312" t="str">
        <f>IF($B46=0,"",SUMIFS(INPUT_DATA!N:N,INPUT_DATA!$A:$A,$B46,INPUT_DATA!$C:$C,"D"))</f>
        <v/>
      </c>
      <c r="BM46" s="312" t="str">
        <f>IF($B46=0,"",SUMIFS(INPUT_DATA!O:O,INPUT_DATA!$A:$A,$B46,INPUT_DATA!$C:$C,"D"))</f>
        <v/>
      </c>
      <c r="BN46" s="754" t="str">
        <f t="shared" si="18"/>
        <v/>
      </c>
      <c r="BO46" s="754" t="str">
        <f>IF($B46=0,"",SUMIFS(INPUT_DATA!O:O,INPUT_DATA!$A:$A,$B46,INPUT_DATA!$C:$C,"D"))</f>
        <v/>
      </c>
      <c r="BP46" s="754" t="str">
        <f t="shared" si="19"/>
        <v/>
      </c>
      <c r="BQ46" s="738" t="str">
        <f>IF($B46=0,"",SUMIFS(INPUT_DATA!Q:Q,INPUT_DATA!$A:$A,$B46,INPUT_DATA!$C:$C,"D"))</f>
        <v/>
      </c>
      <c r="BR46" s="760" t="str">
        <f>IF($B46=0,"",SUMIFS(INPUT_DATA!R:R,INPUT_DATA!$A:$A,$B46,INPUT_DATA!$C:$C,"D"))</f>
        <v/>
      </c>
      <c r="BS46" s="760" t="str">
        <f>IF($B46=0,"",SUMIFS(INPUT_DATA!S:S,INPUT_DATA!$A:$A,$B46,INPUT_DATA!$C:$C,"D"))</f>
        <v/>
      </c>
      <c r="BT46" s="312" t="str">
        <f>IF($B46=0,"",SUMIFS(INPUT_DATA!T:T,INPUT_DATA!$A:$A,$B46,INPUT_DATA!$C:$C,"D"))</f>
        <v/>
      </c>
      <c r="BU46" s="312" t="str">
        <f>IF($B46=0,"",SUMIFS(INPUT_DATA!U:U,INPUT_DATA!$A:$A,$B46,INPUT_DATA!$C:$C,"D"))</f>
        <v/>
      </c>
      <c r="BV46" s="312" t="str">
        <f>IF($B46=0,"",SUMIFS(INPUT_DATA!V:V,INPUT_DATA!$A:$A,$B46,INPUT_DATA!$C:$C,"D"))</f>
        <v/>
      </c>
      <c r="BW46" s="312" t="str">
        <f>IF($B46=0,"",SUMIFS(INPUT_DATA!W:W,INPUT_DATA!$A:$A,$B46,INPUT_DATA!$C:$C,"D"))</f>
        <v/>
      </c>
      <c r="BX46" s="312" t="str">
        <f>IF($B46=0,"",SUMIFS(INPUT_DATA!X:X,INPUT_DATA!$A:$A,$B46,INPUT_DATA!$C:$C,"D"))</f>
        <v/>
      </c>
      <c r="BY46" s="312" t="str">
        <f>IF($B46=0,"",SUMIFS(INPUT_DATA!Y:Y,INPUT_DATA!$A:$A,$B46,INPUT_DATA!$C:$C,"D"))</f>
        <v/>
      </c>
      <c r="BZ46" s="353" t="str">
        <f>IF($B46=0,"",SUMIFS(INPUT_DATA!Z:Z,INPUT_DATA!$A:$A,$B46,INPUT_DATA!$C:$C,"D"))</f>
        <v/>
      </c>
      <c r="CA46" s="353" t="str">
        <f>IF($B46=0,"",SUMIFS(INPUT_DATA!AA:AA,INPUT_DATA!$A:$A,$B46,INPUT_DATA!$C:$C,"D"))</f>
        <v/>
      </c>
      <c r="CB46" s="353" t="str">
        <f>IF($B46=0,"",SUMIFS(INPUT_DATA!AB:AB,INPUT_DATA!$A:$A,$B46,INPUT_DATA!$C:$C,"D"))</f>
        <v/>
      </c>
      <c r="CC46" s="312" t="str">
        <f>IF($B46=0,"",SUMIFS(INPUT_DATA!AC:AC,INPUT_DATA!$A:$A,$B46,INPUT_DATA!$C:$C,"D"))</f>
        <v/>
      </c>
      <c r="CD46" s="312" t="str">
        <f>IF($B46=0,"",SUMIFS(INPUT_DATA!AD:AD,INPUT_DATA!$A:$A,$B46,INPUT_DATA!$C:$C,"D"))</f>
        <v/>
      </c>
      <c r="CE46" s="312" t="str">
        <f>IF($B46=0,"",SUMIFS(INPUT_DATA!AE:AE,INPUT_DATA!$A:$A,$B46,INPUT_DATA!$C:$C,"D"))</f>
        <v/>
      </c>
      <c r="CF46" s="353" t="str">
        <f>IF($B46=0,"",SUMIFS(INPUT_DATA!AF:AF,INPUT_DATA!$A:$A,$B46,INPUT_DATA!$C:$C,"D"))</f>
        <v/>
      </c>
      <c r="CG46" s="353" t="str">
        <f>IF($B46=0,"",SUMIFS(INPUT_DATA!AG:AG,INPUT_DATA!$A:$A,$B46,INPUT_DATA!$C:$C,"D"))</f>
        <v/>
      </c>
      <c r="CH46" s="353" t="str">
        <f>IF($B46=0,"",SUMIFS(INPUT_DATA!AH:AH,INPUT_DATA!$A:$A,$B46,INPUT_DATA!$C:$C,"D"))</f>
        <v/>
      </c>
      <c r="CI46" s="153" t="str">
        <f>IF($B46=0,"",SUMIFS(INPUT_DATA!AI:AI,INPUT_DATA!$A:$A,$B46,INPUT_DATA!$C:$C,"D"))</f>
        <v/>
      </c>
      <c r="CJ46" s="153" t="str">
        <f>IF($B46=0,"",SUMIFS(INPUT_DATA!AJ:AJ,INPUT_DATA!$A:$A,$B46,INPUT_DATA!$C:$C,"D"))</f>
        <v/>
      </c>
      <c r="CK46" s="153" t="str">
        <f>IF($B46=0,"",SUMIFS(INPUT_DATA!AK:AK,INPUT_DATA!$A:$A,$B46,INPUT_DATA!$C:$C,"D"))</f>
        <v/>
      </c>
      <c r="CL46" s="153" t="str">
        <f>IF($B46=0,"",SUMIFS(INPUT_DATA!AL:AL,INPUT_DATA!$A:$A,$B46,INPUT_DATA!$C:$C,"D"))</f>
        <v/>
      </c>
      <c r="CM46" s="153" t="str">
        <f>IF($B46=0,"",SUMIFS(INPUT_DATA!AM:AM,INPUT_DATA!$A:$A,$B46,INPUT_DATA!$C:$C,"D"))</f>
        <v/>
      </c>
      <c r="CN46" s="153" t="str">
        <f>IF($B46=0,"",SUMIFS(INPUT_DATA!AN:AN,INPUT_DATA!$A:$A,$B46,INPUT_DATA!$C:$C,"D"))</f>
        <v/>
      </c>
      <c r="CO46" s="153" t="str">
        <f>IF($B46=0,"",SUMIFS(INPUT_DATA!AO:AO,INPUT_DATA!$A:$A,$B46,INPUT_DATA!$C:$C,"D"))</f>
        <v/>
      </c>
      <c r="CP46" s="153" t="str">
        <f>IF($B46=0,"",SUMIFS(INPUT_DATA!AP:AP,INPUT_DATA!$A:$A,$B46,INPUT_DATA!$C:$C,"D"))</f>
        <v/>
      </c>
      <c r="CQ46" s="153" t="str">
        <f>IF($B46=0,"",SUMIFS(INPUT_DATA!AQ:AQ,INPUT_DATA!$A:$A,$B46,INPUT_DATA!$C:$C,"D"))</f>
        <v/>
      </c>
      <c r="CR46" s="750" t="str">
        <f t="shared" si="32"/>
        <v/>
      </c>
      <c r="CS46" s="750" t="str">
        <f t="shared" si="33"/>
        <v/>
      </c>
      <c r="CT46" s="750" t="str">
        <f t="shared" si="34"/>
        <v/>
      </c>
      <c r="CU46" s="739" t="str">
        <f>IF($B46=0,"",SUMIFS(INPUT_DATA!AR:AR,INPUT_DATA!$A:$A,$B46,INPUT_DATA!$C:$C,"D"))</f>
        <v/>
      </c>
      <c r="CV46" s="739" t="str">
        <f>IF($B46=0,"",SUMIFS(INPUT_DATA!AS:AS,INPUT_DATA!$A:$A,$B46,INPUT_DATA!$C:$C,"D"))</f>
        <v/>
      </c>
      <c r="CW46" s="739" t="str">
        <f>IF($B46=0,"",SUMIFS(INPUT_DATA!AT:AT,INPUT_DATA!$A:$A,$B46,INPUT_DATA!$C:$C,"D"))</f>
        <v/>
      </c>
      <c r="CX46" s="739" t="str">
        <f t="shared" si="35"/>
        <v/>
      </c>
      <c r="CY46" s="750" t="str">
        <f t="shared" si="36"/>
        <v/>
      </c>
      <c r="CZ46" s="761" t="str">
        <f t="shared" si="37"/>
        <v/>
      </c>
      <c r="DA46" s="150"/>
    </row>
    <row r="47" spans="1:105" ht="13" x14ac:dyDescent="0.25">
      <c r="B47" s="733">
        <f>INPUT_DATA!BQ34</f>
        <v>0</v>
      </c>
      <c r="C47" s="738" t="str">
        <f>IF($B47=0,"",SUMIFS(INPUT_DATA!D:D,INPUT_DATA!$A:$A,$B47,INPUT_DATA!$C:$C,"S"))</f>
        <v/>
      </c>
      <c r="D47" s="739" t="str">
        <f>IF($B47=0,"",SUMIFS(INPUT_DATA!E:E,INPUT_DATA!$A:$A,$B47,INPUT_DATA!$C:$C,"S"))</f>
        <v/>
      </c>
      <c r="E47" s="740" t="str">
        <f>IF($B47=0,"",SUMIFS(INPUT_DATA!F:F,INPUT_DATA!$A:$A,$B47,INPUT_DATA!$C:$C,"S"))</f>
        <v/>
      </c>
      <c r="F47" s="740" t="str">
        <f>IF($B47=0,"",SUMIFS(INPUT_DATA!G:G,INPUT_DATA!$A:$A,$B47,INPUT_DATA!$C:$C,"S"))</f>
        <v/>
      </c>
      <c r="G47" s="740" t="str">
        <f>IF($B47=0,"",SUMIFS(INPUT_DATA!H:H,INPUT_DATA!$A:$A,$B47,INPUT_DATA!$C:$C,"S"))</f>
        <v/>
      </c>
      <c r="H47" s="740" t="str">
        <f>IF($B47=0,"",SUMIFS(INPUT_DATA!I:I,INPUT_DATA!$A:$A,$B47,INPUT_DATA!$C:$C,"S"))</f>
        <v/>
      </c>
      <c r="I47" s="740" t="str">
        <f>IF($B47=0,"",SUMIFS(INPUT_DATA!J:J,INPUT_DATA!$A:$A,$B47,INPUT_DATA!$C:$C,"S"))</f>
        <v/>
      </c>
      <c r="J47" s="740" t="str">
        <f>IF($B47=0,"",SUMIFS(INPUT_DATA!K:K,INPUT_DATA!$A:$A,$B47,INPUT_DATA!$C:$C,"S"))</f>
        <v/>
      </c>
      <c r="K47" s="740" t="str">
        <f>IF($B47=0,"",SUMIFS(INPUT_DATA!L:L,INPUT_DATA!$A:$A,$B47,INPUT_DATA!$C:$C,"S"))</f>
        <v/>
      </c>
      <c r="L47" s="740" t="str">
        <f>IF($B47=0,"",SUMIFS(INPUT_DATA!M:M,INPUT_DATA!$A:$A,$B47,INPUT_DATA!$C:$C,"S"))</f>
        <v/>
      </c>
      <c r="M47" s="740" t="str">
        <f>IF($B47=0,"",SUMIFS(INPUT_DATA!N:N,INPUT_DATA!$A:$A,$B47,INPUT_DATA!$C:$C,"S"))</f>
        <v/>
      </c>
      <c r="N47" s="740" t="str">
        <f>IF($B47=0,"",SUMIFS(INPUT_DATA!O:O,INPUT_DATA!$A:$A,$B47,INPUT_DATA!$C:$C,"S"))</f>
        <v/>
      </c>
      <c r="O47" s="741" t="str">
        <f t="shared" si="38"/>
        <v/>
      </c>
      <c r="P47" s="742" t="str">
        <f>IF($B47=0,"",SUMIFS(INPUT_DATA!P:P,INPUT_DATA!$A:$A,$B47,INPUT_DATA!$C:$C,"S"))</f>
        <v/>
      </c>
      <c r="Q47" s="742" t="str">
        <f t="shared" si="39"/>
        <v/>
      </c>
      <c r="R47" s="748" t="str">
        <f>IF($B47=0,"",SUMIFS(INPUT_DATA!Q:Q,INPUT_DATA!$A:$A,$B47,INPUT_DATA!$C:$C,"S"))</f>
        <v/>
      </c>
      <c r="S47" s="748" t="str">
        <f>IF($B47=0,"",SUMIFS(INPUT_DATA!R:R,INPUT_DATA!$A:$A,$B47,INPUT_DATA!$C:$C,"S"))</f>
        <v/>
      </c>
      <c r="T47" s="748" t="str">
        <f>IF($B47=0,"",SUMIFS(INPUT_DATA!S:S,INPUT_DATA!$A:$A,$B47,INPUT_DATA!$C:$C,"S"))</f>
        <v/>
      </c>
      <c r="U47" s="313" t="str">
        <f>IF($B47=0,"",SUMIFS(INPUT_DATA!T:T,INPUT_DATA!$A:$A,$B47,INPUT_DATA!$C:$C,"S"))</f>
        <v/>
      </c>
      <c r="V47" s="313" t="str">
        <f>IF($B47=0,"",SUMIFS(INPUT_DATA!U:U,INPUT_DATA!$A:$A,$B47,INPUT_DATA!$C:$C,"S"))</f>
        <v/>
      </c>
      <c r="W47" s="313" t="str">
        <f>IF($B47=0,"",SUMIFS(INPUT_DATA!V:V,INPUT_DATA!$A:$A,$B47,INPUT_DATA!$C:$C,"S"))</f>
        <v/>
      </c>
      <c r="X47" s="313" t="str">
        <f>IF($B47=0,"",SUMIFS(INPUT_DATA!W:W,INPUT_DATA!$A:$A,$B47,INPUT_DATA!$C:$C,"S"))</f>
        <v/>
      </c>
      <c r="Y47" s="313" t="str">
        <f>IF($B47=0,"",SUMIFS(INPUT_DATA!X:X,INPUT_DATA!$A:$A,$B47,INPUT_DATA!$C:$C,"S"))</f>
        <v/>
      </c>
      <c r="Z47" s="313" t="str">
        <f>IF($B47=0,"",SUMIFS(INPUT_DATA!Y:Y,INPUT_DATA!$A:$A,$B47,INPUT_DATA!$C:$C,"S"))</f>
        <v/>
      </c>
      <c r="AA47" s="313" t="str">
        <f>IF($B47=0,"",SUMIFS(INPUT_DATA!Z:Z,INPUT_DATA!$A:$A,$B47,INPUT_DATA!$C:$C,"S"))</f>
        <v/>
      </c>
      <c r="AB47" s="313" t="str">
        <f>IF($B47=0,"",SUMIFS(INPUT_DATA!AA:AA,INPUT_DATA!$A:$A,$B47,INPUT_DATA!$C:$C,"S"))</f>
        <v/>
      </c>
      <c r="AC47" s="313" t="str">
        <f>IF($B47=0,"",SUMIFS(INPUT_DATA!AB:AB,INPUT_DATA!$A:$A,$B47,INPUT_DATA!$C:$C,"S"))</f>
        <v/>
      </c>
      <c r="AD47" s="313" t="str">
        <f>IF($B47=0,"",SUMIFS(INPUT_DATA!AC:AC,INPUT_DATA!$A:$A,$B47,INPUT_DATA!$C:$C,"S"))</f>
        <v/>
      </c>
      <c r="AE47" s="313" t="str">
        <f>IF($B47=0,"",SUMIFS(INPUT_DATA!AD:AD,INPUT_DATA!$A:$A,$B47,INPUT_DATA!$C:$C,"S"))</f>
        <v/>
      </c>
      <c r="AF47" s="313" t="str">
        <f>IF($B47=0,"",SUMIFS(INPUT_DATA!AE:AE,INPUT_DATA!$A:$A,$B47,INPUT_DATA!$C:$C,"S"))</f>
        <v/>
      </c>
      <c r="AG47" s="313" t="str">
        <f>IF($B47=0,"",SUMIFS(INPUT_DATA!AF:AF,INPUT_DATA!$A:$A,$B47,INPUT_DATA!$C:$C,"S"))</f>
        <v/>
      </c>
      <c r="AH47" s="313" t="str">
        <f>IF($B47=0,"",SUMIFS(INPUT_DATA!AG:AG,INPUT_DATA!$A:$A,$B47,INPUT_DATA!$C:$C,"S"))</f>
        <v/>
      </c>
      <c r="AI47" s="313" t="str">
        <f>IF($B47=0,"",SUMIFS(INPUT_DATA!AH:AH,INPUT_DATA!$A:$A,$B47,INPUT_DATA!$C:$C,"S"))</f>
        <v/>
      </c>
      <c r="AJ47" s="313" t="str">
        <f>IF($B47=0,"",SUMIFS(INPUT_DATA!AI:AI,INPUT_DATA!$A:$A,$B47,INPUT_DATA!$C:$C,"S"))</f>
        <v/>
      </c>
      <c r="AK47" s="313" t="str">
        <f>IF($B47=0,"",SUMIFS(INPUT_DATA!AJ:AJ,INPUT_DATA!$A:$A,$B47,INPUT_DATA!$C:$C,"S"))</f>
        <v/>
      </c>
      <c r="AL47" s="313" t="str">
        <f>IF($B47=0,"",SUMIFS(INPUT_DATA!AK:AK,INPUT_DATA!$A:$A,$B47,INPUT_DATA!$C:$C,"S"))</f>
        <v/>
      </c>
      <c r="AM47" s="313" t="str">
        <f>IF($B47=0,"",SUMIFS(INPUT_DATA!AL:AL,INPUT_DATA!$A:$A,$B47,INPUT_DATA!$C:$C,"S"))</f>
        <v/>
      </c>
      <c r="AN47" s="313" t="str">
        <f>IF($B47=0,"",SUMIFS(INPUT_DATA!AM:AM,INPUT_DATA!$A:$A,$B47,INPUT_DATA!$C:$C,"S"))</f>
        <v/>
      </c>
      <c r="AO47" s="313" t="str">
        <f>IF($B47=0,"",SUMIFS(INPUT_DATA!AN:AN,INPUT_DATA!$A:$A,$B47,INPUT_DATA!$C:$C,"S"))</f>
        <v/>
      </c>
      <c r="AP47" s="313" t="str">
        <f>IF($B47=0,"",SUMIFS(INPUT_DATA!AO:AO,INPUT_DATA!$A:$A,$B47,INPUT_DATA!$C:$C,"S"))</f>
        <v/>
      </c>
      <c r="AQ47" s="313" t="str">
        <f>IF($B47=0,"",SUMIFS(INPUT_DATA!AP:AP,INPUT_DATA!$A:$A,$B47,INPUT_DATA!$C:$C,"S"))</f>
        <v/>
      </c>
      <c r="AR47" s="313" t="str">
        <f>IF($B47=0,"",SUMIFS(INPUT_DATA!AQ:AQ,INPUT_DATA!$A:$A,$B47,INPUT_DATA!$C:$C,"S"))</f>
        <v/>
      </c>
      <c r="AS47" s="749" t="str">
        <f t="shared" si="29"/>
        <v/>
      </c>
      <c r="AT47" s="750" t="str">
        <f t="shared" si="30"/>
        <v/>
      </c>
      <c r="AU47" s="751" t="str">
        <f t="shared" si="31"/>
        <v/>
      </c>
      <c r="AV47" s="749" t="str">
        <f>IF($B47=0,"",SUMIFS(INPUT_DATA!AR:AR,INPUT_DATA!$A:$A,$B47,INPUT_DATA!$C:$C,"S"))</f>
        <v/>
      </c>
      <c r="AW47" s="750" t="str">
        <f>IF($B47=0,"",SUMIFS(INPUT_DATA!AS:AS,INPUT_DATA!$A:$A,$B47,INPUT_DATA!$C:$C,"S"))</f>
        <v/>
      </c>
      <c r="AX47" s="751" t="str">
        <f>IF($B47=0,"",SUMIFS(INPUT_DATA!AT:AT,INPUT_DATA!$A:$A,$B47,INPUT_DATA!$C:$C,"S"))</f>
        <v/>
      </c>
      <c r="AY47" s="749" t="str">
        <f t="shared" si="15"/>
        <v/>
      </c>
      <c r="AZ47" s="750" t="str">
        <f t="shared" si="16"/>
        <v/>
      </c>
      <c r="BA47" s="751" t="str">
        <f t="shared" si="17"/>
        <v/>
      </c>
      <c r="BB47" s="150"/>
      <c r="BC47" s="738" t="str">
        <f>IF($B47=0,"",SUMIFS(INPUT_DATA!D:D,INPUT_DATA!$A:$A,$B47,INPUT_DATA!$C:$C,"D"))</f>
        <v/>
      </c>
      <c r="BD47" s="312" t="str">
        <f>IF($B47=0,"",SUMIFS(INPUT_DATA!F:F,INPUT_DATA!$A:$A,$B47,INPUT_DATA!$C:$C,"D"))</f>
        <v/>
      </c>
      <c r="BE47" s="312" t="str">
        <f>IF($B47=0,"",SUMIFS(INPUT_DATA!G:G,INPUT_DATA!$A:$A,$B47,INPUT_DATA!$C:$C,"D"))</f>
        <v/>
      </c>
      <c r="BF47" s="312" t="str">
        <f>IF($B47=0,"",SUMIFS(INPUT_DATA!H:H,INPUT_DATA!$A:$A,$B47,INPUT_DATA!$C:$C,"D"))</f>
        <v/>
      </c>
      <c r="BG47" s="312" t="str">
        <f>IF($B47=0,"",SUMIFS(INPUT_DATA!I:I,INPUT_DATA!$A:$A,$B47,INPUT_DATA!$C:$C,"D"))</f>
        <v/>
      </c>
      <c r="BH47" s="312" t="str">
        <f>IF($B47=0,"",SUMIFS(INPUT_DATA!J:J,INPUT_DATA!$A:$A,$B47,INPUT_DATA!$C:$C,"D"))</f>
        <v/>
      </c>
      <c r="BI47" s="312" t="str">
        <f>IF($B47=0,"",SUMIFS(INPUT_DATA!K:K,INPUT_DATA!$A:$A,$B47,INPUT_DATA!$C:$C,"D"))</f>
        <v/>
      </c>
      <c r="BJ47" s="312" t="str">
        <f>IF($B47=0,"",SUMIFS(INPUT_DATA!L:L,INPUT_DATA!$A:$A,$B47,INPUT_DATA!$C:$C,"D"))</f>
        <v/>
      </c>
      <c r="BK47" s="312" t="str">
        <f>IF($B47=0,"",SUMIFS(INPUT_DATA!M:M,INPUT_DATA!$A:$A,$B47,INPUT_DATA!$C:$C,"D"))</f>
        <v/>
      </c>
      <c r="BL47" s="312" t="str">
        <f>IF($B47=0,"",SUMIFS(INPUT_DATA!N:N,INPUT_DATA!$A:$A,$B47,INPUT_DATA!$C:$C,"D"))</f>
        <v/>
      </c>
      <c r="BM47" s="312" t="str">
        <f>IF($B47=0,"",SUMIFS(INPUT_DATA!O:O,INPUT_DATA!$A:$A,$B47,INPUT_DATA!$C:$C,"D"))</f>
        <v/>
      </c>
      <c r="BN47" s="754" t="str">
        <f t="shared" si="18"/>
        <v/>
      </c>
      <c r="BO47" s="754" t="str">
        <f>IF($B47=0,"",SUMIFS(INPUT_DATA!O:O,INPUT_DATA!$A:$A,$B47,INPUT_DATA!$C:$C,"D"))</f>
        <v/>
      </c>
      <c r="BP47" s="754" t="str">
        <f t="shared" si="19"/>
        <v/>
      </c>
      <c r="BQ47" s="738" t="str">
        <f>IF($B47=0,"",SUMIFS(INPUT_DATA!Q:Q,INPUT_DATA!$A:$A,$B47,INPUT_DATA!$C:$C,"D"))</f>
        <v/>
      </c>
      <c r="BR47" s="760" t="str">
        <f>IF($B47=0,"",SUMIFS(INPUT_DATA!R:R,INPUT_DATA!$A:$A,$B47,INPUT_DATA!$C:$C,"D"))</f>
        <v/>
      </c>
      <c r="BS47" s="760" t="str">
        <f>IF($B47=0,"",SUMIFS(INPUT_DATA!S:S,INPUT_DATA!$A:$A,$B47,INPUT_DATA!$C:$C,"D"))</f>
        <v/>
      </c>
      <c r="BT47" s="312" t="str">
        <f>IF($B47=0,"",SUMIFS(INPUT_DATA!T:T,INPUT_DATA!$A:$A,$B47,INPUT_DATA!$C:$C,"D"))</f>
        <v/>
      </c>
      <c r="BU47" s="312" t="str">
        <f>IF($B47=0,"",SUMIFS(INPUT_DATA!U:U,INPUT_DATA!$A:$A,$B47,INPUT_DATA!$C:$C,"D"))</f>
        <v/>
      </c>
      <c r="BV47" s="312" t="str">
        <f>IF($B47=0,"",SUMIFS(INPUT_DATA!V:V,INPUT_DATA!$A:$A,$B47,INPUT_DATA!$C:$C,"D"))</f>
        <v/>
      </c>
      <c r="BW47" s="312" t="str">
        <f>IF($B47=0,"",SUMIFS(INPUT_DATA!W:W,INPUT_DATA!$A:$A,$B47,INPUT_DATA!$C:$C,"D"))</f>
        <v/>
      </c>
      <c r="BX47" s="312" t="str">
        <f>IF($B47=0,"",SUMIFS(INPUT_DATA!X:X,INPUT_DATA!$A:$A,$B47,INPUT_DATA!$C:$C,"D"))</f>
        <v/>
      </c>
      <c r="BY47" s="312" t="str">
        <f>IF($B47=0,"",SUMIFS(INPUT_DATA!Y:Y,INPUT_DATA!$A:$A,$B47,INPUT_DATA!$C:$C,"D"))</f>
        <v/>
      </c>
      <c r="BZ47" s="353" t="str">
        <f>IF($B47=0,"",SUMIFS(INPUT_DATA!Z:Z,INPUT_DATA!$A:$A,$B47,INPUT_DATA!$C:$C,"D"))</f>
        <v/>
      </c>
      <c r="CA47" s="353" t="str">
        <f>IF($B47=0,"",SUMIFS(INPUT_DATA!AA:AA,INPUT_DATA!$A:$A,$B47,INPUT_DATA!$C:$C,"D"))</f>
        <v/>
      </c>
      <c r="CB47" s="353" t="str">
        <f>IF($B47=0,"",SUMIFS(INPUT_DATA!AB:AB,INPUT_DATA!$A:$A,$B47,INPUT_DATA!$C:$C,"D"))</f>
        <v/>
      </c>
      <c r="CC47" s="312" t="str">
        <f>IF($B47=0,"",SUMIFS(INPUT_DATA!AC:AC,INPUT_DATA!$A:$A,$B47,INPUT_DATA!$C:$C,"D"))</f>
        <v/>
      </c>
      <c r="CD47" s="312" t="str">
        <f>IF($B47=0,"",SUMIFS(INPUT_DATA!AD:AD,INPUT_DATA!$A:$A,$B47,INPUT_DATA!$C:$C,"D"))</f>
        <v/>
      </c>
      <c r="CE47" s="312" t="str">
        <f>IF($B47=0,"",SUMIFS(INPUT_DATA!AE:AE,INPUT_DATA!$A:$A,$B47,INPUT_DATA!$C:$C,"D"))</f>
        <v/>
      </c>
      <c r="CF47" s="353" t="str">
        <f>IF($B47=0,"",SUMIFS(INPUT_DATA!AF:AF,INPUT_DATA!$A:$A,$B47,INPUT_DATA!$C:$C,"D"))</f>
        <v/>
      </c>
      <c r="CG47" s="353" t="str">
        <f>IF($B47=0,"",SUMIFS(INPUT_DATA!AG:AG,INPUT_DATA!$A:$A,$B47,INPUT_DATA!$C:$C,"D"))</f>
        <v/>
      </c>
      <c r="CH47" s="353" t="str">
        <f>IF($B47=0,"",SUMIFS(INPUT_DATA!AH:AH,INPUT_DATA!$A:$A,$B47,INPUT_DATA!$C:$C,"D"))</f>
        <v/>
      </c>
      <c r="CI47" s="153" t="str">
        <f>IF($B47=0,"",SUMIFS(INPUT_DATA!AI:AI,INPUT_DATA!$A:$A,$B47,INPUT_DATA!$C:$C,"D"))</f>
        <v/>
      </c>
      <c r="CJ47" s="153" t="str">
        <f>IF($B47=0,"",SUMIFS(INPUT_DATA!AJ:AJ,INPUT_DATA!$A:$A,$B47,INPUT_DATA!$C:$C,"D"))</f>
        <v/>
      </c>
      <c r="CK47" s="153" t="str">
        <f>IF($B47=0,"",SUMIFS(INPUT_DATA!AK:AK,INPUT_DATA!$A:$A,$B47,INPUT_DATA!$C:$C,"D"))</f>
        <v/>
      </c>
      <c r="CL47" s="153" t="str">
        <f>IF($B47=0,"",SUMIFS(INPUT_DATA!AL:AL,INPUT_DATA!$A:$A,$B47,INPUT_DATA!$C:$C,"D"))</f>
        <v/>
      </c>
      <c r="CM47" s="153" t="str">
        <f>IF($B47=0,"",SUMIFS(INPUT_DATA!AM:AM,INPUT_DATA!$A:$A,$B47,INPUT_DATA!$C:$C,"D"))</f>
        <v/>
      </c>
      <c r="CN47" s="153" t="str">
        <f>IF($B47=0,"",SUMIFS(INPUT_DATA!AN:AN,INPUT_DATA!$A:$A,$B47,INPUT_DATA!$C:$C,"D"))</f>
        <v/>
      </c>
      <c r="CO47" s="153" t="str">
        <f>IF($B47=0,"",SUMIFS(INPUT_DATA!AO:AO,INPUT_DATA!$A:$A,$B47,INPUT_DATA!$C:$C,"D"))</f>
        <v/>
      </c>
      <c r="CP47" s="153" t="str">
        <f>IF($B47=0,"",SUMIFS(INPUT_DATA!AP:AP,INPUT_DATA!$A:$A,$B47,INPUT_DATA!$C:$C,"D"))</f>
        <v/>
      </c>
      <c r="CQ47" s="153" t="str">
        <f>IF($B47=0,"",SUMIFS(INPUT_DATA!AQ:AQ,INPUT_DATA!$A:$A,$B47,INPUT_DATA!$C:$C,"D"))</f>
        <v/>
      </c>
      <c r="CR47" s="750" t="str">
        <f t="shared" si="32"/>
        <v/>
      </c>
      <c r="CS47" s="750" t="str">
        <f t="shared" si="33"/>
        <v/>
      </c>
      <c r="CT47" s="750" t="str">
        <f t="shared" si="34"/>
        <v/>
      </c>
      <c r="CU47" s="739" t="str">
        <f>IF($B47=0,"",SUMIFS(INPUT_DATA!AR:AR,INPUT_DATA!$A:$A,$B47,INPUT_DATA!$C:$C,"D"))</f>
        <v/>
      </c>
      <c r="CV47" s="739" t="str">
        <f>IF($B47=0,"",SUMIFS(INPUT_DATA!AS:AS,INPUT_DATA!$A:$A,$B47,INPUT_DATA!$C:$C,"D"))</f>
        <v/>
      </c>
      <c r="CW47" s="739" t="str">
        <f>IF($B47=0,"",SUMIFS(INPUT_DATA!AT:AT,INPUT_DATA!$A:$A,$B47,INPUT_DATA!$C:$C,"D"))</f>
        <v/>
      </c>
      <c r="CX47" s="739" t="str">
        <f t="shared" si="35"/>
        <v/>
      </c>
      <c r="CY47" s="750" t="str">
        <f t="shared" si="36"/>
        <v/>
      </c>
      <c r="CZ47" s="761" t="str">
        <f t="shared" si="37"/>
        <v/>
      </c>
      <c r="DA47" s="150"/>
    </row>
    <row r="48" spans="1:105" ht="13" x14ac:dyDescent="0.25">
      <c r="A48" s="172">
        <f t="shared" ref="A48:A87" si="40">A47-1</f>
        <v>-1</v>
      </c>
      <c r="B48" s="733">
        <f>INPUT_DATA!BQ35</f>
        <v>0</v>
      </c>
      <c r="C48" s="738" t="str">
        <f>IF($B48=0,"",SUMIFS(INPUT_DATA!D:D,INPUT_DATA!$A:$A,$B48,INPUT_DATA!$C:$C,"S"))</f>
        <v/>
      </c>
      <c r="D48" s="739" t="str">
        <f>IF($B48=0,"",SUMIFS(INPUT_DATA!E:E,INPUT_DATA!$A:$A,$B48,INPUT_DATA!$C:$C,"S"))</f>
        <v/>
      </c>
      <c r="E48" s="740" t="str">
        <f>IF($B48=0,"",SUMIFS(INPUT_DATA!F:F,INPUT_DATA!$A:$A,$B48,INPUT_DATA!$C:$C,"S"))</f>
        <v/>
      </c>
      <c r="F48" s="740" t="str">
        <f>IF($B48=0,"",SUMIFS(INPUT_DATA!G:G,INPUT_DATA!$A:$A,$B48,INPUT_DATA!$C:$C,"S"))</f>
        <v/>
      </c>
      <c r="G48" s="740" t="str">
        <f>IF($B48=0,"",SUMIFS(INPUT_DATA!H:H,INPUT_DATA!$A:$A,$B48,INPUT_DATA!$C:$C,"S"))</f>
        <v/>
      </c>
      <c r="H48" s="740" t="str">
        <f>IF($B48=0,"",SUMIFS(INPUT_DATA!I:I,INPUT_DATA!$A:$A,$B48,INPUT_DATA!$C:$C,"S"))</f>
        <v/>
      </c>
      <c r="I48" s="740" t="str">
        <f>IF($B48=0,"",SUMIFS(INPUT_DATA!J:J,INPUT_DATA!$A:$A,$B48,INPUT_DATA!$C:$C,"S"))</f>
        <v/>
      </c>
      <c r="J48" s="740" t="str">
        <f>IF($B48=0,"",SUMIFS(INPUT_DATA!K:K,INPUT_DATA!$A:$A,$B48,INPUT_DATA!$C:$C,"S"))</f>
        <v/>
      </c>
      <c r="K48" s="740" t="str">
        <f>IF($B48=0,"",SUMIFS(INPUT_DATA!L:L,INPUT_DATA!$A:$A,$B48,INPUT_DATA!$C:$C,"S"))</f>
        <v/>
      </c>
      <c r="L48" s="740" t="str">
        <f>IF($B48=0,"",SUMIFS(INPUT_DATA!M:M,INPUT_DATA!$A:$A,$B48,INPUT_DATA!$C:$C,"S"))</f>
        <v/>
      </c>
      <c r="M48" s="740" t="str">
        <f>IF($B48=0,"",SUMIFS(INPUT_DATA!N:N,INPUT_DATA!$A:$A,$B48,INPUT_DATA!$C:$C,"S"))</f>
        <v/>
      </c>
      <c r="N48" s="740" t="str">
        <f>IF($B48=0,"",SUMIFS(INPUT_DATA!O:O,INPUT_DATA!$A:$A,$B48,INPUT_DATA!$C:$C,"S"))</f>
        <v/>
      </c>
      <c r="O48" s="741" t="str">
        <f t="shared" si="38"/>
        <v/>
      </c>
      <c r="P48" s="742" t="str">
        <f>IF($B48=0,"",SUMIFS(INPUT_DATA!P:P,INPUT_DATA!$A:$A,$B48,INPUT_DATA!$C:$C,"S"))</f>
        <v/>
      </c>
      <c r="Q48" s="742" t="str">
        <f t="shared" si="39"/>
        <v/>
      </c>
      <c r="R48" s="748" t="str">
        <f>IF($B48=0,"",SUMIFS(INPUT_DATA!Q:Q,INPUT_DATA!$A:$A,$B48,INPUT_DATA!$C:$C,"S"))</f>
        <v/>
      </c>
      <c r="S48" s="748" t="str">
        <f>IF($B48=0,"",SUMIFS(INPUT_DATA!R:R,INPUT_DATA!$A:$A,$B48,INPUT_DATA!$C:$C,"S"))</f>
        <v/>
      </c>
      <c r="T48" s="748" t="str">
        <f>IF($B48=0,"",SUMIFS(INPUT_DATA!S:S,INPUT_DATA!$A:$A,$B48,INPUT_DATA!$C:$C,"S"))</f>
        <v/>
      </c>
      <c r="U48" s="313" t="str">
        <f>IF($B48=0,"",SUMIFS(INPUT_DATA!T:T,INPUT_DATA!$A:$A,$B48,INPUT_DATA!$C:$C,"S"))</f>
        <v/>
      </c>
      <c r="V48" s="313" t="str">
        <f>IF($B48=0,"",SUMIFS(INPUT_DATA!U:U,INPUT_DATA!$A:$A,$B48,INPUT_DATA!$C:$C,"S"))</f>
        <v/>
      </c>
      <c r="W48" s="313" t="str">
        <f>IF($B48=0,"",SUMIFS(INPUT_DATA!V:V,INPUT_DATA!$A:$A,$B48,INPUT_DATA!$C:$C,"S"))</f>
        <v/>
      </c>
      <c r="X48" s="313" t="str">
        <f>IF($B48=0,"",SUMIFS(INPUT_DATA!W:W,INPUT_DATA!$A:$A,$B48,INPUT_DATA!$C:$C,"S"))</f>
        <v/>
      </c>
      <c r="Y48" s="313" t="str">
        <f>IF($B48=0,"",SUMIFS(INPUT_DATA!X:X,INPUT_DATA!$A:$A,$B48,INPUT_DATA!$C:$C,"S"))</f>
        <v/>
      </c>
      <c r="Z48" s="313" t="str">
        <f>IF($B48=0,"",SUMIFS(INPUT_DATA!Y:Y,INPUT_DATA!$A:$A,$B48,INPUT_DATA!$C:$C,"S"))</f>
        <v/>
      </c>
      <c r="AA48" s="313" t="str">
        <f>IF($B48=0,"",SUMIFS(INPUT_DATA!Z:Z,INPUT_DATA!$A:$A,$B48,INPUT_DATA!$C:$C,"S"))</f>
        <v/>
      </c>
      <c r="AB48" s="313" t="str">
        <f>IF($B48=0,"",SUMIFS(INPUT_DATA!AA:AA,INPUT_DATA!$A:$A,$B48,INPUT_DATA!$C:$C,"S"))</f>
        <v/>
      </c>
      <c r="AC48" s="313" t="str">
        <f>IF($B48=0,"",SUMIFS(INPUT_DATA!AB:AB,INPUT_DATA!$A:$A,$B48,INPUT_DATA!$C:$C,"S"))</f>
        <v/>
      </c>
      <c r="AD48" s="313" t="str">
        <f>IF($B48=0,"",SUMIFS(INPUT_DATA!AC:AC,INPUT_DATA!$A:$A,$B48,INPUT_DATA!$C:$C,"S"))</f>
        <v/>
      </c>
      <c r="AE48" s="313" t="str">
        <f>IF($B48=0,"",SUMIFS(INPUT_DATA!AD:AD,INPUT_DATA!$A:$A,$B48,INPUT_DATA!$C:$C,"S"))</f>
        <v/>
      </c>
      <c r="AF48" s="313" t="str">
        <f>IF($B48=0,"",SUMIFS(INPUT_DATA!AE:AE,INPUT_DATA!$A:$A,$B48,INPUT_DATA!$C:$C,"S"))</f>
        <v/>
      </c>
      <c r="AG48" s="313" t="str">
        <f>IF($B48=0,"",SUMIFS(INPUT_DATA!AF:AF,INPUT_DATA!$A:$A,$B48,INPUT_DATA!$C:$C,"S"))</f>
        <v/>
      </c>
      <c r="AH48" s="313" t="str">
        <f>IF($B48=0,"",SUMIFS(INPUT_DATA!AG:AG,INPUT_DATA!$A:$A,$B48,INPUT_DATA!$C:$C,"S"))</f>
        <v/>
      </c>
      <c r="AI48" s="313" t="str">
        <f>IF($B48=0,"",SUMIFS(INPUT_DATA!AH:AH,INPUT_DATA!$A:$A,$B48,INPUT_DATA!$C:$C,"S"))</f>
        <v/>
      </c>
      <c r="AJ48" s="313" t="str">
        <f>IF($B48=0,"",SUMIFS(INPUT_DATA!AI:AI,INPUT_DATA!$A:$A,$B48,INPUT_DATA!$C:$C,"S"))</f>
        <v/>
      </c>
      <c r="AK48" s="313" t="str">
        <f>IF($B48=0,"",SUMIFS(INPUT_DATA!AJ:AJ,INPUT_DATA!$A:$A,$B48,INPUT_DATA!$C:$C,"S"))</f>
        <v/>
      </c>
      <c r="AL48" s="313" t="str">
        <f>IF($B48=0,"",SUMIFS(INPUT_DATA!AK:AK,INPUT_DATA!$A:$A,$B48,INPUT_DATA!$C:$C,"S"))</f>
        <v/>
      </c>
      <c r="AM48" s="313" t="str">
        <f>IF($B48=0,"",SUMIFS(INPUT_DATA!AL:AL,INPUT_DATA!$A:$A,$B48,INPUT_DATA!$C:$C,"S"))</f>
        <v/>
      </c>
      <c r="AN48" s="313" t="str">
        <f>IF($B48=0,"",SUMIFS(INPUT_DATA!AM:AM,INPUT_DATA!$A:$A,$B48,INPUT_DATA!$C:$C,"S"))</f>
        <v/>
      </c>
      <c r="AO48" s="313" t="str">
        <f>IF($B48=0,"",SUMIFS(INPUT_DATA!AN:AN,INPUT_DATA!$A:$A,$B48,INPUT_DATA!$C:$C,"S"))</f>
        <v/>
      </c>
      <c r="AP48" s="313" t="str">
        <f>IF($B48=0,"",SUMIFS(INPUT_DATA!AO:AO,INPUT_DATA!$A:$A,$B48,INPUT_DATA!$C:$C,"S"))</f>
        <v/>
      </c>
      <c r="AQ48" s="313" t="str">
        <f>IF($B48=0,"",SUMIFS(INPUT_DATA!AP:AP,INPUT_DATA!$A:$A,$B48,INPUT_DATA!$C:$C,"S"))</f>
        <v/>
      </c>
      <c r="AR48" s="313" t="str">
        <f>IF($B48=0,"",SUMIFS(INPUT_DATA!AQ:AQ,INPUT_DATA!$A:$A,$B48,INPUT_DATA!$C:$C,"S"))</f>
        <v/>
      </c>
      <c r="AS48" s="749" t="str">
        <f t="shared" si="29"/>
        <v/>
      </c>
      <c r="AT48" s="750" t="str">
        <f t="shared" si="30"/>
        <v/>
      </c>
      <c r="AU48" s="751" t="str">
        <f t="shared" si="31"/>
        <v/>
      </c>
      <c r="AV48" s="749" t="str">
        <f>IF($B48=0,"",SUMIFS(INPUT_DATA!AR:AR,INPUT_DATA!$A:$A,$B48,INPUT_DATA!$C:$C,"S"))</f>
        <v/>
      </c>
      <c r="AW48" s="750" t="str">
        <f>IF($B48=0,"",SUMIFS(INPUT_DATA!AS:AS,INPUT_DATA!$A:$A,$B48,INPUT_DATA!$C:$C,"S"))</f>
        <v/>
      </c>
      <c r="AX48" s="751" t="str">
        <f>IF($B48=0,"",SUMIFS(INPUT_DATA!AT:AT,INPUT_DATA!$A:$A,$B48,INPUT_DATA!$C:$C,"S"))</f>
        <v/>
      </c>
      <c r="AY48" s="749" t="str">
        <f t="shared" si="15"/>
        <v/>
      </c>
      <c r="AZ48" s="750" t="str">
        <f t="shared" si="16"/>
        <v/>
      </c>
      <c r="BA48" s="751" t="str">
        <f t="shared" si="17"/>
        <v/>
      </c>
      <c r="BB48" s="150"/>
      <c r="BC48" s="738" t="str">
        <f>IF($B48=0,"",SUMIFS(INPUT_DATA!D:D,INPUT_DATA!$A:$A,$B48,INPUT_DATA!$C:$C,"D"))</f>
        <v/>
      </c>
      <c r="BD48" s="312" t="str">
        <f>IF($B48=0,"",SUMIFS(INPUT_DATA!F:F,INPUT_DATA!$A:$A,$B48,INPUT_DATA!$C:$C,"D"))</f>
        <v/>
      </c>
      <c r="BE48" s="312" t="str">
        <f>IF($B48=0,"",SUMIFS(INPUT_DATA!G:G,INPUT_DATA!$A:$A,$B48,INPUT_DATA!$C:$C,"D"))</f>
        <v/>
      </c>
      <c r="BF48" s="312" t="str">
        <f>IF($B48=0,"",SUMIFS(INPUT_DATA!H:H,INPUT_DATA!$A:$A,$B48,INPUT_DATA!$C:$C,"D"))</f>
        <v/>
      </c>
      <c r="BG48" s="312" t="str">
        <f>IF($B48=0,"",SUMIFS(INPUT_DATA!I:I,INPUT_DATA!$A:$A,$B48,INPUT_DATA!$C:$C,"D"))</f>
        <v/>
      </c>
      <c r="BH48" s="312" t="str">
        <f>IF($B48=0,"",SUMIFS(INPUT_DATA!J:J,INPUT_DATA!$A:$A,$B48,INPUT_DATA!$C:$C,"D"))</f>
        <v/>
      </c>
      <c r="BI48" s="312" t="str">
        <f>IF($B48=0,"",SUMIFS(INPUT_DATA!K:K,INPUT_DATA!$A:$A,$B48,INPUT_DATA!$C:$C,"D"))</f>
        <v/>
      </c>
      <c r="BJ48" s="312" t="str">
        <f>IF($B48=0,"",SUMIFS(INPUT_DATA!L:L,INPUT_DATA!$A:$A,$B48,INPUT_DATA!$C:$C,"D"))</f>
        <v/>
      </c>
      <c r="BK48" s="312" t="str">
        <f>IF($B48=0,"",SUMIFS(INPUT_DATA!M:M,INPUT_DATA!$A:$A,$B48,INPUT_DATA!$C:$C,"D"))</f>
        <v/>
      </c>
      <c r="BL48" s="312" t="str">
        <f>IF($B48=0,"",SUMIFS(INPUT_DATA!N:N,INPUT_DATA!$A:$A,$B48,INPUT_DATA!$C:$C,"D"))</f>
        <v/>
      </c>
      <c r="BM48" s="312" t="str">
        <f>IF($B48=0,"",SUMIFS(INPUT_DATA!O:O,INPUT_DATA!$A:$A,$B48,INPUT_DATA!$C:$C,"D"))</f>
        <v/>
      </c>
      <c r="BN48" s="754" t="str">
        <f t="shared" si="18"/>
        <v/>
      </c>
      <c r="BO48" s="754" t="str">
        <f>IF($B48=0,"",SUMIFS(INPUT_DATA!O:O,INPUT_DATA!$A:$A,$B48,INPUT_DATA!$C:$C,"D"))</f>
        <v/>
      </c>
      <c r="BP48" s="754" t="str">
        <f t="shared" si="19"/>
        <v/>
      </c>
      <c r="BQ48" s="738" t="str">
        <f>IF($B48=0,"",SUMIFS(INPUT_DATA!Q:Q,INPUT_DATA!$A:$A,$B48,INPUT_DATA!$C:$C,"D"))</f>
        <v/>
      </c>
      <c r="BR48" s="760" t="str">
        <f>IF($B48=0,"",SUMIFS(INPUT_DATA!R:R,INPUT_DATA!$A:$A,$B48,INPUT_DATA!$C:$C,"D"))</f>
        <v/>
      </c>
      <c r="BS48" s="760" t="str">
        <f>IF($B48=0,"",SUMIFS(INPUT_DATA!S:S,INPUT_DATA!$A:$A,$B48,INPUT_DATA!$C:$C,"D"))</f>
        <v/>
      </c>
      <c r="BT48" s="312" t="str">
        <f>IF($B48=0,"",SUMIFS(INPUT_DATA!T:T,INPUT_DATA!$A:$A,$B48,INPUT_DATA!$C:$C,"D"))</f>
        <v/>
      </c>
      <c r="BU48" s="312" t="str">
        <f>IF($B48=0,"",SUMIFS(INPUT_DATA!U:U,INPUT_DATA!$A:$A,$B48,INPUT_DATA!$C:$C,"D"))</f>
        <v/>
      </c>
      <c r="BV48" s="312" t="str">
        <f>IF($B48=0,"",SUMIFS(INPUT_DATA!V:V,INPUT_DATA!$A:$A,$B48,INPUT_DATA!$C:$C,"D"))</f>
        <v/>
      </c>
      <c r="BW48" s="312" t="str">
        <f>IF($B48=0,"",SUMIFS(INPUT_DATA!W:W,INPUT_DATA!$A:$A,$B48,INPUT_DATA!$C:$C,"D"))</f>
        <v/>
      </c>
      <c r="BX48" s="312" t="str">
        <f>IF($B48=0,"",SUMIFS(INPUT_DATA!X:X,INPUT_DATA!$A:$A,$B48,INPUT_DATA!$C:$C,"D"))</f>
        <v/>
      </c>
      <c r="BY48" s="312" t="str">
        <f>IF($B48=0,"",SUMIFS(INPUT_DATA!Y:Y,INPUT_DATA!$A:$A,$B48,INPUT_DATA!$C:$C,"D"))</f>
        <v/>
      </c>
      <c r="BZ48" s="353" t="str">
        <f>IF($B48=0,"",SUMIFS(INPUT_DATA!Z:Z,INPUT_DATA!$A:$A,$B48,INPUT_DATA!$C:$C,"D"))</f>
        <v/>
      </c>
      <c r="CA48" s="353" t="str">
        <f>IF($B48=0,"",SUMIFS(INPUT_DATA!AA:AA,INPUT_DATA!$A:$A,$B48,INPUT_DATA!$C:$C,"D"))</f>
        <v/>
      </c>
      <c r="CB48" s="353" t="str">
        <f>IF($B48=0,"",SUMIFS(INPUT_DATA!AB:AB,INPUT_DATA!$A:$A,$B48,INPUT_DATA!$C:$C,"D"))</f>
        <v/>
      </c>
      <c r="CC48" s="312" t="str">
        <f>IF($B48=0,"",SUMIFS(INPUT_DATA!AC:AC,INPUT_DATA!$A:$A,$B48,INPUT_DATA!$C:$C,"D"))</f>
        <v/>
      </c>
      <c r="CD48" s="312" t="str">
        <f>IF($B48=0,"",SUMIFS(INPUT_DATA!AD:AD,INPUT_DATA!$A:$A,$B48,INPUT_DATA!$C:$C,"D"))</f>
        <v/>
      </c>
      <c r="CE48" s="312" t="str">
        <f>IF($B48=0,"",SUMIFS(INPUT_DATA!AE:AE,INPUT_DATA!$A:$A,$B48,INPUT_DATA!$C:$C,"D"))</f>
        <v/>
      </c>
      <c r="CF48" s="353" t="str">
        <f>IF($B48=0,"",SUMIFS(INPUT_DATA!AF:AF,INPUT_DATA!$A:$A,$B48,INPUT_DATA!$C:$C,"D"))</f>
        <v/>
      </c>
      <c r="CG48" s="353" t="str">
        <f>IF($B48=0,"",SUMIFS(INPUT_DATA!AG:AG,INPUT_DATA!$A:$A,$B48,INPUT_DATA!$C:$C,"D"))</f>
        <v/>
      </c>
      <c r="CH48" s="353" t="str">
        <f>IF($B48=0,"",SUMIFS(INPUT_DATA!AH:AH,INPUT_DATA!$A:$A,$B48,INPUT_DATA!$C:$C,"D"))</f>
        <v/>
      </c>
      <c r="CI48" s="153" t="str">
        <f>IF($B48=0,"",SUMIFS(INPUT_DATA!AI:AI,INPUT_DATA!$A:$A,$B48,INPUT_DATA!$C:$C,"D"))</f>
        <v/>
      </c>
      <c r="CJ48" s="153" t="str">
        <f>IF($B48=0,"",SUMIFS(INPUT_DATA!AJ:AJ,INPUT_DATA!$A:$A,$B48,INPUT_DATA!$C:$C,"D"))</f>
        <v/>
      </c>
      <c r="CK48" s="153" t="str">
        <f>IF($B48=0,"",SUMIFS(INPUT_DATA!AK:AK,INPUT_DATA!$A:$A,$B48,INPUT_DATA!$C:$C,"D"))</f>
        <v/>
      </c>
      <c r="CL48" s="153" t="str">
        <f>IF($B48=0,"",SUMIFS(INPUT_DATA!AL:AL,INPUT_DATA!$A:$A,$B48,INPUT_DATA!$C:$C,"D"))</f>
        <v/>
      </c>
      <c r="CM48" s="153" t="str">
        <f>IF($B48=0,"",SUMIFS(INPUT_DATA!AM:AM,INPUT_DATA!$A:$A,$B48,INPUT_DATA!$C:$C,"D"))</f>
        <v/>
      </c>
      <c r="CN48" s="153" t="str">
        <f>IF($B48=0,"",SUMIFS(INPUT_DATA!AN:AN,INPUT_DATA!$A:$A,$B48,INPUT_DATA!$C:$C,"D"))</f>
        <v/>
      </c>
      <c r="CO48" s="153" t="str">
        <f>IF($B48=0,"",SUMIFS(INPUT_DATA!AO:AO,INPUT_DATA!$A:$A,$B48,INPUT_DATA!$C:$C,"D"))</f>
        <v/>
      </c>
      <c r="CP48" s="153" t="str">
        <f>IF($B48=0,"",SUMIFS(INPUT_DATA!AP:AP,INPUT_DATA!$A:$A,$B48,INPUT_DATA!$C:$C,"D"))</f>
        <v/>
      </c>
      <c r="CQ48" s="153" t="str">
        <f>IF($B48=0,"",SUMIFS(INPUT_DATA!AQ:AQ,INPUT_DATA!$A:$A,$B48,INPUT_DATA!$C:$C,"D"))</f>
        <v/>
      </c>
      <c r="CR48" s="750" t="str">
        <f t="shared" si="32"/>
        <v/>
      </c>
      <c r="CS48" s="750" t="str">
        <f t="shared" si="33"/>
        <v/>
      </c>
      <c r="CT48" s="750" t="str">
        <f t="shared" si="34"/>
        <v/>
      </c>
      <c r="CU48" s="739" t="str">
        <f>IF($B48=0,"",SUMIFS(INPUT_DATA!AR:AR,INPUT_DATA!$A:$A,$B48,INPUT_DATA!$C:$C,"D"))</f>
        <v/>
      </c>
      <c r="CV48" s="739" t="str">
        <f>IF($B48=0,"",SUMIFS(INPUT_DATA!AS:AS,INPUT_DATA!$A:$A,$B48,INPUT_DATA!$C:$C,"D"))</f>
        <v/>
      </c>
      <c r="CW48" s="739" t="str">
        <f>IF($B48=0,"",SUMIFS(INPUT_DATA!AT:AT,INPUT_DATA!$A:$A,$B48,INPUT_DATA!$C:$C,"D"))</f>
        <v/>
      </c>
      <c r="CX48" s="739" t="str">
        <f t="shared" si="35"/>
        <v/>
      </c>
      <c r="CY48" s="750" t="str">
        <f t="shared" si="36"/>
        <v/>
      </c>
      <c r="CZ48" s="761" t="str">
        <f t="shared" si="37"/>
        <v/>
      </c>
      <c r="DA48" s="150"/>
    </row>
    <row r="49" spans="1:105" ht="13" x14ac:dyDescent="0.25">
      <c r="A49" s="172">
        <f t="shared" si="40"/>
        <v>-2</v>
      </c>
      <c r="B49" s="733">
        <f>INPUT_DATA!BQ36</f>
        <v>0</v>
      </c>
      <c r="C49" s="738" t="str">
        <f>IF($B49=0,"",SUMIFS(INPUT_DATA!D:D,INPUT_DATA!$A:$A,$B49,INPUT_DATA!$C:$C,"S"))</f>
        <v/>
      </c>
      <c r="D49" s="739" t="str">
        <f>IF($B49=0,"",SUMIFS(INPUT_DATA!E:E,INPUT_DATA!$A:$A,$B49,INPUT_DATA!$C:$C,"S"))</f>
        <v/>
      </c>
      <c r="E49" s="740" t="str">
        <f>IF($B49=0,"",SUMIFS(INPUT_DATA!F:F,INPUT_DATA!$A:$A,$B49,INPUT_DATA!$C:$C,"S"))</f>
        <v/>
      </c>
      <c r="F49" s="740" t="str">
        <f>IF($B49=0,"",SUMIFS(INPUT_DATA!G:G,INPUT_DATA!$A:$A,$B49,INPUT_DATA!$C:$C,"S"))</f>
        <v/>
      </c>
      <c r="G49" s="740" t="str">
        <f>IF($B49=0,"",SUMIFS(INPUT_DATA!H:H,INPUT_DATA!$A:$A,$B49,INPUT_DATA!$C:$C,"S"))</f>
        <v/>
      </c>
      <c r="H49" s="740" t="str">
        <f>IF($B49=0,"",SUMIFS(INPUT_DATA!I:I,INPUT_DATA!$A:$A,$B49,INPUT_DATA!$C:$C,"S"))</f>
        <v/>
      </c>
      <c r="I49" s="740" t="str">
        <f>IF($B49=0,"",SUMIFS(INPUT_DATA!J:J,INPUT_DATA!$A:$A,$B49,INPUT_DATA!$C:$C,"S"))</f>
        <v/>
      </c>
      <c r="J49" s="740" t="str">
        <f>IF($B49=0,"",SUMIFS(INPUT_DATA!K:K,INPUT_DATA!$A:$A,$B49,INPUT_DATA!$C:$C,"S"))</f>
        <v/>
      </c>
      <c r="K49" s="740" t="str">
        <f>IF($B49=0,"",SUMIFS(INPUT_DATA!L:L,INPUT_DATA!$A:$A,$B49,INPUT_DATA!$C:$C,"S"))</f>
        <v/>
      </c>
      <c r="L49" s="740" t="str">
        <f>IF($B49=0,"",SUMIFS(INPUT_DATA!M:M,INPUT_DATA!$A:$A,$B49,INPUT_DATA!$C:$C,"S"))</f>
        <v/>
      </c>
      <c r="M49" s="740" t="str">
        <f>IF($B49=0,"",SUMIFS(INPUT_DATA!N:N,INPUT_DATA!$A:$A,$B49,INPUT_DATA!$C:$C,"S"))</f>
        <v/>
      </c>
      <c r="N49" s="740" t="str">
        <f>IF($B49=0,"",SUMIFS(INPUT_DATA!O:O,INPUT_DATA!$A:$A,$B49,INPUT_DATA!$C:$C,"S"))</f>
        <v/>
      </c>
      <c r="O49" s="741" t="str">
        <f t="shared" si="38"/>
        <v/>
      </c>
      <c r="P49" s="742" t="str">
        <f>IF($B49=0,"",SUMIFS(INPUT_DATA!P:P,INPUT_DATA!$A:$A,$B49,INPUT_DATA!$C:$C,"S"))</f>
        <v/>
      </c>
      <c r="Q49" s="742" t="str">
        <f t="shared" si="39"/>
        <v/>
      </c>
      <c r="R49" s="748" t="str">
        <f>IF($B49=0,"",SUMIFS(INPUT_DATA!Q:Q,INPUT_DATA!$A:$A,$B49,INPUT_DATA!$C:$C,"S"))</f>
        <v/>
      </c>
      <c r="S49" s="748" t="str">
        <f>IF($B49=0,"",SUMIFS(INPUT_DATA!R:R,INPUT_DATA!$A:$A,$B49,INPUT_DATA!$C:$C,"S"))</f>
        <v/>
      </c>
      <c r="T49" s="748" t="str">
        <f>IF($B49=0,"",SUMIFS(INPUT_DATA!S:S,INPUT_DATA!$A:$A,$B49,INPUT_DATA!$C:$C,"S"))</f>
        <v/>
      </c>
      <c r="U49" s="313" t="str">
        <f>IF($B49=0,"",SUMIFS(INPUT_DATA!T:T,INPUT_DATA!$A:$A,$B49,INPUT_DATA!$C:$C,"S"))</f>
        <v/>
      </c>
      <c r="V49" s="313" t="str">
        <f>IF($B49=0,"",SUMIFS(INPUT_DATA!U:U,INPUT_DATA!$A:$A,$B49,INPUT_DATA!$C:$C,"S"))</f>
        <v/>
      </c>
      <c r="W49" s="313" t="str">
        <f>IF($B49=0,"",SUMIFS(INPUT_DATA!V:V,INPUT_DATA!$A:$A,$B49,INPUT_DATA!$C:$C,"S"))</f>
        <v/>
      </c>
      <c r="X49" s="313" t="str">
        <f>IF($B49=0,"",SUMIFS(INPUT_DATA!W:W,INPUT_DATA!$A:$A,$B49,INPUT_DATA!$C:$C,"S"))</f>
        <v/>
      </c>
      <c r="Y49" s="313" t="str">
        <f>IF($B49=0,"",SUMIFS(INPUT_DATA!X:X,INPUT_DATA!$A:$A,$B49,INPUT_DATA!$C:$C,"S"))</f>
        <v/>
      </c>
      <c r="Z49" s="313" t="str">
        <f>IF($B49=0,"",SUMIFS(INPUT_DATA!Y:Y,INPUT_DATA!$A:$A,$B49,INPUT_DATA!$C:$C,"S"))</f>
        <v/>
      </c>
      <c r="AA49" s="313" t="str">
        <f>IF($B49=0,"",SUMIFS(INPUT_DATA!Z:Z,INPUT_DATA!$A:$A,$B49,INPUT_DATA!$C:$C,"S"))</f>
        <v/>
      </c>
      <c r="AB49" s="313" t="str">
        <f>IF($B49=0,"",SUMIFS(INPUT_DATA!AA:AA,INPUT_DATA!$A:$A,$B49,INPUT_DATA!$C:$C,"S"))</f>
        <v/>
      </c>
      <c r="AC49" s="313" t="str">
        <f>IF($B49=0,"",SUMIFS(INPUT_DATA!AB:AB,INPUT_DATA!$A:$A,$B49,INPUT_DATA!$C:$C,"S"))</f>
        <v/>
      </c>
      <c r="AD49" s="313" t="str">
        <f>IF($B49=0,"",SUMIFS(INPUT_DATA!AC:AC,INPUT_DATA!$A:$A,$B49,INPUT_DATA!$C:$C,"S"))</f>
        <v/>
      </c>
      <c r="AE49" s="313" t="str">
        <f>IF($B49=0,"",SUMIFS(INPUT_DATA!AD:AD,INPUT_DATA!$A:$A,$B49,INPUT_DATA!$C:$C,"S"))</f>
        <v/>
      </c>
      <c r="AF49" s="313" t="str">
        <f>IF($B49=0,"",SUMIFS(INPUT_DATA!AE:AE,INPUT_DATA!$A:$A,$B49,INPUT_DATA!$C:$C,"S"))</f>
        <v/>
      </c>
      <c r="AG49" s="313" t="str">
        <f>IF($B49=0,"",SUMIFS(INPUT_DATA!AF:AF,INPUT_DATA!$A:$A,$B49,INPUT_DATA!$C:$C,"S"))</f>
        <v/>
      </c>
      <c r="AH49" s="313" t="str">
        <f>IF($B49=0,"",SUMIFS(INPUT_DATA!AG:AG,INPUT_DATA!$A:$A,$B49,INPUT_DATA!$C:$C,"S"))</f>
        <v/>
      </c>
      <c r="AI49" s="313" t="str">
        <f>IF($B49=0,"",SUMIFS(INPUT_DATA!AH:AH,INPUT_DATA!$A:$A,$B49,INPUT_DATA!$C:$C,"S"))</f>
        <v/>
      </c>
      <c r="AJ49" s="313" t="str">
        <f>IF($B49=0,"",SUMIFS(INPUT_DATA!AI:AI,INPUT_DATA!$A:$A,$B49,INPUT_DATA!$C:$C,"S"))</f>
        <v/>
      </c>
      <c r="AK49" s="313" t="str">
        <f>IF($B49=0,"",SUMIFS(INPUT_DATA!AJ:AJ,INPUT_DATA!$A:$A,$B49,INPUT_DATA!$C:$C,"S"))</f>
        <v/>
      </c>
      <c r="AL49" s="313" t="str">
        <f>IF($B49=0,"",SUMIFS(INPUT_DATA!AK:AK,INPUT_DATA!$A:$A,$B49,INPUT_DATA!$C:$C,"S"))</f>
        <v/>
      </c>
      <c r="AM49" s="313" t="str">
        <f>IF($B49=0,"",SUMIFS(INPUT_DATA!AL:AL,INPUT_DATA!$A:$A,$B49,INPUT_DATA!$C:$C,"S"))</f>
        <v/>
      </c>
      <c r="AN49" s="313" t="str">
        <f>IF($B49=0,"",SUMIFS(INPUT_DATA!AM:AM,INPUT_DATA!$A:$A,$B49,INPUT_DATA!$C:$C,"S"))</f>
        <v/>
      </c>
      <c r="AO49" s="313" t="str">
        <f>IF($B49=0,"",SUMIFS(INPUT_DATA!AN:AN,INPUT_DATA!$A:$A,$B49,INPUT_DATA!$C:$C,"S"))</f>
        <v/>
      </c>
      <c r="AP49" s="313" t="str">
        <f>IF($B49=0,"",SUMIFS(INPUT_DATA!AO:AO,INPUT_DATA!$A:$A,$B49,INPUT_DATA!$C:$C,"S"))</f>
        <v/>
      </c>
      <c r="AQ49" s="313" t="str">
        <f>IF($B49=0,"",SUMIFS(INPUT_DATA!AP:AP,INPUT_DATA!$A:$A,$B49,INPUT_DATA!$C:$C,"S"))</f>
        <v/>
      </c>
      <c r="AR49" s="313" t="str">
        <f>IF($B49=0,"",SUMIFS(INPUT_DATA!AQ:AQ,INPUT_DATA!$A:$A,$B49,INPUT_DATA!$C:$C,"S"))</f>
        <v/>
      </c>
      <c r="AS49" s="749" t="str">
        <f t="shared" si="29"/>
        <v/>
      </c>
      <c r="AT49" s="750" t="str">
        <f t="shared" si="30"/>
        <v/>
      </c>
      <c r="AU49" s="751" t="str">
        <f t="shared" si="31"/>
        <v/>
      </c>
      <c r="AV49" s="749" t="str">
        <f>IF($B49=0,"",SUMIFS(INPUT_DATA!AR:AR,INPUT_DATA!$A:$A,$B49,INPUT_DATA!$C:$C,"S"))</f>
        <v/>
      </c>
      <c r="AW49" s="750" t="str">
        <f>IF($B49=0,"",SUMIFS(INPUT_DATA!AS:AS,INPUT_DATA!$A:$A,$B49,INPUT_DATA!$C:$C,"S"))</f>
        <v/>
      </c>
      <c r="AX49" s="751" t="str">
        <f>IF($B49=0,"",SUMIFS(INPUT_DATA!AT:AT,INPUT_DATA!$A:$A,$B49,INPUT_DATA!$C:$C,"S"))</f>
        <v/>
      </c>
      <c r="AY49" s="749" t="str">
        <f t="shared" si="15"/>
        <v/>
      </c>
      <c r="AZ49" s="750" t="str">
        <f t="shared" si="16"/>
        <v/>
      </c>
      <c r="BA49" s="751" t="str">
        <f t="shared" si="17"/>
        <v/>
      </c>
      <c r="BB49" s="150"/>
      <c r="BC49" s="738" t="str">
        <f>IF($B49=0,"",SUMIFS(INPUT_DATA!D:D,INPUT_DATA!$A:$A,$B49,INPUT_DATA!$C:$C,"D"))</f>
        <v/>
      </c>
      <c r="BD49" s="312" t="str">
        <f>IF($B49=0,"",SUMIFS(INPUT_DATA!F:F,INPUT_DATA!$A:$A,$B49,INPUT_DATA!$C:$C,"D"))</f>
        <v/>
      </c>
      <c r="BE49" s="312" t="str">
        <f>IF($B49=0,"",SUMIFS(INPUT_DATA!G:G,INPUT_DATA!$A:$A,$B49,INPUT_DATA!$C:$C,"D"))</f>
        <v/>
      </c>
      <c r="BF49" s="312" t="str">
        <f>IF($B49=0,"",SUMIFS(INPUT_DATA!H:H,INPUT_DATA!$A:$A,$B49,INPUT_DATA!$C:$C,"D"))</f>
        <v/>
      </c>
      <c r="BG49" s="312" t="str">
        <f>IF($B49=0,"",SUMIFS(INPUT_DATA!I:I,INPUT_DATA!$A:$A,$B49,INPUT_DATA!$C:$C,"D"))</f>
        <v/>
      </c>
      <c r="BH49" s="312" t="str">
        <f>IF($B49=0,"",SUMIFS(INPUT_DATA!J:J,INPUT_DATA!$A:$A,$B49,INPUT_DATA!$C:$C,"D"))</f>
        <v/>
      </c>
      <c r="BI49" s="312" t="str">
        <f>IF($B49=0,"",SUMIFS(INPUT_DATA!K:K,INPUT_DATA!$A:$A,$B49,INPUT_DATA!$C:$C,"D"))</f>
        <v/>
      </c>
      <c r="BJ49" s="312" t="str">
        <f>IF($B49=0,"",SUMIFS(INPUT_DATA!L:L,INPUT_DATA!$A:$A,$B49,INPUT_DATA!$C:$C,"D"))</f>
        <v/>
      </c>
      <c r="BK49" s="312" t="str">
        <f>IF($B49=0,"",SUMIFS(INPUT_DATA!M:M,INPUT_DATA!$A:$A,$B49,INPUT_DATA!$C:$C,"D"))</f>
        <v/>
      </c>
      <c r="BL49" s="312" t="str">
        <f>IF($B49=0,"",SUMIFS(INPUT_DATA!N:N,INPUT_DATA!$A:$A,$B49,INPUT_DATA!$C:$C,"D"))</f>
        <v/>
      </c>
      <c r="BM49" s="312" t="str">
        <f>IF($B49=0,"",SUMIFS(INPUT_DATA!O:O,INPUT_DATA!$A:$A,$B49,INPUT_DATA!$C:$C,"D"))</f>
        <v/>
      </c>
      <c r="BN49" s="754" t="str">
        <f t="shared" si="18"/>
        <v/>
      </c>
      <c r="BO49" s="754" t="str">
        <f>IF($B49=0,"",SUMIFS(INPUT_DATA!O:O,INPUT_DATA!$A:$A,$B49,INPUT_DATA!$C:$C,"D"))</f>
        <v/>
      </c>
      <c r="BP49" s="754" t="str">
        <f t="shared" si="19"/>
        <v/>
      </c>
      <c r="BQ49" s="738" t="str">
        <f>IF($B49=0,"",SUMIFS(INPUT_DATA!Q:Q,INPUT_DATA!$A:$A,$B49,INPUT_DATA!$C:$C,"D"))</f>
        <v/>
      </c>
      <c r="BR49" s="760" t="str">
        <f>IF($B49=0,"",SUMIFS(INPUT_DATA!R:R,INPUT_DATA!$A:$A,$B49,INPUT_DATA!$C:$C,"D"))</f>
        <v/>
      </c>
      <c r="BS49" s="760" t="str">
        <f>IF($B49=0,"",SUMIFS(INPUT_DATA!S:S,INPUT_DATA!$A:$A,$B49,INPUT_DATA!$C:$C,"D"))</f>
        <v/>
      </c>
      <c r="BT49" s="312" t="str">
        <f>IF($B49=0,"",SUMIFS(INPUT_DATA!T:T,INPUT_DATA!$A:$A,$B49,INPUT_DATA!$C:$C,"D"))</f>
        <v/>
      </c>
      <c r="BU49" s="312" t="str">
        <f>IF($B49=0,"",SUMIFS(INPUT_DATA!U:U,INPUT_DATA!$A:$A,$B49,INPUT_DATA!$C:$C,"D"))</f>
        <v/>
      </c>
      <c r="BV49" s="312" t="str">
        <f>IF($B49=0,"",SUMIFS(INPUT_DATA!V:V,INPUT_DATA!$A:$A,$B49,INPUT_DATA!$C:$C,"D"))</f>
        <v/>
      </c>
      <c r="BW49" s="312" t="str">
        <f>IF($B49=0,"",SUMIFS(INPUT_DATA!W:W,INPUT_DATA!$A:$A,$B49,INPUT_DATA!$C:$C,"D"))</f>
        <v/>
      </c>
      <c r="BX49" s="312" t="str">
        <f>IF($B49=0,"",SUMIFS(INPUT_DATA!X:X,INPUT_DATA!$A:$A,$B49,INPUT_DATA!$C:$C,"D"))</f>
        <v/>
      </c>
      <c r="BY49" s="312" t="str">
        <f>IF($B49=0,"",SUMIFS(INPUT_DATA!Y:Y,INPUT_DATA!$A:$A,$B49,INPUT_DATA!$C:$C,"D"))</f>
        <v/>
      </c>
      <c r="BZ49" s="353" t="str">
        <f>IF($B49=0,"",SUMIFS(INPUT_DATA!Z:Z,INPUT_DATA!$A:$A,$B49,INPUT_DATA!$C:$C,"D"))</f>
        <v/>
      </c>
      <c r="CA49" s="353" t="str">
        <f>IF($B49=0,"",SUMIFS(INPUT_DATA!AA:AA,INPUT_DATA!$A:$A,$B49,INPUT_DATA!$C:$C,"D"))</f>
        <v/>
      </c>
      <c r="CB49" s="353" t="str">
        <f>IF($B49=0,"",SUMIFS(INPUT_DATA!AB:AB,INPUT_DATA!$A:$A,$B49,INPUT_DATA!$C:$C,"D"))</f>
        <v/>
      </c>
      <c r="CC49" s="312" t="str">
        <f>IF($B49=0,"",SUMIFS(INPUT_DATA!AC:AC,INPUT_DATA!$A:$A,$B49,INPUT_DATA!$C:$C,"D"))</f>
        <v/>
      </c>
      <c r="CD49" s="312" t="str">
        <f>IF($B49=0,"",SUMIFS(INPUT_DATA!AD:AD,INPUT_DATA!$A:$A,$B49,INPUT_DATA!$C:$C,"D"))</f>
        <v/>
      </c>
      <c r="CE49" s="312" t="str">
        <f>IF($B49=0,"",SUMIFS(INPUT_DATA!AE:AE,INPUT_DATA!$A:$A,$B49,INPUT_DATA!$C:$C,"D"))</f>
        <v/>
      </c>
      <c r="CF49" s="353" t="str">
        <f>IF($B49=0,"",SUMIFS(INPUT_DATA!AF:AF,INPUT_DATA!$A:$A,$B49,INPUT_DATA!$C:$C,"D"))</f>
        <v/>
      </c>
      <c r="CG49" s="353" t="str">
        <f>IF($B49=0,"",SUMIFS(INPUT_DATA!AG:AG,INPUT_DATA!$A:$A,$B49,INPUT_DATA!$C:$C,"D"))</f>
        <v/>
      </c>
      <c r="CH49" s="353" t="str">
        <f>IF($B49=0,"",SUMIFS(INPUT_DATA!AH:AH,INPUT_DATA!$A:$A,$B49,INPUT_DATA!$C:$C,"D"))</f>
        <v/>
      </c>
      <c r="CI49" s="153" t="str">
        <f>IF($B49=0,"",SUMIFS(INPUT_DATA!AI:AI,INPUT_DATA!$A:$A,$B49,INPUT_DATA!$C:$C,"D"))</f>
        <v/>
      </c>
      <c r="CJ49" s="153" t="str">
        <f>IF($B49=0,"",SUMIFS(INPUT_DATA!AJ:AJ,INPUT_DATA!$A:$A,$B49,INPUT_DATA!$C:$C,"D"))</f>
        <v/>
      </c>
      <c r="CK49" s="153" t="str">
        <f>IF($B49=0,"",SUMIFS(INPUT_DATA!AK:AK,INPUT_DATA!$A:$A,$B49,INPUT_DATA!$C:$C,"D"))</f>
        <v/>
      </c>
      <c r="CL49" s="153" t="str">
        <f>IF($B49=0,"",SUMIFS(INPUT_DATA!AL:AL,INPUT_DATA!$A:$A,$B49,INPUT_DATA!$C:$C,"D"))</f>
        <v/>
      </c>
      <c r="CM49" s="153" t="str">
        <f>IF($B49=0,"",SUMIFS(INPUT_DATA!AM:AM,INPUT_DATA!$A:$A,$B49,INPUT_DATA!$C:$C,"D"))</f>
        <v/>
      </c>
      <c r="CN49" s="153" t="str">
        <f>IF($B49=0,"",SUMIFS(INPUT_DATA!AN:AN,INPUT_DATA!$A:$A,$B49,INPUT_DATA!$C:$C,"D"))</f>
        <v/>
      </c>
      <c r="CO49" s="153" t="str">
        <f>IF($B49=0,"",SUMIFS(INPUT_DATA!AO:AO,INPUT_DATA!$A:$A,$B49,INPUT_DATA!$C:$C,"D"))</f>
        <v/>
      </c>
      <c r="CP49" s="153" t="str">
        <f>IF($B49=0,"",SUMIFS(INPUT_DATA!AP:AP,INPUT_DATA!$A:$A,$B49,INPUT_DATA!$C:$C,"D"))</f>
        <v/>
      </c>
      <c r="CQ49" s="153" t="str">
        <f>IF($B49=0,"",SUMIFS(INPUT_DATA!AQ:AQ,INPUT_DATA!$A:$A,$B49,INPUT_DATA!$C:$C,"D"))</f>
        <v/>
      </c>
      <c r="CR49" s="750" t="str">
        <f t="shared" si="32"/>
        <v/>
      </c>
      <c r="CS49" s="750" t="str">
        <f t="shared" si="33"/>
        <v/>
      </c>
      <c r="CT49" s="750" t="str">
        <f t="shared" si="34"/>
        <v/>
      </c>
      <c r="CU49" s="739" t="str">
        <f>IF($B49=0,"",SUMIFS(INPUT_DATA!AR:AR,INPUT_DATA!$A:$A,$B49,INPUT_DATA!$C:$C,"D"))</f>
        <v/>
      </c>
      <c r="CV49" s="739" t="str">
        <f>IF($B49=0,"",SUMIFS(INPUT_DATA!AS:AS,INPUT_DATA!$A:$A,$B49,INPUT_DATA!$C:$C,"D"))</f>
        <v/>
      </c>
      <c r="CW49" s="739" t="str">
        <f>IF($B49=0,"",SUMIFS(INPUT_DATA!AT:AT,INPUT_DATA!$A:$A,$B49,INPUT_DATA!$C:$C,"D"))</f>
        <v/>
      </c>
      <c r="CX49" s="739" t="str">
        <f t="shared" si="35"/>
        <v/>
      </c>
      <c r="CY49" s="750" t="str">
        <f t="shared" si="36"/>
        <v/>
      </c>
      <c r="CZ49" s="761" t="str">
        <f t="shared" si="37"/>
        <v/>
      </c>
      <c r="DA49" s="150"/>
    </row>
    <row r="50" spans="1:105" ht="13" x14ac:dyDescent="0.25">
      <c r="A50" s="172">
        <f t="shared" si="40"/>
        <v>-3</v>
      </c>
      <c r="B50" s="733">
        <f>INPUT_DATA!BQ37</f>
        <v>0</v>
      </c>
      <c r="C50" s="738" t="str">
        <f>IF($B50=0,"",SUMIFS(INPUT_DATA!D:D,INPUT_DATA!$A:$A,$B50,INPUT_DATA!$C:$C,"S"))</f>
        <v/>
      </c>
      <c r="D50" s="739" t="str">
        <f>IF($B50=0,"",SUMIFS(INPUT_DATA!E:E,INPUT_DATA!$A:$A,$B50,INPUT_DATA!$C:$C,"S"))</f>
        <v/>
      </c>
      <c r="E50" s="740" t="str">
        <f>IF($B50=0,"",SUMIFS(INPUT_DATA!F:F,INPUT_DATA!$A:$A,$B50,INPUT_DATA!$C:$C,"S"))</f>
        <v/>
      </c>
      <c r="F50" s="740" t="str">
        <f>IF($B50=0,"",SUMIFS(INPUT_DATA!G:G,INPUT_DATA!$A:$A,$B50,INPUT_DATA!$C:$C,"S"))</f>
        <v/>
      </c>
      <c r="G50" s="740" t="str">
        <f>IF($B50=0,"",SUMIFS(INPUT_DATA!H:H,INPUT_DATA!$A:$A,$B50,INPUT_DATA!$C:$C,"S"))</f>
        <v/>
      </c>
      <c r="H50" s="740" t="str">
        <f>IF($B50=0,"",SUMIFS(INPUT_DATA!I:I,INPUT_DATA!$A:$A,$B50,INPUT_DATA!$C:$C,"S"))</f>
        <v/>
      </c>
      <c r="I50" s="740" t="str">
        <f>IF($B50=0,"",SUMIFS(INPUT_DATA!J:J,INPUT_DATA!$A:$A,$B50,INPUT_DATA!$C:$C,"S"))</f>
        <v/>
      </c>
      <c r="J50" s="740" t="str">
        <f>IF($B50=0,"",SUMIFS(INPUT_DATA!K:K,INPUT_DATA!$A:$A,$B50,INPUT_DATA!$C:$C,"S"))</f>
        <v/>
      </c>
      <c r="K50" s="740" t="str">
        <f>IF($B50=0,"",SUMIFS(INPUT_DATA!L:L,INPUT_DATA!$A:$A,$B50,INPUT_DATA!$C:$C,"S"))</f>
        <v/>
      </c>
      <c r="L50" s="740" t="str">
        <f>IF($B50=0,"",SUMIFS(INPUT_DATA!M:M,INPUT_DATA!$A:$A,$B50,INPUT_DATA!$C:$C,"S"))</f>
        <v/>
      </c>
      <c r="M50" s="740" t="str">
        <f>IF($B50=0,"",SUMIFS(INPUT_DATA!N:N,INPUT_DATA!$A:$A,$B50,INPUT_DATA!$C:$C,"S"))</f>
        <v/>
      </c>
      <c r="N50" s="740" t="str">
        <f>IF($B50=0,"",SUMIFS(INPUT_DATA!O:O,INPUT_DATA!$A:$A,$B50,INPUT_DATA!$C:$C,"S"))</f>
        <v/>
      </c>
      <c r="O50" s="741" t="str">
        <f t="shared" si="38"/>
        <v/>
      </c>
      <c r="P50" s="742" t="str">
        <f>IF($B50=0,"",SUMIFS(INPUT_DATA!P:P,INPUT_DATA!$A:$A,$B50,INPUT_DATA!$C:$C,"S"))</f>
        <v/>
      </c>
      <c r="Q50" s="742" t="str">
        <f t="shared" si="39"/>
        <v/>
      </c>
      <c r="R50" s="748" t="str">
        <f>IF($B50=0,"",SUMIFS(INPUT_DATA!Q:Q,INPUT_DATA!$A:$A,$B50,INPUT_DATA!$C:$C,"S"))</f>
        <v/>
      </c>
      <c r="S50" s="748" t="str">
        <f>IF($B50=0,"",SUMIFS(INPUT_DATA!R:R,INPUT_DATA!$A:$A,$B50,INPUT_DATA!$C:$C,"S"))</f>
        <v/>
      </c>
      <c r="T50" s="748" t="str">
        <f>IF($B50=0,"",SUMIFS(INPUT_DATA!S:S,INPUT_DATA!$A:$A,$B50,INPUT_DATA!$C:$C,"S"))</f>
        <v/>
      </c>
      <c r="U50" s="313" t="str">
        <f>IF($B50=0,"",SUMIFS(INPUT_DATA!T:T,INPUT_DATA!$A:$A,$B50,INPUT_DATA!$C:$C,"S"))</f>
        <v/>
      </c>
      <c r="V50" s="313" t="str">
        <f>IF($B50=0,"",SUMIFS(INPUT_DATA!U:U,INPUT_DATA!$A:$A,$B50,INPUT_DATA!$C:$C,"S"))</f>
        <v/>
      </c>
      <c r="W50" s="313" t="str">
        <f>IF($B50=0,"",SUMIFS(INPUT_DATA!V:V,INPUT_DATA!$A:$A,$B50,INPUT_DATA!$C:$C,"S"))</f>
        <v/>
      </c>
      <c r="X50" s="313" t="str">
        <f>IF($B50=0,"",SUMIFS(INPUT_DATA!W:W,INPUT_DATA!$A:$A,$B50,INPUT_DATA!$C:$C,"S"))</f>
        <v/>
      </c>
      <c r="Y50" s="313" t="str">
        <f>IF($B50=0,"",SUMIFS(INPUT_DATA!X:X,INPUT_DATA!$A:$A,$B50,INPUT_DATA!$C:$C,"S"))</f>
        <v/>
      </c>
      <c r="Z50" s="313" t="str">
        <f>IF($B50=0,"",SUMIFS(INPUT_DATA!Y:Y,INPUT_DATA!$A:$A,$B50,INPUT_DATA!$C:$C,"S"))</f>
        <v/>
      </c>
      <c r="AA50" s="313" t="str">
        <f>IF($B50=0,"",SUMIFS(INPUT_DATA!Z:Z,INPUT_DATA!$A:$A,$B50,INPUT_DATA!$C:$C,"S"))</f>
        <v/>
      </c>
      <c r="AB50" s="313" t="str">
        <f>IF($B50=0,"",SUMIFS(INPUT_DATA!AA:AA,INPUT_DATA!$A:$A,$B50,INPUT_DATA!$C:$C,"S"))</f>
        <v/>
      </c>
      <c r="AC50" s="313" t="str">
        <f>IF($B50=0,"",SUMIFS(INPUT_DATA!AB:AB,INPUT_DATA!$A:$A,$B50,INPUT_DATA!$C:$C,"S"))</f>
        <v/>
      </c>
      <c r="AD50" s="313" t="str">
        <f>IF($B50=0,"",SUMIFS(INPUT_DATA!AC:AC,INPUT_DATA!$A:$A,$B50,INPUT_DATA!$C:$C,"S"))</f>
        <v/>
      </c>
      <c r="AE50" s="313" t="str">
        <f>IF($B50=0,"",SUMIFS(INPUT_DATA!AD:AD,INPUT_DATA!$A:$A,$B50,INPUT_DATA!$C:$C,"S"))</f>
        <v/>
      </c>
      <c r="AF50" s="313" t="str">
        <f>IF($B50=0,"",SUMIFS(INPUT_DATA!AE:AE,INPUT_DATA!$A:$A,$B50,INPUT_DATA!$C:$C,"S"))</f>
        <v/>
      </c>
      <c r="AG50" s="313" t="str">
        <f>IF($B50=0,"",SUMIFS(INPUT_DATA!AF:AF,INPUT_DATA!$A:$A,$B50,INPUT_DATA!$C:$C,"S"))</f>
        <v/>
      </c>
      <c r="AH50" s="313" t="str">
        <f>IF($B50=0,"",SUMIFS(INPUT_DATA!AG:AG,INPUT_DATA!$A:$A,$B50,INPUT_DATA!$C:$C,"S"))</f>
        <v/>
      </c>
      <c r="AI50" s="313" t="str">
        <f>IF($B50=0,"",SUMIFS(INPUT_DATA!AH:AH,INPUT_DATA!$A:$A,$B50,INPUT_DATA!$C:$C,"S"))</f>
        <v/>
      </c>
      <c r="AJ50" s="313" t="str">
        <f>IF($B50=0,"",SUMIFS(INPUT_DATA!AI:AI,INPUT_DATA!$A:$A,$B50,INPUT_DATA!$C:$C,"S"))</f>
        <v/>
      </c>
      <c r="AK50" s="313" t="str">
        <f>IF($B50=0,"",SUMIFS(INPUT_DATA!AJ:AJ,INPUT_DATA!$A:$A,$B50,INPUT_DATA!$C:$C,"S"))</f>
        <v/>
      </c>
      <c r="AL50" s="313" t="str">
        <f>IF($B50=0,"",SUMIFS(INPUT_DATA!AK:AK,INPUT_DATA!$A:$A,$B50,INPUT_DATA!$C:$C,"S"))</f>
        <v/>
      </c>
      <c r="AM50" s="313" t="str">
        <f>IF($B50=0,"",SUMIFS(INPUT_DATA!AL:AL,INPUT_DATA!$A:$A,$B50,INPUT_DATA!$C:$C,"S"))</f>
        <v/>
      </c>
      <c r="AN50" s="313" t="str">
        <f>IF($B50=0,"",SUMIFS(INPUT_DATA!AM:AM,INPUT_DATA!$A:$A,$B50,INPUT_DATA!$C:$C,"S"))</f>
        <v/>
      </c>
      <c r="AO50" s="313" t="str">
        <f>IF($B50=0,"",SUMIFS(INPUT_DATA!AN:AN,INPUT_DATA!$A:$A,$B50,INPUT_DATA!$C:$C,"S"))</f>
        <v/>
      </c>
      <c r="AP50" s="313" t="str">
        <f>IF($B50=0,"",SUMIFS(INPUT_DATA!AO:AO,INPUT_DATA!$A:$A,$B50,INPUT_DATA!$C:$C,"S"))</f>
        <v/>
      </c>
      <c r="AQ50" s="313" t="str">
        <f>IF($B50=0,"",SUMIFS(INPUT_DATA!AP:AP,INPUT_DATA!$A:$A,$B50,INPUT_DATA!$C:$C,"S"))</f>
        <v/>
      </c>
      <c r="AR50" s="313" t="str">
        <f>IF($B50=0,"",SUMIFS(INPUT_DATA!AQ:AQ,INPUT_DATA!$A:$A,$B50,INPUT_DATA!$C:$C,"S"))</f>
        <v/>
      </c>
      <c r="AS50" s="749" t="str">
        <f t="shared" si="29"/>
        <v/>
      </c>
      <c r="AT50" s="750" t="str">
        <f t="shared" si="30"/>
        <v/>
      </c>
      <c r="AU50" s="751" t="str">
        <f t="shared" si="31"/>
        <v/>
      </c>
      <c r="AV50" s="749" t="str">
        <f>IF($B50=0,"",SUMIFS(INPUT_DATA!AR:AR,INPUT_DATA!$A:$A,$B50,INPUT_DATA!$C:$C,"S"))</f>
        <v/>
      </c>
      <c r="AW50" s="750" t="str">
        <f>IF($B50=0,"",SUMIFS(INPUT_DATA!AS:AS,INPUT_DATA!$A:$A,$B50,INPUT_DATA!$C:$C,"S"))</f>
        <v/>
      </c>
      <c r="AX50" s="751" t="str">
        <f>IF($B50=0,"",SUMIFS(INPUT_DATA!AT:AT,INPUT_DATA!$A:$A,$B50,INPUT_DATA!$C:$C,"S"))</f>
        <v/>
      </c>
      <c r="AY50" s="749" t="str">
        <f t="shared" si="15"/>
        <v/>
      </c>
      <c r="AZ50" s="750" t="str">
        <f t="shared" si="16"/>
        <v/>
      </c>
      <c r="BA50" s="751" t="str">
        <f t="shared" si="17"/>
        <v/>
      </c>
      <c r="BB50" s="150"/>
      <c r="BC50" s="738" t="str">
        <f>IF($B50=0,"",SUMIFS(INPUT_DATA!D:D,INPUT_DATA!$A:$A,$B50,INPUT_DATA!$C:$C,"D"))</f>
        <v/>
      </c>
      <c r="BD50" s="312" t="str">
        <f>IF($B50=0,"",SUMIFS(INPUT_DATA!F:F,INPUT_DATA!$A:$A,$B50,INPUT_DATA!$C:$C,"D"))</f>
        <v/>
      </c>
      <c r="BE50" s="312" t="str">
        <f>IF($B50=0,"",SUMIFS(INPUT_DATA!G:G,INPUT_DATA!$A:$A,$B50,INPUT_DATA!$C:$C,"D"))</f>
        <v/>
      </c>
      <c r="BF50" s="312" t="str">
        <f>IF($B50=0,"",SUMIFS(INPUT_DATA!H:H,INPUT_DATA!$A:$A,$B50,INPUT_DATA!$C:$C,"D"))</f>
        <v/>
      </c>
      <c r="BG50" s="312" t="str">
        <f>IF($B50=0,"",SUMIFS(INPUT_DATA!I:I,INPUT_DATA!$A:$A,$B50,INPUT_DATA!$C:$C,"D"))</f>
        <v/>
      </c>
      <c r="BH50" s="312" t="str">
        <f>IF($B50=0,"",SUMIFS(INPUT_DATA!J:J,INPUT_DATA!$A:$A,$B50,INPUT_DATA!$C:$C,"D"))</f>
        <v/>
      </c>
      <c r="BI50" s="312" t="str">
        <f>IF($B50=0,"",SUMIFS(INPUT_DATA!K:K,INPUT_DATA!$A:$A,$B50,INPUT_DATA!$C:$C,"D"))</f>
        <v/>
      </c>
      <c r="BJ50" s="312" t="str">
        <f>IF($B50=0,"",SUMIFS(INPUT_DATA!L:L,INPUT_DATA!$A:$A,$B50,INPUT_DATA!$C:$C,"D"))</f>
        <v/>
      </c>
      <c r="BK50" s="312" t="str">
        <f>IF($B50=0,"",SUMIFS(INPUT_DATA!M:M,INPUT_DATA!$A:$A,$B50,INPUT_DATA!$C:$C,"D"))</f>
        <v/>
      </c>
      <c r="BL50" s="312" t="str">
        <f>IF($B50=0,"",SUMIFS(INPUT_DATA!N:N,INPUT_DATA!$A:$A,$B50,INPUT_DATA!$C:$C,"D"))</f>
        <v/>
      </c>
      <c r="BM50" s="312" t="str">
        <f>IF($B50=0,"",SUMIFS(INPUT_DATA!O:O,INPUT_DATA!$A:$A,$B50,INPUT_DATA!$C:$C,"D"))</f>
        <v/>
      </c>
      <c r="BN50" s="754" t="str">
        <f t="shared" si="18"/>
        <v/>
      </c>
      <c r="BO50" s="754" t="str">
        <f>IF($B50=0,"",SUMIFS(INPUT_DATA!O:O,INPUT_DATA!$A:$A,$B50,INPUT_DATA!$C:$C,"D"))</f>
        <v/>
      </c>
      <c r="BP50" s="754" t="str">
        <f t="shared" si="19"/>
        <v/>
      </c>
      <c r="BQ50" s="738" t="str">
        <f>IF($B50=0,"",SUMIFS(INPUT_DATA!Q:Q,INPUT_DATA!$A:$A,$B50,INPUT_DATA!$C:$C,"D"))</f>
        <v/>
      </c>
      <c r="BR50" s="760" t="str">
        <f>IF($B50=0,"",SUMIFS(INPUT_DATA!R:R,INPUT_DATA!$A:$A,$B50,INPUT_DATA!$C:$C,"D"))</f>
        <v/>
      </c>
      <c r="BS50" s="760" t="str">
        <f>IF($B50=0,"",SUMIFS(INPUT_DATA!S:S,INPUT_DATA!$A:$A,$B50,INPUT_DATA!$C:$C,"D"))</f>
        <v/>
      </c>
      <c r="BT50" s="312" t="str">
        <f>IF($B50=0,"",SUMIFS(INPUT_DATA!T:T,INPUT_DATA!$A:$A,$B50,INPUT_DATA!$C:$C,"D"))</f>
        <v/>
      </c>
      <c r="BU50" s="312" t="str">
        <f>IF($B50=0,"",SUMIFS(INPUT_DATA!U:U,INPUT_DATA!$A:$A,$B50,INPUT_DATA!$C:$C,"D"))</f>
        <v/>
      </c>
      <c r="BV50" s="312" t="str">
        <f>IF($B50=0,"",SUMIFS(INPUT_DATA!V:V,INPUT_DATA!$A:$A,$B50,INPUT_DATA!$C:$C,"D"))</f>
        <v/>
      </c>
      <c r="BW50" s="312" t="str">
        <f>IF($B50=0,"",SUMIFS(INPUT_DATA!W:W,INPUT_DATA!$A:$A,$B50,INPUT_DATA!$C:$C,"D"))</f>
        <v/>
      </c>
      <c r="BX50" s="312" t="str">
        <f>IF($B50=0,"",SUMIFS(INPUT_DATA!X:X,INPUT_DATA!$A:$A,$B50,INPUT_DATA!$C:$C,"D"))</f>
        <v/>
      </c>
      <c r="BY50" s="312" t="str">
        <f>IF($B50=0,"",SUMIFS(INPUT_DATA!Y:Y,INPUT_DATA!$A:$A,$B50,INPUT_DATA!$C:$C,"D"))</f>
        <v/>
      </c>
      <c r="BZ50" s="353" t="str">
        <f>IF($B50=0,"",SUMIFS(INPUT_DATA!Z:Z,INPUT_DATA!$A:$A,$B50,INPUT_DATA!$C:$C,"D"))</f>
        <v/>
      </c>
      <c r="CA50" s="353" t="str">
        <f>IF($B50=0,"",SUMIFS(INPUT_DATA!AA:AA,INPUT_DATA!$A:$A,$B50,INPUT_DATA!$C:$C,"D"))</f>
        <v/>
      </c>
      <c r="CB50" s="353" t="str">
        <f>IF($B50=0,"",SUMIFS(INPUT_DATA!AB:AB,INPUT_DATA!$A:$A,$B50,INPUT_DATA!$C:$C,"D"))</f>
        <v/>
      </c>
      <c r="CC50" s="312" t="str">
        <f>IF($B50=0,"",SUMIFS(INPUT_DATA!AC:AC,INPUT_DATA!$A:$A,$B50,INPUT_DATA!$C:$C,"D"))</f>
        <v/>
      </c>
      <c r="CD50" s="312" t="str">
        <f>IF($B50=0,"",SUMIFS(INPUT_DATA!AD:AD,INPUT_DATA!$A:$A,$B50,INPUT_DATA!$C:$C,"D"))</f>
        <v/>
      </c>
      <c r="CE50" s="312" t="str">
        <f>IF($B50=0,"",SUMIFS(INPUT_DATA!AE:AE,INPUT_DATA!$A:$A,$B50,INPUT_DATA!$C:$C,"D"))</f>
        <v/>
      </c>
      <c r="CF50" s="353" t="str">
        <f>IF($B50=0,"",SUMIFS(INPUT_DATA!AF:AF,INPUT_DATA!$A:$A,$B50,INPUT_DATA!$C:$C,"D"))</f>
        <v/>
      </c>
      <c r="CG50" s="353" t="str">
        <f>IF($B50=0,"",SUMIFS(INPUT_DATA!AG:AG,INPUT_DATA!$A:$A,$B50,INPUT_DATA!$C:$C,"D"))</f>
        <v/>
      </c>
      <c r="CH50" s="353" t="str">
        <f>IF($B50=0,"",SUMIFS(INPUT_DATA!AH:AH,INPUT_DATA!$A:$A,$B50,INPUT_DATA!$C:$C,"D"))</f>
        <v/>
      </c>
      <c r="CI50" s="153" t="str">
        <f>IF($B50=0,"",SUMIFS(INPUT_DATA!AI:AI,INPUT_DATA!$A:$A,$B50,INPUT_DATA!$C:$C,"D"))</f>
        <v/>
      </c>
      <c r="CJ50" s="153" t="str">
        <f>IF($B50=0,"",SUMIFS(INPUT_DATA!AJ:AJ,INPUT_DATA!$A:$A,$B50,INPUT_DATA!$C:$C,"D"))</f>
        <v/>
      </c>
      <c r="CK50" s="153" t="str">
        <f>IF($B50=0,"",SUMIFS(INPUT_DATA!AK:AK,INPUT_DATA!$A:$A,$B50,INPUT_DATA!$C:$C,"D"))</f>
        <v/>
      </c>
      <c r="CL50" s="153" t="str">
        <f>IF($B50=0,"",SUMIFS(INPUT_DATA!AL:AL,INPUT_DATA!$A:$A,$B50,INPUT_DATA!$C:$C,"D"))</f>
        <v/>
      </c>
      <c r="CM50" s="153" t="str">
        <f>IF($B50=0,"",SUMIFS(INPUT_DATA!AM:AM,INPUT_DATA!$A:$A,$B50,INPUT_DATA!$C:$C,"D"))</f>
        <v/>
      </c>
      <c r="CN50" s="153" t="str">
        <f>IF($B50=0,"",SUMIFS(INPUT_DATA!AN:AN,INPUT_DATA!$A:$A,$B50,INPUT_DATA!$C:$C,"D"))</f>
        <v/>
      </c>
      <c r="CO50" s="153" t="str">
        <f>IF($B50=0,"",SUMIFS(INPUT_DATA!AO:AO,INPUT_DATA!$A:$A,$B50,INPUT_DATA!$C:$C,"D"))</f>
        <v/>
      </c>
      <c r="CP50" s="153" t="str">
        <f>IF($B50=0,"",SUMIFS(INPUT_DATA!AP:AP,INPUT_DATA!$A:$A,$B50,INPUT_DATA!$C:$C,"D"))</f>
        <v/>
      </c>
      <c r="CQ50" s="153" t="str">
        <f>IF($B50=0,"",SUMIFS(INPUT_DATA!AQ:AQ,INPUT_DATA!$A:$A,$B50,INPUT_DATA!$C:$C,"D"))</f>
        <v/>
      </c>
      <c r="CR50" s="750" t="str">
        <f t="shared" si="32"/>
        <v/>
      </c>
      <c r="CS50" s="750" t="str">
        <f t="shared" si="33"/>
        <v/>
      </c>
      <c r="CT50" s="750" t="str">
        <f t="shared" si="34"/>
        <v/>
      </c>
      <c r="CU50" s="739" t="str">
        <f>IF($B50=0,"",SUMIFS(INPUT_DATA!AR:AR,INPUT_DATA!$A:$A,$B50,INPUT_DATA!$C:$C,"D"))</f>
        <v/>
      </c>
      <c r="CV50" s="739" t="str">
        <f>IF($B50=0,"",SUMIFS(INPUT_DATA!AS:AS,INPUT_DATA!$A:$A,$B50,INPUT_DATA!$C:$C,"D"))</f>
        <v/>
      </c>
      <c r="CW50" s="739" t="str">
        <f>IF($B50=0,"",SUMIFS(INPUT_DATA!AT:AT,INPUT_DATA!$A:$A,$B50,INPUT_DATA!$C:$C,"D"))</f>
        <v/>
      </c>
      <c r="CX50" s="739" t="str">
        <f t="shared" si="35"/>
        <v/>
      </c>
      <c r="CY50" s="750" t="str">
        <f t="shared" si="36"/>
        <v/>
      </c>
      <c r="CZ50" s="761" t="str">
        <f t="shared" si="37"/>
        <v/>
      </c>
      <c r="DA50" s="150"/>
    </row>
    <row r="51" spans="1:105" ht="13" x14ac:dyDescent="0.25">
      <c r="A51" s="172">
        <f t="shared" si="40"/>
        <v>-4</v>
      </c>
      <c r="B51" s="733">
        <f>INPUT_DATA!BQ38</f>
        <v>0</v>
      </c>
      <c r="C51" s="738" t="str">
        <f>IF($B51=0,"",SUMIFS(INPUT_DATA!D:D,INPUT_DATA!$A:$A,$B51,INPUT_DATA!$C:$C,"S"))</f>
        <v/>
      </c>
      <c r="D51" s="739" t="str">
        <f>IF($B51=0,"",SUMIFS(INPUT_DATA!E:E,INPUT_DATA!$A:$A,$B51,INPUT_DATA!$C:$C,"S"))</f>
        <v/>
      </c>
      <c r="E51" s="740" t="str">
        <f>IF($B51=0,"",SUMIFS(INPUT_DATA!F:F,INPUT_DATA!$A:$A,$B51,INPUT_DATA!$C:$C,"S"))</f>
        <v/>
      </c>
      <c r="F51" s="740" t="str">
        <f>IF($B51=0,"",SUMIFS(INPUT_DATA!G:G,INPUT_DATA!$A:$A,$B51,INPUT_DATA!$C:$C,"S"))</f>
        <v/>
      </c>
      <c r="G51" s="740" t="str">
        <f>IF($B51=0,"",SUMIFS(INPUT_DATA!H:H,INPUT_DATA!$A:$A,$B51,INPUT_DATA!$C:$C,"S"))</f>
        <v/>
      </c>
      <c r="H51" s="740" t="str">
        <f>IF($B51=0,"",SUMIFS(INPUT_DATA!I:I,INPUT_DATA!$A:$A,$B51,INPUT_DATA!$C:$C,"S"))</f>
        <v/>
      </c>
      <c r="I51" s="740" t="str">
        <f>IF($B51=0,"",SUMIFS(INPUT_DATA!J:J,INPUT_DATA!$A:$A,$B51,INPUT_DATA!$C:$C,"S"))</f>
        <v/>
      </c>
      <c r="J51" s="740" t="str">
        <f>IF($B51=0,"",SUMIFS(INPUT_DATA!K:K,INPUT_DATA!$A:$A,$B51,INPUT_DATA!$C:$C,"S"))</f>
        <v/>
      </c>
      <c r="K51" s="740" t="str">
        <f>IF($B51=0,"",SUMIFS(INPUT_DATA!L:L,INPUT_DATA!$A:$A,$B51,INPUT_DATA!$C:$C,"S"))</f>
        <v/>
      </c>
      <c r="L51" s="740" t="str">
        <f>IF($B51=0,"",SUMIFS(INPUT_DATA!M:M,INPUT_DATA!$A:$A,$B51,INPUT_DATA!$C:$C,"S"))</f>
        <v/>
      </c>
      <c r="M51" s="740" t="str">
        <f>IF($B51=0,"",SUMIFS(INPUT_DATA!N:N,INPUT_DATA!$A:$A,$B51,INPUT_DATA!$C:$C,"S"))</f>
        <v/>
      </c>
      <c r="N51" s="740" t="str">
        <f>IF($B51=0,"",SUMIFS(INPUT_DATA!O:O,INPUT_DATA!$A:$A,$B51,INPUT_DATA!$C:$C,"S"))</f>
        <v/>
      </c>
      <c r="O51" s="741" t="str">
        <f t="shared" si="38"/>
        <v/>
      </c>
      <c r="P51" s="742" t="str">
        <f>IF($B51=0,"",SUMIFS(INPUT_DATA!P:P,INPUT_DATA!$A:$A,$B51,INPUT_DATA!$C:$C,"S"))</f>
        <v/>
      </c>
      <c r="Q51" s="742" t="str">
        <f t="shared" si="39"/>
        <v/>
      </c>
      <c r="R51" s="748" t="str">
        <f>IF($B51=0,"",SUMIFS(INPUT_DATA!Q:Q,INPUT_DATA!$A:$A,$B51,INPUT_DATA!$C:$C,"S"))</f>
        <v/>
      </c>
      <c r="S51" s="748" t="str">
        <f>IF($B51=0,"",SUMIFS(INPUT_DATA!R:R,INPUT_DATA!$A:$A,$B51,INPUT_DATA!$C:$C,"S"))</f>
        <v/>
      </c>
      <c r="T51" s="748" t="str">
        <f>IF($B51=0,"",SUMIFS(INPUT_DATA!S:S,INPUT_DATA!$A:$A,$B51,INPUT_DATA!$C:$C,"S"))</f>
        <v/>
      </c>
      <c r="U51" s="313" t="str">
        <f>IF($B51=0,"",SUMIFS(INPUT_DATA!T:T,INPUT_DATA!$A:$A,$B51,INPUT_DATA!$C:$C,"S"))</f>
        <v/>
      </c>
      <c r="V51" s="313" t="str">
        <f>IF($B51=0,"",SUMIFS(INPUT_DATA!U:U,INPUT_DATA!$A:$A,$B51,INPUT_DATA!$C:$C,"S"))</f>
        <v/>
      </c>
      <c r="W51" s="313" t="str">
        <f>IF($B51=0,"",SUMIFS(INPUT_DATA!V:V,INPUT_DATA!$A:$A,$B51,INPUT_DATA!$C:$C,"S"))</f>
        <v/>
      </c>
      <c r="X51" s="313" t="str">
        <f>IF($B51=0,"",SUMIFS(INPUT_DATA!W:W,INPUT_DATA!$A:$A,$B51,INPUT_DATA!$C:$C,"S"))</f>
        <v/>
      </c>
      <c r="Y51" s="313" t="str">
        <f>IF($B51=0,"",SUMIFS(INPUT_DATA!X:X,INPUT_DATA!$A:$A,$B51,INPUT_DATA!$C:$C,"S"))</f>
        <v/>
      </c>
      <c r="Z51" s="313" t="str">
        <f>IF($B51=0,"",SUMIFS(INPUT_DATA!Y:Y,INPUT_DATA!$A:$A,$B51,INPUT_DATA!$C:$C,"S"))</f>
        <v/>
      </c>
      <c r="AA51" s="313" t="str">
        <f>IF($B51=0,"",SUMIFS(INPUT_DATA!Z:Z,INPUT_DATA!$A:$A,$B51,INPUT_DATA!$C:$C,"S"))</f>
        <v/>
      </c>
      <c r="AB51" s="313" t="str">
        <f>IF($B51=0,"",SUMIFS(INPUT_DATA!AA:AA,INPUT_DATA!$A:$A,$B51,INPUT_DATA!$C:$C,"S"))</f>
        <v/>
      </c>
      <c r="AC51" s="313" t="str">
        <f>IF($B51=0,"",SUMIFS(INPUT_DATA!AB:AB,INPUT_DATA!$A:$A,$B51,INPUT_DATA!$C:$C,"S"))</f>
        <v/>
      </c>
      <c r="AD51" s="313" t="str">
        <f>IF($B51=0,"",SUMIFS(INPUT_DATA!AC:AC,INPUT_DATA!$A:$A,$B51,INPUT_DATA!$C:$C,"S"))</f>
        <v/>
      </c>
      <c r="AE51" s="313" t="str">
        <f>IF($B51=0,"",SUMIFS(INPUT_DATA!AD:AD,INPUT_DATA!$A:$A,$B51,INPUT_DATA!$C:$C,"S"))</f>
        <v/>
      </c>
      <c r="AF51" s="313" t="str">
        <f>IF($B51=0,"",SUMIFS(INPUT_DATA!AE:AE,INPUT_DATA!$A:$A,$B51,INPUT_DATA!$C:$C,"S"))</f>
        <v/>
      </c>
      <c r="AG51" s="313" t="str">
        <f>IF($B51=0,"",SUMIFS(INPUT_DATA!AF:AF,INPUT_DATA!$A:$A,$B51,INPUT_DATA!$C:$C,"S"))</f>
        <v/>
      </c>
      <c r="AH51" s="313" t="str">
        <f>IF($B51=0,"",SUMIFS(INPUT_DATA!AG:AG,INPUT_DATA!$A:$A,$B51,INPUT_DATA!$C:$C,"S"))</f>
        <v/>
      </c>
      <c r="AI51" s="313" t="str">
        <f>IF($B51=0,"",SUMIFS(INPUT_DATA!AH:AH,INPUT_DATA!$A:$A,$B51,INPUT_DATA!$C:$C,"S"))</f>
        <v/>
      </c>
      <c r="AJ51" s="313" t="str">
        <f>IF($B51=0,"",SUMIFS(INPUT_DATA!AI:AI,INPUT_DATA!$A:$A,$B51,INPUT_DATA!$C:$C,"S"))</f>
        <v/>
      </c>
      <c r="AK51" s="313" t="str">
        <f>IF($B51=0,"",SUMIFS(INPUT_DATA!AJ:AJ,INPUT_DATA!$A:$A,$B51,INPUT_DATA!$C:$C,"S"))</f>
        <v/>
      </c>
      <c r="AL51" s="313" t="str">
        <f>IF($B51=0,"",SUMIFS(INPUT_DATA!AK:AK,INPUT_DATA!$A:$A,$B51,INPUT_DATA!$C:$C,"S"))</f>
        <v/>
      </c>
      <c r="AM51" s="313" t="str">
        <f>IF($B51=0,"",SUMIFS(INPUT_DATA!AL:AL,INPUT_DATA!$A:$A,$B51,INPUT_DATA!$C:$C,"S"))</f>
        <v/>
      </c>
      <c r="AN51" s="313" t="str">
        <f>IF($B51=0,"",SUMIFS(INPUT_DATA!AM:AM,INPUT_DATA!$A:$A,$B51,INPUT_DATA!$C:$C,"S"))</f>
        <v/>
      </c>
      <c r="AO51" s="313" t="str">
        <f>IF($B51=0,"",SUMIFS(INPUT_DATA!AN:AN,INPUT_DATA!$A:$A,$B51,INPUT_DATA!$C:$C,"S"))</f>
        <v/>
      </c>
      <c r="AP51" s="313" t="str">
        <f>IF($B51=0,"",SUMIFS(INPUT_DATA!AO:AO,INPUT_DATA!$A:$A,$B51,INPUT_DATA!$C:$C,"S"))</f>
        <v/>
      </c>
      <c r="AQ51" s="313" t="str">
        <f>IF($B51=0,"",SUMIFS(INPUT_DATA!AP:AP,INPUT_DATA!$A:$A,$B51,INPUT_DATA!$C:$C,"S"))</f>
        <v/>
      </c>
      <c r="AR51" s="313" t="str">
        <f>IF($B51=0,"",SUMIFS(INPUT_DATA!AQ:AQ,INPUT_DATA!$A:$A,$B51,INPUT_DATA!$C:$C,"S"))</f>
        <v/>
      </c>
      <c r="AS51" s="749" t="str">
        <f t="shared" si="29"/>
        <v/>
      </c>
      <c r="AT51" s="750" t="str">
        <f t="shared" si="30"/>
        <v/>
      </c>
      <c r="AU51" s="751" t="str">
        <f t="shared" si="31"/>
        <v/>
      </c>
      <c r="AV51" s="749" t="str">
        <f>IF($B51=0,"",SUMIFS(INPUT_DATA!AR:AR,INPUT_DATA!$A:$A,$B51,INPUT_DATA!$C:$C,"S"))</f>
        <v/>
      </c>
      <c r="AW51" s="750" t="str">
        <f>IF($B51=0,"",SUMIFS(INPUT_DATA!AS:AS,INPUT_DATA!$A:$A,$B51,INPUT_DATA!$C:$C,"S"))</f>
        <v/>
      </c>
      <c r="AX51" s="751" t="str">
        <f>IF($B51=0,"",SUMIFS(INPUT_DATA!AT:AT,INPUT_DATA!$A:$A,$B51,INPUT_DATA!$C:$C,"S"))</f>
        <v/>
      </c>
      <c r="AY51" s="749" t="str">
        <f t="shared" si="15"/>
        <v/>
      </c>
      <c r="AZ51" s="750" t="str">
        <f t="shared" si="16"/>
        <v/>
      </c>
      <c r="BA51" s="751" t="str">
        <f t="shared" si="17"/>
        <v/>
      </c>
      <c r="BB51" s="150"/>
      <c r="BC51" s="738" t="str">
        <f>IF($B51=0,"",SUMIFS(INPUT_DATA!D:D,INPUT_DATA!$A:$A,$B51,INPUT_DATA!$C:$C,"D"))</f>
        <v/>
      </c>
      <c r="BD51" s="312" t="str">
        <f>IF($B51=0,"",SUMIFS(INPUT_DATA!F:F,INPUT_DATA!$A:$A,$B51,INPUT_DATA!$C:$C,"D"))</f>
        <v/>
      </c>
      <c r="BE51" s="312" t="str">
        <f>IF($B51=0,"",SUMIFS(INPUT_DATA!G:G,INPUT_DATA!$A:$A,$B51,INPUT_DATA!$C:$C,"D"))</f>
        <v/>
      </c>
      <c r="BF51" s="312" t="str">
        <f>IF($B51=0,"",SUMIFS(INPUT_DATA!H:H,INPUT_DATA!$A:$A,$B51,INPUT_DATA!$C:$C,"D"))</f>
        <v/>
      </c>
      <c r="BG51" s="312" t="str">
        <f>IF($B51=0,"",SUMIFS(INPUT_DATA!I:I,INPUT_DATA!$A:$A,$B51,INPUT_DATA!$C:$C,"D"))</f>
        <v/>
      </c>
      <c r="BH51" s="312" t="str">
        <f>IF($B51=0,"",SUMIFS(INPUT_DATA!J:J,INPUT_DATA!$A:$A,$B51,INPUT_DATA!$C:$C,"D"))</f>
        <v/>
      </c>
      <c r="BI51" s="312" t="str">
        <f>IF($B51=0,"",SUMIFS(INPUT_DATA!K:K,INPUT_DATA!$A:$A,$B51,INPUT_DATA!$C:$C,"D"))</f>
        <v/>
      </c>
      <c r="BJ51" s="312" t="str">
        <f>IF($B51=0,"",SUMIFS(INPUT_DATA!L:L,INPUT_DATA!$A:$A,$B51,INPUT_DATA!$C:$C,"D"))</f>
        <v/>
      </c>
      <c r="BK51" s="312" t="str">
        <f>IF($B51=0,"",SUMIFS(INPUT_DATA!M:M,INPUT_DATA!$A:$A,$B51,INPUT_DATA!$C:$C,"D"))</f>
        <v/>
      </c>
      <c r="BL51" s="312" t="str">
        <f>IF($B51=0,"",SUMIFS(INPUT_DATA!N:N,INPUT_DATA!$A:$A,$B51,INPUT_DATA!$C:$C,"D"))</f>
        <v/>
      </c>
      <c r="BM51" s="312" t="str">
        <f>IF($B51=0,"",SUMIFS(INPUT_DATA!O:O,INPUT_DATA!$A:$A,$B51,INPUT_DATA!$C:$C,"D"))</f>
        <v/>
      </c>
      <c r="BN51" s="754" t="str">
        <f t="shared" si="18"/>
        <v/>
      </c>
      <c r="BO51" s="754" t="str">
        <f>IF($B51=0,"",SUMIFS(INPUT_DATA!O:O,INPUT_DATA!$A:$A,$B51,INPUT_DATA!$C:$C,"D"))</f>
        <v/>
      </c>
      <c r="BP51" s="754" t="str">
        <f t="shared" si="19"/>
        <v/>
      </c>
      <c r="BQ51" s="738" t="str">
        <f>IF($B51=0,"",SUMIFS(INPUT_DATA!Q:Q,INPUT_DATA!$A:$A,$B51,INPUT_DATA!$C:$C,"D"))</f>
        <v/>
      </c>
      <c r="BR51" s="760" t="str">
        <f>IF($B51=0,"",SUMIFS(INPUT_DATA!R:R,INPUT_DATA!$A:$A,$B51,INPUT_DATA!$C:$C,"D"))</f>
        <v/>
      </c>
      <c r="BS51" s="760" t="str">
        <f>IF($B51=0,"",SUMIFS(INPUT_DATA!S:S,INPUT_DATA!$A:$A,$B51,INPUT_DATA!$C:$C,"D"))</f>
        <v/>
      </c>
      <c r="BT51" s="312" t="str">
        <f>IF($B51=0,"",SUMIFS(INPUT_DATA!T:T,INPUT_DATA!$A:$A,$B51,INPUT_DATA!$C:$C,"D"))</f>
        <v/>
      </c>
      <c r="BU51" s="312" t="str">
        <f>IF($B51=0,"",SUMIFS(INPUT_DATA!U:U,INPUT_DATA!$A:$A,$B51,INPUT_DATA!$C:$C,"D"))</f>
        <v/>
      </c>
      <c r="BV51" s="312" t="str">
        <f>IF($B51=0,"",SUMIFS(INPUT_DATA!V:V,INPUT_DATA!$A:$A,$B51,INPUT_DATA!$C:$C,"D"))</f>
        <v/>
      </c>
      <c r="BW51" s="312" t="str">
        <f>IF($B51=0,"",SUMIFS(INPUT_DATA!W:W,INPUT_DATA!$A:$A,$B51,INPUT_DATA!$C:$C,"D"))</f>
        <v/>
      </c>
      <c r="BX51" s="312" t="str">
        <f>IF($B51=0,"",SUMIFS(INPUT_DATA!X:X,INPUT_DATA!$A:$A,$B51,INPUT_DATA!$C:$C,"D"))</f>
        <v/>
      </c>
      <c r="BY51" s="312" t="str">
        <f>IF($B51=0,"",SUMIFS(INPUT_DATA!Y:Y,INPUT_DATA!$A:$A,$B51,INPUT_DATA!$C:$C,"D"))</f>
        <v/>
      </c>
      <c r="BZ51" s="353" t="str">
        <f>IF($B51=0,"",SUMIFS(INPUT_DATA!Z:Z,INPUT_DATA!$A:$A,$B51,INPUT_DATA!$C:$C,"D"))</f>
        <v/>
      </c>
      <c r="CA51" s="353" t="str">
        <f>IF($B51=0,"",SUMIFS(INPUT_DATA!AA:AA,INPUT_DATA!$A:$A,$B51,INPUT_DATA!$C:$C,"D"))</f>
        <v/>
      </c>
      <c r="CB51" s="353" t="str">
        <f>IF($B51=0,"",SUMIFS(INPUT_DATA!AB:AB,INPUT_DATA!$A:$A,$B51,INPUT_DATA!$C:$C,"D"))</f>
        <v/>
      </c>
      <c r="CC51" s="312" t="str">
        <f>IF($B51=0,"",SUMIFS(INPUT_DATA!AC:AC,INPUT_DATA!$A:$A,$B51,INPUT_DATA!$C:$C,"D"))</f>
        <v/>
      </c>
      <c r="CD51" s="312" t="str">
        <f>IF($B51=0,"",SUMIFS(INPUT_DATA!AD:AD,INPUT_DATA!$A:$A,$B51,INPUT_DATA!$C:$C,"D"))</f>
        <v/>
      </c>
      <c r="CE51" s="312" t="str">
        <f>IF($B51=0,"",SUMIFS(INPUT_DATA!AE:AE,INPUT_DATA!$A:$A,$B51,INPUT_DATA!$C:$C,"D"))</f>
        <v/>
      </c>
      <c r="CF51" s="353" t="str">
        <f>IF($B51=0,"",SUMIFS(INPUT_DATA!AF:AF,INPUT_DATA!$A:$A,$B51,INPUT_DATA!$C:$C,"D"))</f>
        <v/>
      </c>
      <c r="CG51" s="353" t="str">
        <f>IF($B51=0,"",SUMIFS(INPUT_DATA!AG:AG,INPUT_DATA!$A:$A,$B51,INPUT_DATA!$C:$C,"D"))</f>
        <v/>
      </c>
      <c r="CH51" s="353" t="str">
        <f>IF($B51=0,"",SUMIFS(INPUT_DATA!AH:AH,INPUT_DATA!$A:$A,$B51,INPUT_DATA!$C:$C,"D"))</f>
        <v/>
      </c>
      <c r="CI51" s="153" t="str">
        <f>IF($B51=0,"",SUMIFS(INPUT_DATA!AI:AI,INPUT_DATA!$A:$A,$B51,INPUT_DATA!$C:$C,"D"))</f>
        <v/>
      </c>
      <c r="CJ51" s="153" t="str">
        <f>IF($B51=0,"",SUMIFS(INPUT_DATA!AJ:AJ,INPUT_DATA!$A:$A,$B51,INPUT_DATA!$C:$C,"D"))</f>
        <v/>
      </c>
      <c r="CK51" s="153" t="str">
        <f>IF($B51=0,"",SUMIFS(INPUT_DATA!AK:AK,INPUT_DATA!$A:$A,$B51,INPUT_DATA!$C:$C,"D"))</f>
        <v/>
      </c>
      <c r="CL51" s="153" t="str">
        <f>IF($B51=0,"",SUMIFS(INPUT_DATA!AL:AL,INPUT_DATA!$A:$A,$B51,INPUT_DATA!$C:$C,"D"))</f>
        <v/>
      </c>
      <c r="CM51" s="153" t="str">
        <f>IF($B51=0,"",SUMIFS(INPUT_DATA!AM:AM,INPUT_DATA!$A:$A,$B51,INPUT_DATA!$C:$C,"D"))</f>
        <v/>
      </c>
      <c r="CN51" s="153" t="str">
        <f>IF($B51=0,"",SUMIFS(INPUT_DATA!AN:AN,INPUT_DATA!$A:$A,$B51,INPUT_DATA!$C:$C,"D"))</f>
        <v/>
      </c>
      <c r="CO51" s="153" t="str">
        <f>IF($B51=0,"",SUMIFS(INPUT_DATA!AO:AO,INPUT_DATA!$A:$A,$B51,INPUT_DATA!$C:$C,"D"))</f>
        <v/>
      </c>
      <c r="CP51" s="153" t="str">
        <f>IF($B51=0,"",SUMIFS(INPUT_DATA!AP:AP,INPUT_DATA!$A:$A,$B51,INPUT_DATA!$C:$C,"D"))</f>
        <v/>
      </c>
      <c r="CQ51" s="153" t="str">
        <f>IF($B51=0,"",SUMIFS(INPUT_DATA!AQ:AQ,INPUT_DATA!$A:$A,$B51,INPUT_DATA!$C:$C,"D"))</f>
        <v/>
      </c>
      <c r="CR51" s="750" t="str">
        <f t="shared" si="32"/>
        <v/>
      </c>
      <c r="CS51" s="750" t="str">
        <f t="shared" si="33"/>
        <v/>
      </c>
      <c r="CT51" s="750" t="str">
        <f t="shared" si="34"/>
        <v/>
      </c>
      <c r="CU51" s="739" t="str">
        <f>IF($B51=0,"",SUMIFS(INPUT_DATA!AR:AR,INPUT_DATA!$A:$A,$B51,INPUT_DATA!$C:$C,"D"))</f>
        <v/>
      </c>
      <c r="CV51" s="739" t="str">
        <f>IF($B51=0,"",SUMIFS(INPUT_DATA!AS:AS,INPUT_DATA!$A:$A,$B51,INPUT_DATA!$C:$C,"D"))</f>
        <v/>
      </c>
      <c r="CW51" s="739" t="str">
        <f>IF($B51=0,"",SUMIFS(INPUT_DATA!AT:AT,INPUT_DATA!$A:$A,$B51,INPUT_DATA!$C:$C,"D"))</f>
        <v/>
      </c>
      <c r="CX51" s="739" t="str">
        <f t="shared" si="35"/>
        <v/>
      </c>
      <c r="CY51" s="750" t="str">
        <f t="shared" si="36"/>
        <v/>
      </c>
      <c r="CZ51" s="761" t="str">
        <f t="shared" si="37"/>
        <v/>
      </c>
      <c r="DA51" s="150"/>
    </row>
    <row r="52" spans="1:105" ht="13" x14ac:dyDescent="0.25">
      <c r="A52" s="172">
        <f t="shared" si="40"/>
        <v>-5</v>
      </c>
      <c r="B52" s="733">
        <f>INPUT_DATA!BQ39</f>
        <v>0</v>
      </c>
      <c r="C52" s="738" t="str">
        <f>IF($B52=0,"",SUMIFS(INPUT_DATA!D:D,INPUT_DATA!$A:$A,$B52,INPUT_DATA!$C:$C,"S"))</f>
        <v/>
      </c>
      <c r="D52" s="739" t="str">
        <f>IF($B52=0,"",SUMIFS(INPUT_DATA!E:E,INPUT_DATA!$A:$A,$B52,INPUT_DATA!$C:$C,"S"))</f>
        <v/>
      </c>
      <c r="E52" s="740" t="str">
        <f>IF($B52=0,"",SUMIFS(INPUT_DATA!F:F,INPUT_DATA!$A:$A,$B52,INPUT_DATA!$C:$C,"S"))</f>
        <v/>
      </c>
      <c r="F52" s="740" t="str">
        <f>IF($B52=0,"",SUMIFS(INPUT_DATA!G:G,INPUT_DATA!$A:$A,$B52,INPUT_DATA!$C:$C,"S"))</f>
        <v/>
      </c>
      <c r="G52" s="740" t="str">
        <f>IF($B52=0,"",SUMIFS(INPUT_DATA!H:H,INPUT_DATA!$A:$A,$B52,INPUT_DATA!$C:$C,"S"))</f>
        <v/>
      </c>
      <c r="H52" s="740" t="str">
        <f>IF($B52=0,"",SUMIFS(INPUT_DATA!I:I,INPUT_DATA!$A:$A,$B52,INPUT_DATA!$C:$C,"S"))</f>
        <v/>
      </c>
      <c r="I52" s="740" t="str">
        <f>IF($B52=0,"",SUMIFS(INPUT_DATA!J:J,INPUT_DATA!$A:$A,$B52,INPUT_DATA!$C:$C,"S"))</f>
        <v/>
      </c>
      <c r="J52" s="740" t="str">
        <f>IF($B52=0,"",SUMIFS(INPUT_DATA!K:K,INPUT_DATA!$A:$A,$B52,INPUT_DATA!$C:$C,"S"))</f>
        <v/>
      </c>
      <c r="K52" s="740" t="str">
        <f>IF($B52=0,"",SUMIFS(INPUT_DATA!L:L,INPUT_DATA!$A:$A,$B52,INPUT_DATA!$C:$C,"S"))</f>
        <v/>
      </c>
      <c r="L52" s="740" t="str">
        <f>IF($B52=0,"",SUMIFS(INPUT_DATA!M:M,INPUT_DATA!$A:$A,$B52,INPUT_DATA!$C:$C,"S"))</f>
        <v/>
      </c>
      <c r="M52" s="740" t="str">
        <f>IF($B52=0,"",SUMIFS(INPUT_DATA!N:N,INPUT_DATA!$A:$A,$B52,INPUT_DATA!$C:$C,"S"))</f>
        <v/>
      </c>
      <c r="N52" s="740" t="str">
        <f>IF($B52=0,"",SUMIFS(INPUT_DATA!O:O,INPUT_DATA!$A:$A,$B52,INPUT_DATA!$C:$C,"S"))</f>
        <v/>
      </c>
      <c r="O52" s="741" t="str">
        <f t="shared" si="38"/>
        <v/>
      </c>
      <c r="P52" s="742" t="str">
        <f>IF($B52=0,"",SUMIFS(INPUT_DATA!P:P,INPUT_DATA!$A:$A,$B52,INPUT_DATA!$C:$C,"S"))</f>
        <v/>
      </c>
      <c r="Q52" s="742" t="str">
        <f t="shared" si="39"/>
        <v/>
      </c>
      <c r="R52" s="748" t="str">
        <f>IF($B52=0,"",SUMIFS(INPUT_DATA!Q:Q,INPUT_DATA!$A:$A,$B52,INPUT_DATA!$C:$C,"S"))</f>
        <v/>
      </c>
      <c r="S52" s="748" t="str">
        <f>IF($B52=0,"",SUMIFS(INPUT_DATA!R:R,INPUT_DATA!$A:$A,$B52,INPUT_DATA!$C:$C,"S"))</f>
        <v/>
      </c>
      <c r="T52" s="748" t="str">
        <f>IF($B52=0,"",SUMIFS(INPUT_DATA!S:S,INPUT_DATA!$A:$A,$B52,INPUT_DATA!$C:$C,"S"))</f>
        <v/>
      </c>
      <c r="U52" s="313" t="str">
        <f>IF($B52=0,"",SUMIFS(INPUT_DATA!T:T,INPUT_DATA!$A:$A,$B52,INPUT_DATA!$C:$C,"S"))</f>
        <v/>
      </c>
      <c r="V52" s="313" t="str">
        <f>IF($B52=0,"",SUMIFS(INPUT_DATA!U:U,INPUT_DATA!$A:$A,$B52,INPUT_DATA!$C:$C,"S"))</f>
        <v/>
      </c>
      <c r="W52" s="313" t="str">
        <f>IF($B52=0,"",SUMIFS(INPUT_DATA!V:V,INPUT_DATA!$A:$A,$B52,INPUT_DATA!$C:$C,"S"))</f>
        <v/>
      </c>
      <c r="X52" s="313" t="str">
        <f>IF($B52=0,"",SUMIFS(INPUT_DATA!W:W,INPUT_DATA!$A:$A,$B52,INPUT_DATA!$C:$C,"S"))</f>
        <v/>
      </c>
      <c r="Y52" s="313" t="str">
        <f>IF($B52=0,"",SUMIFS(INPUT_DATA!X:X,INPUT_DATA!$A:$A,$B52,INPUT_DATA!$C:$C,"S"))</f>
        <v/>
      </c>
      <c r="Z52" s="313" t="str">
        <f>IF($B52=0,"",SUMIFS(INPUT_DATA!Y:Y,INPUT_DATA!$A:$A,$B52,INPUT_DATA!$C:$C,"S"))</f>
        <v/>
      </c>
      <c r="AA52" s="313" t="str">
        <f>IF($B52=0,"",SUMIFS(INPUT_DATA!Z:Z,INPUT_DATA!$A:$A,$B52,INPUT_DATA!$C:$C,"S"))</f>
        <v/>
      </c>
      <c r="AB52" s="313" t="str">
        <f>IF($B52=0,"",SUMIFS(INPUT_DATA!AA:AA,INPUT_DATA!$A:$A,$B52,INPUT_DATA!$C:$C,"S"))</f>
        <v/>
      </c>
      <c r="AC52" s="313" t="str">
        <f>IF($B52=0,"",SUMIFS(INPUT_DATA!AB:AB,INPUT_DATA!$A:$A,$B52,INPUT_DATA!$C:$C,"S"))</f>
        <v/>
      </c>
      <c r="AD52" s="313" t="str">
        <f>IF($B52=0,"",SUMIFS(INPUT_DATA!AC:AC,INPUT_DATA!$A:$A,$B52,INPUT_DATA!$C:$C,"S"))</f>
        <v/>
      </c>
      <c r="AE52" s="313" t="str">
        <f>IF($B52=0,"",SUMIFS(INPUT_DATA!AD:AD,INPUT_DATA!$A:$A,$B52,INPUT_DATA!$C:$C,"S"))</f>
        <v/>
      </c>
      <c r="AF52" s="313" t="str">
        <f>IF($B52=0,"",SUMIFS(INPUT_DATA!AE:AE,INPUT_DATA!$A:$A,$B52,INPUT_DATA!$C:$C,"S"))</f>
        <v/>
      </c>
      <c r="AG52" s="313" t="str">
        <f>IF($B52=0,"",SUMIFS(INPUT_DATA!AF:AF,INPUT_DATA!$A:$A,$B52,INPUT_DATA!$C:$C,"S"))</f>
        <v/>
      </c>
      <c r="AH52" s="313" t="str">
        <f>IF($B52=0,"",SUMIFS(INPUT_DATA!AG:AG,INPUT_DATA!$A:$A,$B52,INPUT_DATA!$C:$C,"S"))</f>
        <v/>
      </c>
      <c r="AI52" s="313" t="str">
        <f>IF($B52=0,"",SUMIFS(INPUT_DATA!AH:AH,INPUT_DATA!$A:$A,$B52,INPUT_DATA!$C:$C,"S"))</f>
        <v/>
      </c>
      <c r="AJ52" s="313" t="str">
        <f>IF($B52=0,"",SUMIFS(INPUT_DATA!AI:AI,INPUT_DATA!$A:$A,$B52,INPUT_DATA!$C:$C,"S"))</f>
        <v/>
      </c>
      <c r="AK52" s="313" t="str">
        <f>IF($B52=0,"",SUMIFS(INPUT_DATA!AJ:AJ,INPUT_DATA!$A:$A,$B52,INPUT_DATA!$C:$C,"S"))</f>
        <v/>
      </c>
      <c r="AL52" s="313" t="str">
        <f>IF($B52=0,"",SUMIFS(INPUT_DATA!AK:AK,INPUT_DATA!$A:$A,$B52,INPUT_DATA!$C:$C,"S"))</f>
        <v/>
      </c>
      <c r="AM52" s="313" t="str">
        <f>IF($B52=0,"",SUMIFS(INPUT_DATA!AL:AL,INPUT_DATA!$A:$A,$B52,INPUT_DATA!$C:$C,"S"))</f>
        <v/>
      </c>
      <c r="AN52" s="313" t="str">
        <f>IF($B52=0,"",SUMIFS(INPUT_DATA!AM:AM,INPUT_DATA!$A:$A,$B52,INPUT_DATA!$C:$C,"S"))</f>
        <v/>
      </c>
      <c r="AO52" s="313" t="str">
        <f>IF($B52=0,"",SUMIFS(INPUT_DATA!AN:AN,INPUT_DATA!$A:$A,$B52,INPUT_DATA!$C:$C,"S"))</f>
        <v/>
      </c>
      <c r="AP52" s="313" t="str">
        <f>IF($B52=0,"",SUMIFS(INPUT_DATA!AO:AO,INPUT_DATA!$A:$A,$B52,INPUT_DATA!$C:$C,"S"))</f>
        <v/>
      </c>
      <c r="AQ52" s="313" t="str">
        <f>IF($B52=0,"",SUMIFS(INPUT_DATA!AP:AP,INPUT_DATA!$A:$A,$B52,INPUT_DATA!$C:$C,"S"))</f>
        <v/>
      </c>
      <c r="AR52" s="313" t="str">
        <f>IF($B52=0,"",SUMIFS(INPUT_DATA!AQ:AQ,INPUT_DATA!$A:$A,$B52,INPUT_DATA!$C:$C,"S"))</f>
        <v/>
      </c>
      <c r="AS52" s="749" t="str">
        <f t="shared" si="29"/>
        <v/>
      </c>
      <c r="AT52" s="750" t="str">
        <f t="shared" si="30"/>
        <v/>
      </c>
      <c r="AU52" s="751" t="str">
        <f t="shared" si="31"/>
        <v/>
      </c>
      <c r="AV52" s="749" t="str">
        <f>IF($B52=0,"",SUMIFS(INPUT_DATA!AR:AR,INPUT_DATA!$A:$A,$B52,INPUT_DATA!$C:$C,"S"))</f>
        <v/>
      </c>
      <c r="AW52" s="750" t="str">
        <f>IF($B52=0,"",SUMIFS(INPUT_DATA!AS:AS,INPUT_DATA!$A:$A,$B52,INPUT_DATA!$C:$C,"S"))</f>
        <v/>
      </c>
      <c r="AX52" s="751" t="str">
        <f>IF($B52=0,"",SUMIFS(INPUT_DATA!AT:AT,INPUT_DATA!$A:$A,$B52,INPUT_DATA!$C:$C,"S"))</f>
        <v/>
      </c>
      <c r="AY52" s="749" t="str">
        <f t="shared" si="15"/>
        <v/>
      </c>
      <c r="AZ52" s="750" t="str">
        <f t="shared" si="16"/>
        <v/>
      </c>
      <c r="BA52" s="751" t="str">
        <f t="shared" si="17"/>
        <v/>
      </c>
      <c r="BB52" s="150"/>
      <c r="BC52" s="738" t="str">
        <f>IF($B52=0,"",SUMIFS(INPUT_DATA!D:D,INPUT_DATA!$A:$A,$B52,INPUT_DATA!$C:$C,"D"))</f>
        <v/>
      </c>
      <c r="BD52" s="312" t="str">
        <f>IF($B52=0,"",SUMIFS(INPUT_DATA!F:F,INPUT_DATA!$A:$A,$B52,INPUT_DATA!$C:$C,"D"))</f>
        <v/>
      </c>
      <c r="BE52" s="312" t="str">
        <f>IF($B52=0,"",SUMIFS(INPUT_DATA!G:G,INPUT_DATA!$A:$A,$B52,INPUT_DATA!$C:$C,"D"))</f>
        <v/>
      </c>
      <c r="BF52" s="312" t="str">
        <f>IF($B52=0,"",SUMIFS(INPUT_DATA!H:H,INPUT_DATA!$A:$A,$B52,INPUT_DATA!$C:$C,"D"))</f>
        <v/>
      </c>
      <c r="BG52" s="312" t="str">
        <f>IF($B52=0,"",SUMIFS(INPUT_DATA!I:I,INPUT_DATA!$A:$A,$B52,INPUT_DATA!$C:$C,"D"))</f>
        <v/>
      </c>
      <c r="BH52" s="312" t="str">
        <f>IF($B52=0,"",SUMIFS(INPUT_DATA!J:J,INPUT_DATA!$A:$A,$B52,INPUT_DATA!$C:$C,"D"))</f>
        <v/>
      </c>
      <c r="BI52" s="312" t="str">
        <f>IF($B52=0,"",SUMIFS(INPUT_DATA!K:K,INPUT_DATA!$A:$A,$B52,INPUT_DATA!$C:$C,"D"))</f>
        <v/>
      </c>
      <c r="BJ52" s="312" t="str">
        <f>IF($B52=0,"",SUMIFS(INPUT_DATA!L:L,INPUT_DATA!$A:$A,$B52,INPUT_DATA!$C:$C,"D"))</f>
        <v/>
      </c>
      <c r="BK52" s="312" t="str">
        <f>IF($B52=0,"",SUMIFS(INPUT_DATA!M:M,INPUT_DATA!$A:$A,$B52,INPUT_DATA!$C:$C,"D"))</f>
        <v/>
      </c>
      <c r="BL52" s="312" t="str">
        <f>IF($B52=0,"",SUMIFS(INPUT_DATA!N:N,INPUT_DATA!$A:$A,$B52,INPUT_DATA!$C:$C,"D"))</f>
        <v/>
      </c>
      <c r="BM52" s="312" t="str">
        <f>IF($B52=0,"",SUMIFS(INPUT_DATA!O:O,INPUT_DATA!$A:$A,$B52,INPUT_DATA!$C:$C,"D"))</f>
        <v/>
      </c>
      <c r="BN52" s="754" t="str">
        <f t="shared" si="18"/>
        <v/>
      </c>
      <c r="BO52" s="754" t="str">
        <f>IF($B52=0,"",SUMIFS(INPUT_DATA!O:O,INPUT_DATA!$A:$A,$B52,INPUT_DATA!$C:$C,"D"))</f>
        <v/>
      </c>
      <c r="BP52" s="754" t="str">
        <f t="shared" si="19"/>
        <v/>
      </c>
      <c r="BQ52" s="738" t="str">
        <f>IF($B52=0,"",SUMIFS(INPUT_DATA!Q:Q,INPUT_DATA!$A:$A,$B52,INPUT_DATA!$C:$C,"D"))</f>
        <v/>
      </c>
      <c r="BR52" s="760" t="str">
        <f>IF($B52=0,"",SUMIFS(INPUT_DATA!R:R,INPUT_DATA!$A:$A,$B52,INPUT_DATA!$C:$C,"D"))</f>
        <v/>
      </c>
      <c r="BS52" s="760" t="str">
        <f>IF($B52=0,"",SUMIFS(INPUT_DATA!S:S,INPUT_DATA!$A:$A,$B52,INPUT_DATA!$C:$C,"D"))</f>
        <v/>
      </c>
      <c r="BT52" s="312" t="str">
        <f>IF($B52=0,"",SUMIFS(INPUT_DATA!T:T,INPUT_DATA!$A:$A,$B52,INPUT_DATA!$C:$C,"D"))</f>
        <v/>
      </c>
      <c r="BU52" s="312" t="str">
        <f>IF($B52=0,"",SUMIFS(INPUT_DATA!U:U,INPUT_DATA!$A:$A,$B52,INPUT_DATA!$C:$C,"D"))</f>
        <v/>
      </c>
      <c r="BV52" s="312" t="str">
        <f>IF($B52=0,"",SUMIFS(INPUT_DATA!V:V,INPUT_DATA!$A:$A,$B52,INPUT_DATA!$C:$C,"D"))</f>
        <v/>
      </c>
      <c r="BW52" s="312" t="str">
        <f>IF($B52=0,"",SUMIFS(INPUT_DATA!W:W,INPUT_DATA!$A:$A,$B52,INPUT_DATA!$C:$C,"D"))</f>
        <v/>
      </c>
      <c r="BX52" s="312" t="str">
        <f>IF($B52=0,"",SUMIFS(INPUT_DATA!X:X,INPUT_DATA!$A:$A,$B52,INPUT_DATA!$C:$C,"D"))</f>
        <v/>
      </c>
      <c r="BY52" s="312" t="str">
        <f>IF($B52=0,"",SUMIFS(INPUT_DATA!Y:Y,INPUT_DATA!$A:$A,$B52,INPUT_DATA!$C:$C,"D"))</f>
        <v/>
      </c>
      <c r="BZ52" s="353" t="str">
        <f>IF($B52=0,"",SUMIFS(INPUT_DATA!Z:Z,INPUT_DATA!$A:$A,$B52,INPUT_DATA!$C:$C,"D"))</f>
        <v/>
      </c>
      <c r="CA52" s="353" t="str">
        <f>IF($B52=0,"",SUMIFS(INPUT_DATA!AA:AA,INPUT_DATA!$A:$A,$B52,INPUT_DATA!$C:$C,"D"))</f>
        <v/>
      </c>
      <c r="CB52" s="353" t="str">
        <f>IF($B52=0,"",SUMIFS(INPUT_DATA!AB:AB,INPUT_DATA!$A:$A,$B52,INPUT_DATA!$C:$C,"D"))</f>
        <v/>
      </c>
      <c r="CC52" s="312" t="str">
        <f>IF($B52=0,"",SUMIFS(INPUT_DATA!AC:AC,INPUT_DATA!$A:$A,$B52,INPUT_DATA!$C:$C,"D"))</f>
        <v/>
      </c>
      <c r="CD52" s="312" t="str">
        <f>IF($B52=0,"",SUMIFS(INPUT_DATA!AD:AD,INPUT_DATA!$A:$A,$B52,INPUT_DATA!$C:$C,"D"))</f>
        <v/>
      </c>
      <c r="CE52" s="312" t="str">
        <f>IF($B52=0,"",SUMIFS(INPUT_DATA!AE:AE,INPUT_DATA!$A:$A,$B52,INPUT_DATA!$C:$C,"D"))</f>
        <v/>
      </c>
      <c r="CF52" s="353" t="str">
        <f>IF($B52=0,"",SUMIFS(INPUT_DATA!AF:AF,INPUT_DATA!$A:$A,$B52,INPUT_DATA!$C:$C,"D"))</f>
        <v/>
      </c>
      <c r="CG52" s="353" t="str">
        <f>IF($B52=0,"",SUMIFS(INPUT_DATA!AG:AG,INPUT_DATA!$A:$A,$B52,INPUT_DATA!$C:$C,"D"))</f>
        <v/>
      </c>
      <c r="CH52" s="353" t="str">
        <f>IF($B52=0,"",SUMIFS(INPUT_DATA!AH:AH,INPUT_DATA!$A:$A,$B52,INPUT_DATA!$C:$C,"D"))</f>
        <v/>
      </c>
      <c r="CI52" s="153" t="str">
        <f>IF($B52=0,"",SUMIFS(INPUT_DATA!AI:AI,INPUT_DATA!$A:$A,$B52,INPUT_DATA!$C:$C,"D"))</f>
        <v/>
      </c>
      <c r="CJ52" s="153" t="str">
        <f>IF($B52=0,"",SUMIFS(INPUT_DATA!AJ:AJ,INPUT_DATA!$A:$A,$B52,INPUT_DATA!$C:$C,"D"))</f>
        <v/>
      </c>
      <c r="CK52" s="153" t="str">
        <f>IF($B52=0,"",SUMIFS(INPUT_DATA!AK:AK,INPUT_DATA!$A:$A,$B52,INPUT_DATA!$C:$C,"D"))</f>
        <v/>
      </c>
      <c r="CL52" s="153" t="str">
        <f>IF($B52=0,"",SUMIFS(INPUT_DATA!AL:AL,INPUT_DATA!$A:$A,$B52,INPUT_DATA!$C:$C,"D"))</f>
        <v/>
      </c>
      <c r="CM52" s="153" t="str">
        <f>IF($B52=0,"",SUMIFS(INPUT_DATA!AM:AM,INPUT_DATA!$A:$A,$B52,INPUT_DATA!$C:$C,"D"))</f>
        <v/>
      </c>
      <c r="CN52" s="153" t="str">
        <f>IF($B52=0,"",SUMIFS(INPUT_DATA!AN:AN,INPUT_DATA!$A:$A,$B52,INPUT_DATA!$C:$C,"D"))</f>
        <v/>
      </c>
      <c r="CO52" s="153" t="str">
        <f>IF($B52=0,"",SUMIFS(INPUT_DATA!AO:AO,INPUT_DATA!$A:$A,$B52,INPUT_DATA!$C:$C,"D"))</f>
        <v/>
      </c>
      <c r="CP52" s="153" t="str">
        <f>IF($B52=0,"",SUMIFS(INPUT_DATA!AP:AP,INPUT_DATA!$A:$A,$B52,INPUT_DATA!$C:$C,"D"))</f>
        <v/>
      </c>
      <c r="CQ52" s="153" t="str">
        <f>IF($B52=0,"",SUMIFS(INPUT_DATA!AQ:AQ,INPUT_DATA!$A:$A,$B52,INPUT_DATA!$C:$C,"D"))</f>
        <v/>
      </c>
      <c r="CR52" s="750" t="str">
        <f t="shared" si="32"/>
        <v/>
      </c>
      <c r="CS52" s="750" t="str">
        <f t="shared" si="33"/>
        <v/>
      </c>
      <c r="CT52" s="750" t="str">
        <f t="shared" si="34"/>
        <v/>
      </c>
      <c r="CU52" s="739" t="str">
        <f>IF($B52=0,"",SUMIFS(INPUT_DATA!AR:AR,INPUT_DATA!$A:$A,$B52,INPUT_DATA!$C:$C,"D"))</f>
        <v/>
      </c>
      <c r="CV52" s="739" t="str">
        <f>IF($B52=0,"",SUMIFS(INPUT_DATA!AS:AS,INPUT_DATA!$A:$A,$B52,INPUT_DATA!$C:$C,"D"))</f>
        <v/>
      </c>
      <c r="CW52" s="739" t="str">
        <f>IF($B52=0,"",SUMIFS(INPUT_DATA!AT:AT,INPUT_DATA!$A:$A,$B52,INPUT_DATA!$C:$C,"D"))</f>
        <v/>
      </c>
      <c r="CX52" s="739" t="str">
        <f t="shared" si="35"/>
        <v/>
      </c>
      <c r="CY52" s="750" t="str">
        <f t="shared" si="36"/>
        <v/>
      </c>
      <c r="CZ52" s="761" t="str">
        <f t="shared" si="37"/>
        <v/>
      </c>
      <c r="DA52" s="150"/>
    </row>
    <row r="53" spans="1:105" ht="13" x14ac:dyDescent="0.25">
      <c r="A53" s="172">
        <f t="shared" si="40"/>
        <v>-6</v>
      </c>
      <c r="B53" s="733">
        <f>INPUT_DATA!BQ40</f>
        <v>0</v>
      </c>
      <c r="C53" s="738" t="str">
        <f>IF($B53=0,"",SUMIFS(INPUT_DATA!D:D,INPUT_DATA!$A:$A,$B53,INPUT_DATA!$C:$C,"S"))</f>
        <v/>
      </c>
      <c r="D53" s="739" t="str">
        <f>IF($B53=0,"",SUMIFS(INPUT_DATA!E:E,INPUT_DATA!$A:$A,$B53,INPUT_DATA!$C:$C,"S"))</f>
        <v/>
      </c>
      <c r="E53" s="740" t="str">
        <f>IF($B53=0,"",SUMIFS(INPUT_DATA!F:F,INPUT_DATA!$A:$A,$B53,INPUT_DATA!$C:$C,"S"))</f>
        <v/>
      </c>
      <c r="F53" s="740" t="str">
        <f>IF($B53=0,"",SUMIFS(INPUT_DATA!G:G,INPUT_DATA!$A:$A,$B53,INPUT_DATA!$C:$C,"S"))</f>
        <v/>
      </c>
      <c r="G53" s="740" t="str">
        <f>IF($B53=0,"",SUMIFS(INPUT_DATA!H:H,INPUT_DATA!$A:$A,$B53,INPUT_DATA!$C:$C,"S"))</f>
        <v/>
      </c>
      <c r="H53" s="740" t="str">
        <f>IF($B53=0,"",SUMIFS(INPUT_DATA!I:I,INPUT_DATA!$A:$A,$B53,INPUT_DATA!$C:$C,"S"))</f>
        <v/>
      </c>
      <c r="I53" s="740" t="str">
        <f>IF($B53=0,"",SUMIFS(INPUT_DATA!J:J,INPUT_DATA!$A:$A,$B53,INPUT_DATA!$C:$C,"S"))</f>
        <v/>
      </c>
      <c r="J53" s="740" t="str">
        <f>IF($B53=0,"",SUMIFS(INPUT_DATA!K:K,INPUT_DATA!$A:$A,$B53,INPUT_DATA!$C:$C,"S"))</f>
        <v/>
      </c>
      <c r="K53" s="740" t="str">
        <f>IF($B53=0,"",SUMIFS(INPUT_DATA!L:L,INPUT_DATA!$A:$A,$B53,INPUT_DATA!$C:$C,"S"))</f>
        <v/>
      </c>
      <c r="L53" s="740" t="str">
        <f>IF($B53=0,"",SUMIFS(INPUT_DATA!M:M,INPUT_DATA!$A:$A,$B53,INPUT_DATA!$C:$C,"S"))</f>
        <v/>
      </c>
      <c r="M53" s="740" t="str">
        <f>IF($B53=0,"",SUMIFS(INPUT_DATA!N:N,INPUT_DATA!$A:$A,$B53,INPUT_DATA!$C:$C,"S"))</f>
        <v/>
      </c>
      <c r="N53" s="740" t="str">
        <f>IF($B53=0,"",SUMIFS(INPUT_DATA!O:O,INPUT_DATA!$A:$A,$B53,INPUT_DATA!$C:$C,"S"))</f>
        <v/>
      </c>
      <c r="O53" s="741" t="str">
        <f t="shared" si="38"/>
        <v/>
      </c>
      <c r="P53" s="742" t="str">
        <f>IF($B53=0,"",SUMIFS(INPUT_DATA!P:P,INPUT_DATA!$A:$A,$B53,INPUT_DATA!$C:$C,"S"))</f>
        <v/>
      </c>
      <c r="Q53" s="742" t="str">
        <f t="shared" si="39"/>
        <v/>
      </c>
      <c r="R53" s="748" t="str">
        <f>IF($B53=0,"",SUMIFS(INPUT_DATA!Q:Q,INPUT_DATA!$A:$A,$B53,INPUT_DATA!$C:$C,"S"))</f>
        <v/>
      </c>
      <c r="S53" s="748" t="str">
        <f>IF($B53=0,"",SUMIFS(INPUT_DATA!R:R,INPUT_DATA!$A:$A,$B53,INPUT_DATA!$C:$C,"S"))</f>
        <v/>
      </c>
      <c r="T53" s="748" t="str">
        <f>IF($B53=0,"",SUMIFS(INPUT_DATA!S:S,INPUT_DATA!$A:$A,$B53,INPUT_DATA!$C:$C,"S"))</f>
        <v/>
      </c>
      <c r="U53" s="313" t="str">
        <f>IF($B53=0,"",SUMIFS(INPUT_DATA!T:T,INPUT_DATA!$A:$A,$B53,INPUT_DATA!$C:$C,"S"))</f>
        <v/>
      </c>
      <c r="V53" s="313" t="str">
        <f>IF($B53=0,"",SUMIFS(INPUT_DATA!U:U,INPUT_DATA!$A:$A,$B53,INPUT_DATA!$C:$C,"S"))</f>
        <v/>
      </c>
      <c r="W53" s="313" t="str">
        <f>IF($B53=0,"",SUMIFS(INPUT_DATA!V:V,INPUT_DATA!$A:$A,$B53,INPUT_DATA!$C:$C,"S"))</f>
        <v/>
      </c>
      <c r="X53" s="313" t="str">
        <f>IF($B53=0,"",SUMIFS(INPUT_DATA!W:W,INPUT_DATA!$A:$A,$B53,INPUT_DATA!$C:$C,"S"))</f>
        <v/>
      </c>
      <c r="Y53" s="313" t="str">
        <f>IF($B53=0,"",SUMIFS(INPUT_DATA!X:X,INPUT_DATA!$A:$A,$B53,INPUT_DATA!$C:$C,"S"))</f>
        <v/>
      </c>
      <c r="Z53" s="313" t="str">
        <f>IF($B53=0,"",SUMIFS(INPUT_DATA!Y:Y,INPUT_DATA!$A:$A,$B53,INPUT_DATA!$C:$C,"S"))</f>
        <v/>
      </c>
      <c r="AA53" s="313" t="str">
        <f>IF($B53=0,"",SUMIFS(INPUT_DATA!Z:Z,INPUT_DATA!$A:$A,$B53,INPUT_DATA!$C:$C,"S"))</f>
        <v/>
      </c>
      <c r="AB53" s="313" t="str">
        <f>IF($B53=0,"",SUMIFS(INPUT_DATA!AA:AA,INPUT_DATA!$A:$A,$B53,INPUT_DATA!$C:$C,"S"))</f>
        <v/>
      </c>
      <c r="AC53" s="313" t="str">
        <f>IF($B53=0,"",SUMIFS(INPUT_DATA!AB:AB,INPUT_DATA!$A:$A,$B53,INPUT_DATA!$C:$C,"S"))</f>
        <v/>
      </c>
      <c r="AD53" s="313" t="str">
        <f>IF($B53=0,"",SUMIFS(INPUT_DATA!AC:AC,INPUT_DATA!$A:$A,$B53,INPUT_DATA!$C:$C,"S"))</f>
        <v/>
      </c>
      <c r="AE53" s="313" t="str">
        <f>IF($B53=0,"",SUMIFS(INPUT_DATA!AD:AD,INPUT_DATA!$A:$A,$B53,INPUT_DATA!$C:$C,"S"))</f>
        <v/>
      </c>
      <c r="AF53" s="313" t="str">
        <f>IF($B53=0,"",SUMIFS(INPUT_DATA!AE:AE,INPUT_DATA!$A:$A,$B53,INPUT_DATA!$C:$C,"S"))</f>
        <v/>
      </c>
      <c r="AG53" s="313" t="str">
        <f>IF($B53=0,"",SUMIFS(INPUT_DATA!AF:AF,INPUT_DATA!$A:$A,$B53,INPUT_DATA!$C:$C,"S"))</f>
        <v/>
      </c>
      <c r="AH53" s="313" t="str">
        <f>IF($B53=0,"",SUMIFS(INPUT_DATA!AG:AG,INPUT_DATA!$A:$A,$B53,INPUT_DATA!$C:$C,"S"))</f>
        <v/>
      </c>
      <c r="AI53" s="313" t="str">
        <f>IF($B53=0,"",SUMIFS(INPUT_DATA!AH:AH,INPUT_DATA!$A:$A,$B53,INPUT_DATA!$C:$C,"S"))</f>
        <v/>
      </c>
      <c r="AJ53" s="313" t="str">
        <f>IF($B53=0,"",SUMIFS(INPUT_DATA!AI:AI,INPUT_DATA!$A:$A,$B53,INPUT_DATA!$C:$C,"S"))</f>
        <v/>
      </c>
      <c r="AK53" s="313" t="str">
        <f>IF($B53=0,"",SUMIFS(INPUT_DATA!AJ:AJ,INPUT_DATA!$A:$A,$B53,INPUT_DATA!$C:$C,"S"))</f>
        <v/>
      </c>
      <c r="AL53" s="313" t="str">
        <f>IF($B53=0,"",SUMIFS(INPUT_DATA!AK:AK,INPUT_DATA!$A:$A,$B53,INPUT_DATA!$C:$C,"S"))</f>
        <v/>
      </c>
      <c r="AM53" s="313" t="str">
        <f>IF($B53=0,"",SUMIFS(INPUT_DATA!AL:AL,INPUT_DATA!$A:$A,$B53,INPUT_DATA!$C:$C,"S"))</f>
        <v/>
      </c>
      <c r="AN53" s="313" t="str">
        <f>IF($B53=0,"",SUMIFS(INPUT_DATA!AM:AM,INPUT_DATA!$A:$A,$B53,INPUT_DATA!$C:$C,"S"))</f>
        <v/>
      </c>
      <c r="AO53" s="313" t="str">
        <f>IF($B53=0,"",SUMIFS(INPUT_DATA!AN:AN,INPUT_DATA!$A:$A,$B53,INPUT_DATA!$C:$C,"S"))</f>
        <v/>
      </c>
      <c r="AP53" s="313" t="str">
        <f>IF($B53=0,"",SUMIFS(INPUT_DATA!AO:AO,INPUT_DATA!$A:$A,$B53,INPUT_DATA!$C:$C,"S"))</f>
        <v/>
      </c>
      <c r="AQ53" s="313" t="str">
        <f>IF($B53=0,"",SUMIFS(INPUT_DATA!AP:AP,INPUT_DATA!$A:$A,$B53,INPUT_DATA!$C:$C,"S"))</f>
        <v/>
      </c>
      <c r="AR53" s="313" t="str">
        <f>IF($B53=0,"",SUMIFS(INPUT_DATA!AQ:AQ,INPUT_DATA!$A:$A,$B53,INPUT_DATA!$C:$C,"S"))</f>
        <v/>
      </c>
      <c r="AS53" s="749" t="str">
        <f t="shared" si="29"/>
        <v/>
      </c>
      <c r="AT53" s="750" t="str">
        <f t="shared" si="30"/>
        <v/>
      </c>
      <c r="AU53" s="751" t="str">
        <f t="shared" si="31"/>
        <v/>
      </c>
      <c r="AV53" s="749" t="str">
        <f>IF($B53=0,"",SUMIFS(INPUT_DATA!AR:AR,INPUT_DATA!$A:$A,$B53,INPUT_DATA!$C:$C,"S"))</f>
        <v/>
      </c>
      <c r="AW53" s="750" t="str">
        <f>IF($B53=0,"",SUMIFS(INPUT_DATA!AS:AS,INPUT_DATA!$A:$A,$B53,INPUT_DATA!$C:$C,"S"))</f>
        <v/>
      </c>
      <c r="AX53" s="751" t="str">
        <f>IF($B53=0,"",SUMIFS(INPUT_DATA!AT:AT,INPUT_DATA!$A:$A,$B53,INPUT_DATA!$C:$C,"S"))</f>
        <v/>
      </c>
      <c r="AY53" s="749" t="str">
        <f t="shared" si="15"/>
        <v/>
      </c>
      <c r="AZ53" s="750" t="str">
        <f t="shared" si="16"/>
        <v/>
      </c>
      <c r="BA53" s="751" t="str">
        <f t="shared" si="17"/>
        <v/>
      </c>
      <c r="BB53" s="150"/>
      <c r="BC53" s="738" t="str">
        <f>IF($B53=0,"",SUMIFS(INPUT_DATA!D:D,INPUT_DATA!$A:$A,$B53,INPUT_DATA!$C:$C,"D"))</f>
        <v/>
      </c>
      <c r="BD53" s="312" t="str">
        <f>IF($B53=0,"",SUMIFS(INPUT_DATA!F:F,INPUT_DATA!$A:$A,$B53,INPUT_DATA!$C:$C,"D"))</f>
        <v/>
      </c>
      <c r="BE53" s="312" t="str">
        <f>IF($B53=0,"",SUMIFS(INPUT_DATA!G:G,INPUT_DATA!$A:$A,$B53,INPUT_DATA!$C:$C,"D"))</f>
        <v/>
      </c>
      <c r="BF53" s="312" t="str">
        <f>IF($B53=0,"",SUMIFS(INPUT_DATA!H:H,INPUT_DATA!$A:$A,$B53,INPUT_DATA!$C:$C,"D"))</f>
        <v/>
      </c>
      <c r="BG53" s="312" t="str">
        <f>IF($B53=0,"",SUMIFS(INPUT_DATA!I:I,INPUT_DATA!$A:$A,$B53,INPUT_DATA!$C:$C,"D"))</f>
        <v/>
      </c>
      <c r="BH53" s="312" t="str">
        <f>IF($B53=0,"",SUMIFS(INPUT_DATA!J:J,INPUT_DATA!$A:$A,$B53,INPUT_DATA!$C:$C,"D"))</f>
        <v/>
      </c>
      <c r="BI53" s="312" t="str">
        <f>IF($B53=0,"",SUMIFS(INPUT_DATA!K:K,INPUT_DATA!$A:$A,$B53,INPUT_DATA!$C:$C,"D"))</f>
        <v/>
      </c>
      <c r="BJ53" s="312" t="str">
        <f>IF($B53=0,"",SUMIFS(INPUT_DATA!L:L,INPUT_DATA!$A:$A,$B53,INPUT_DATA!$C:$C,"D"))</f>
        <v/>
      </c>
      <c r="BK53" s="312" t="str">
        <f>IF($B53=0,"",SUMIFS(INPUT_DATA!M:M,INPUT_DATA!$A:$A,$B53,INPUT_DATA!$C:$C,"D"))</f>
        <v/>
      </c>
      <c r="BL53" s="312" t="str">
        <f>IF($B53=0,"",SUMIFS(INPUT_DATA!N:N,INPUT_DATA!$A:$A,$B53,INPUT_DATA!$C:$C,"D"))</f>
        <v/>
      </c>
      <c r="BM53" s="312" t="str">
        <f>IF($B53=0,"",SUMIFS(INPUT_DATA!O:O,INPUT_DATA!$A:$A,$B53,INPUT_DATA!$C:$C,"D"))</f>
        <v/>
      </c>
      <c r="BN53" s="754" t="str">
        <f t="shared" si="18"/>
        <v/>
      </c>
      <c r="BO53" s="754" t="str">
        <f>IF($B53=0,"",SUMIFS(INPUT_DATA!O:O,INPUT_DATA!$A:$A,$B53,INPUT_DATA!$C:$C,"D"))</f>
        <v/>
      </c>
      <c r="BP53" s="754" t="str">
        <f t="shared" si="19"/>
        <v/>
      </c>
      <c r="BQ53" s="738" t="str">
        <f>IF($B53=0,"",SUMIFS(INPUT_DATA!Q:Q,INPUT_DATA!$A:$A,$B53,INPUT_DATA!$C:$C,"D"))</f>
        <v/>
      </c>
      <c r="BR53" s="760" t="str">
        <f>IF($B53=0,"",SUMIFS(INPUT_DATA!R:R,INPUT_DATA!$A:$A,$B53,INPUT_DATA!$C:$C,"D"))</f>
        <v/>
      </c>
      <c r="BS53" s="760" t="str">
        <f>IF($B53=0,"",SUMIFS(INPUT_DATA!S:S,INPUT_DATA!$A:$A,$B53,INPUT_DATA!$C:$C,"D"))</f>
        <v/>
      </c>
      <c r="BT53" s="312" t="str">
        <f>IF($B53=0,"",SUMIFS(INPUT_DATA!T:T,INPUT_DATA!$A:$A,$B53,INPUT_DATA!$C:$C,"D"))</f>
        <v/>
      </c>
      <c r="BU53" s="312" t="str">
        <f>IF($B53=0,"",SUMIFS(INPUT_DATA!U:U,INPUT_DATA!$A:$A,$B53,INPUT_DATA!$C:$C,"D"))</f>
        <v/>
      </c>
      <c r="BV53" s="312" t="str">
        <f>IF($B53=0,"",SUMIFS(INPUT_DATA!V:V,INPUT_DATA!$A:$A,$B53,INPUT_DATA!$C:$C,"D"))</f>
        <v/>
      </c>
      <c r="BW53" s="312" t="str">
        <f>IF($B53=0,"",SUMIFS(INPUT_DATA!W:W,INPUT_DATA!$A:$A,$B53,INPUT_DATA!$C:$C,"D"))</f>
        <v/>
      </c>
      <c r="BX53" s="312" t="str">
        <f>IF($B53=0,"",SUMIFS(INPUT_DATA!X:X,INPUT_DATA!$A:$A,$B53,INPUT_DATA!$C:$C,"D"))</f>
        <v/>
      </c>
      <c r="BY53" s="312" t="str">
        <f>IF($B53=0,"",SUMIFS(INPUT_DATA!Y:Y,INPUT_DATA!$A:$A,$B53,INPUT_DATA!$C:$C,"D"))</f>
        <v/>
      </c>
      <c r="BZ53" s="353" t="str">
        <f>IF($B53=0,"",SUMIFS(INPUT_DATA!Z:Z,INPUT_DATA!$A:$A,$B53,INPUT_DATA!$C:$C,"D"))</f>
        <v/>
      </c>
      <c r="CA53" s="353" t="str">
        <f>IF($B53=0,"",SUMIFS(INPUT_DATA!AA:AA,INPUT_DATA!$A:$A,$B53,INPUT_DATA!$C:$C,"D"))</f>
        <v/>
      </c>
      <c r="CB53" s="353" t="str">
        <f>IF($B53=0,"",SUMIFS(INPUT_DATA!AB:AB,INPUT_DATA!$A:$A,$B53,INPUT_DATA!$C:$C,"D"))</f>
        <v/>
      </c>
      <c r="CC53" s="312" t="str">
        <f>IF($B53=0,"",SUMIFS(INPUT_DATA!AC:AC,INPUT_DATA!$A:$A,$B53,INPUT_DATA!$C:$C,"D"))</f>
        <v/>
      </c>
      <c r="CD53" s="312" t="str">
        <f>IF($B53=0,"",SUMIFS(INPUT_DATA!AD:AD,INPUT_DATA!$A:$A,$B53,INPUT_DATA!$C:$C,"D"))</f>
        <v/>
      </c>
      <c r="CE53" s="312" t="str">
        <f>IF($B53=0,"",SUMIFS(INPUT_DATA!AE:AE,INPUT_DATA!$A:$A,$B53,INPUT_DATA!$C:$C,"D"))</f>
        <v/>
      </c>
      <c r="CF53" s="353" t="str">
        <f>IF($B53=0,"",SUMIFS(INPUT_DATA!AF:AF,INPUT_DATA!$A:$A,$B53,INPUT_DATA!$C:$C,"D"))</f>
        <v/>
      </c>
      <c r="CG53" s="353" t="str">
        <f>IF($B53=0,"",SUMIFS(INPUT_DATA!AG:AG,INPUT_DATA!$A:$A,$B53,INPUT_DATA!$C:$C,"D"))</f>
        <v/>
      </c>
      <c r="CH53" s="353" t="str">
        <f>IF($B53=0,"",SUMIFS(INPUT_DATA!AH:AH,INPUT_DATA!$A:$A,$B53,INPUT_DATA!$C:$C,"D"))</f>
        <v/>
      </c>
      <c r="CI53" s="153" t="str">
        <f>IF($B53=0,"",SUMIFS(INPUT_DATA!AI:AI,INPUT_DATA!$A:$A,$B53,INPUT_DATA!$C:$C,"D"))</f>
        <v/>
      </c>
      <c r="CJ53" s="153" t="str">
        <f>IF($B53=0,"",SUMIFS(INPUT_DATA!AJ:AJ,INPUT_DATA!$A:$A,$B53,INPUT_DATA!$C:$C,"D"))</f>
        <v/>
      </c>
      <c r="CK53" s="153" t="str">
        <f>IF($B53=0,"",SUMIFS(INPUT_DATA!AK:AK,INPUT_DATA!$A:$A,$B53,INPUT_DATA!$C:$C,"D"))</f>
        <v/>
      </c>
      <c r="CL53" s="153" t="str">
        <f>IF($B53=0,"",SUMIFS(INPUT_DATA!AL:AL,INPUT_DATA!$A:$A,$B53,INPUT_DATA!$C:$C,"D"))</f>
        <v/>
      </c>
      <c r="CM53" s="153" t="str">
        <f>IF($B53=0,"",SUMIFS(INPUT_DATA!AM:AM,INPUT_DATA!$A:$A,$B53,INPUT_DATA!$C:$C,"D"))</f>
        <v/>
      </c>
      <c r="CN53" s="153" t="str">
        <f>IF($B53=0,"",SUMIFS(INPUT_DATA!AN:AN,INPUT_DATA!$A:$A,$B53,INPUT_DATA!$C:$C,"D"))</f>
        <v/>
      </c>
      <c r="CO53" s="153" t="str">
        <f>IF($B53=0,"",SUMIFS(INPUT_DATA!AO:AO,INPUT_DATA!$A:$A,$B53,INPUT_DATA!$C:$C,"D"))</f>
        <v/>
      </c>
      <c r="CP53" s="153" t="str">
        <f>IF($B53=0,"",SUMIFS(INPUT_DATA!AP:AP,INPUT_DATA!$A:$A,$B53,INPUT_DATA!$C:$C,"D"))</f>
        <v/>
      </c>
      <c r="CQ53" s="153" t="str">
        <f>IF($B53=0,"",SUMIFS(INPUT_DATA!AQ:AQ,INPUT_DATA!$A:$A,$B53,INPUT_DATA!$C:$C,"D"))</f>
        <v/>
      </c>
      <c r="CR53" s="750" t="str">
        <f t="shared" si="32"/>
        <v/>
      </c>
      <c r="CS53" s="750" t="str">
        <f t="shared" si="33"/>
        <v/>
      </c>
      <c r="CT53" s="750" t="str">
        <f t="shared" si="34"/>
        <v/>
      </c>
      <c r="CU53" s="739" t="str">
        <f>IF($B53=0,"",SUMIFS(INPUT_DATA!AR:AR,INPUT_DATA!$A:$A,$B53,INPUT_DATA!$C:$C,"D"))</f>
        <v/>
      </c>
      <c r="CV53" s="739" t="str">
        <f>IF($B53=0,"",SUMIFS(INPUT_DATA!AS:AS,INPUT_DATA!$A:$A,$B53,INPUT_DATA!$C:$C,"D"))</f>
        <v/>
      </c>
      <c r="CW53" s="739" t="str">
        <f>IF($B53=0,"",SUMIFS(INPUT_DATA!AT:AT,INPUT_DATA!$A:$A,$B53,INPUT_DATA!$C:$C,"D"))</f>
        <v/>
      </c>
      <c r="CX53" s="739" t="str">
        <f t="shared" si="35"/>
        <v/>
      </c>
      <c r="CY53" s="750" t="str">
        <f t="shared" si="36"/>
        <v/>
      </c>
      <c r="CZ53" s="761" t="str">
        <f t="shared" si="37"/>
        <v/>
      </c>
      <c r="DA53" s="150"/>
    </row>
    <row r="54" spans="1:105" ht="13" x14ac:dyDescent="0.25">
      <c r="A54" s="172">
        <f t="shared" si="40"/>
        <v>-7</v>
      </c>
      <c r="B54" s="733">
        <f>INPUT_DATA!BQ41</f>
        <v>0</v>
      </c>
      <c r="C54" s="738" t="str">
        <f>IF($B54=0,"",SUMIFS(INPUT_DATA!D:D,INPUT_DATA!$A:$A,$B54,INPUT_DATA!$C:$C,"S"))</f>
        <v/>
      </c>
      <c r="D54" s="739" t="str">
        <f>IF($B54=0,"",SUMIFS(INPUT_DATA!E:E,INPUT_DATA!$A:$A,$B54,INPUT_DATA!$C:$C,"S"))</f>
        <v/>
      </c>
      <c r="E54" s="740" t="str">
        <f>IF($B54=0,"",SUMIFS(INPUT_DATA!F:F,INPUT_DATA!$A:$A,$B54,INPUT_DATA!$C:$C,"S"))</f>
        <v/>
      </c>
      <c r="F54" s="740" t="str">
        <f>IF($B54=0,"",SUMIFS(INPUT_DATA!G:G,INPUT_DATA!$A:$A,$B54,INPUT_DATA!$C:$C,"S"))</f>
        <v/>
      </c>
      <c r="G54" s="740" t="str">
        <f>IF($B54=0,"",SUMIFS(INPUT_DATA!H:H,INPUT_DATA!$A:$A,$B54,INPUT_DATA!$C:$C,"S"))</f>
        <v/>
      </c>
      <c r="H54" s="740" t="str">
        <f>IF($B54=0,"",SUMIFS(INPUT_DATA!I:I,INPUT_DATA!$A:$A,$B54,INPUT_DATA!$C:$C,"S"))</f>
        <v/>
      </c>
      <c r="I54" s="740" t="str">
        <f>IF($B54=0,"",SUMIFS(INPUT_DATA!J:J,INPUT_DATA!$A:$A,$B54,INPUT_DATA!$C:$C,"S"))</f>
        <v/>
      </c>
      <c r="J54" s="740" t="str">
        <f>IF($B54=0,"",SUMIFS(INPUT_DATA!K:K,INPUT_DATA!$A:$A,$B54,INPUT_DATA!$C:$C,"S"))</f>
        <v/>
      </c>
      <c r="K54" s="740" t="str">
        <f>IF($B54=0,"",SUMIFS(INPUT_DATA!L:L,INPUT_DATA!$A:$A,$B54,INPUT_DATA!$C:$C,"S"))</f>
        <v/>
      </c>
      <c r="L54" s="740" t="str">
        <f>IF($B54=0,"",SUMIFS(INPUT_DATA!M:M,INPUT_DATA!$A:$A,$B54,INPUT_DATA!$C:$C,"S"))</f>
        <v/>
      </c>
      <c r="M54" s="740" t="str">
        <f>IF($B54=0,"",SUMIFS(INPUT_DATA!N:N,INPUT_DATA!$A:$A,$B54,INPUT_DATA!$C:$C,"S"))</f>
        <v/>
      </c>
      <c r="N54" s="740" t="str">
        <f>IF($B54=0,"",SUMIFS(INPUT_DATA!O:O,INPUT_DATA!$A:$A,$B54,INPUT_DATA!$C:$C,"S"))</f>
        <v/>
      </c>
      <c r="O54" s="741" t="str">
        <f t="shared" si="38"/>
        <v/>
      </c>
      <c r="P54" s="742" t="str">
        <f>IF($B54=0,"",SUMIFS(INPUT_DATA!P:P,INPUT_DATA!$A:$A,$B54,INPUT_DATA!$C:$C,"S"))</f>
        <v/>
      </c>
      <c r="Q54" s="742" t="str">
        <f t="shared" si="39"/>
        <v/>
      </c>
      <c r="R54" s="748" t="str">
        <f>IF($B54=0,"",SUMIFS(INPUT_DATA!Q:Q,INPUT_DATA!$A:$A,$B54,INPUT_DATA!$C:$C,"S"))</f>
        <v/>
      </c>
      <c r="S54" s="748" t="str">
        <f>IF($B54=0,"",SUMIFS(INPUT_DATA!R:R,INPUT_DATA!$A:$A,$B54,INPUT_DATA!$C:$C,"S"))</f>
        <v/>
      </c>
      <c r="T54" s="748" t="str">
        <f>IF($B54=0,"",SUMIFS(INPUT_DATA!S:S,INPUT_DATA!$A:$A,$B54,INPUT_DATA!$C:$C,"S"))</f>
        <v/>
      </c>
      <c r="U54" s="313" t="str">
        <f>IF($B54=0,"",SUMIFS(INPUT_DATA!T:T,INPUT_DATA!$A:$A,$B54,INPUT_DATA!$C:$C,"S"))</f>
        <v/>
      </c>
      <c r="V54" s="313" t="str">
        <f>IF($B54=0,"",SUMIFS(INPUT_DATA!U:U,INPUT_DATA!$A:$A,$B54,INPUT_DATA!$C:$C,"S"))</f>
        <v/>
      </c>
      <c r="W54" s="313" t="str">
        <f>IF($B54=0,"",SUMIFS(INPUT_DATA!V:V,INPUT_DATA!$A:$A,$B54,INPUT_DATA!$C:$C,"S"))</f>
        <v/>
      </c>
      <c r="X54" s="313" t="str">
        <f>IF($B54=0,"",SUMIFS(INPUT_DATA!W:W,INPUT_DATA!$A:$A,$B54,INPUT_DATA!$C:$C,"S"))</f>
        <v/>
      </c>
      <c r="Y54" s="313" t="str">
        <f>IF($B54=0,"",SUMIFS(INPUT_DATA!X:X,INPUT_DATA!$A:$A,$B54,INPUT_DATA!$C:$C,"S"))</f>
        <v/>
      </c>
      <c r="Z54" s="313" t="str">
        <f>IF($B54=0,"",SUMIFS(INPUT_DATA!Y:Y,INPUT_DATA!$A:$A,$B54,INPUT_DATA!$C:$C,"S"))</f>
        <v/>
      </c>
      <c r="AA54" s="313" t="str">
        <f>IF($B54=0,"",SUMIFS(INPUT_DATA!Z:Z,INPUT_DATA!$A:$A,$B54,INPUT_DATA!$C:$C,"S"))</f>
        <v/>
      </c>
      <c r="AB54" s="313" t="str">
        <f>IF($B54=0,"",SUMIFS(INPUT_DATA!AA:AA,INPUT_DATA!$A:$A,$B54,INPUT_DATA!$C:$C,"S"))</f>
        <v/>
      </c>
      <c r="AC54" s="313" t="str">
        <f>IF($B54=0,"",SUMIFS(INPUT_DATA!AB:AB,INPUT_DATA!$A:$A,$B54,INPUT_DATA!$C:$C,"S"))</f>
        <v/>
      </c>
      <c r="AD54" s="313" t="str">
        <f>IF($B54=0,"",SUMIFS(INPUT_DATA!AC:AC,INPUT_DATA!$A:$A,$B54,INPUT_DATA!$C:$C,"S"))</f>
        <v/>
      </c>
      <c r="AE54" s="313" t="str">
        <f>IF($B54=0,"",SUMIFS(INPUT_DATA!AD:AD,INPUT_DATA!$A:$A,$B54,INPUT_DATA!$C:$C,"S"))</f>
        <v/>
      </c>
      <c r="AF54" s="313" t="str">
        <f>IF($B54=0,"",SUMIFS(INPUT_DATA!AE:AE,INPUT_DATA!$A:$A,$B54,INPUT_DATA!$C:$C,"S"))</f>
        <v/>
      </c>
      <c r="AG54" s="313" t="str">
        <f>IF($B54=0,"",SUMIFS(INPUT_DATA!AF:AF,INPUT_DATA!$A:$A,$B54,INPUT_DATA!$C:$C,"S"))</f>
        <v/>
      </c>
      <c r="AH54" s="313" t="str">
        <f>IF($B54=0,"",SUMIFS(INPUT_DATA!AG:AG,INPUT_DATA!$A:$A,$B54,INPUT_DATA!$C:$C,"S"))</f>
        <v/>
      </c>
      <c r="AI54" s="313" t="str">
        <f>IF($B54=0,"",SUMIFS(INPUT_DATA!AH:AH,INPUT_DATA!$A:$A,$B54,INPUT_DATA!$C:$C,"S"))</f>
        <v/>
      </c>
      <c r="AJ54" s="313" t="str">
        <f>IF($B54=0,"",SUMIFS(INPUT_DATA!AI:AI,INPUT_DATA!$A:$A,$B54,INPUT_DATA!$C:$C,"S"))</f>
        <v/>
      </c>
      <c r="AK54" s="313" t="str">
        <f>IF($B54=0,"",SUMIFS(INPUT_DATA!AJ:AJ,INPUT_DATA!$A:$A,$B54,INPUT_DATA!$C:$C,"S"))</f>
        <v/>
      </c>
      <c r="AL54" s="313" t="str">
        <f>IF($B54=0,"",SUMIFS(INPUT_DATA!AK:AK,INPUT_DATA!$A:$A,$B54,INPUT_DATA!$C:$C,"S"))</f>
        <v/>
      </c>
      <c r="AM54" s="313" t="str">
        <f>IF($B54=0,"",SUMIFS(INPUT_DATA!AL:AL,INPUT_DATA!$A:$A,$B54,INPUT_DATA!$C:$C,"S"))</f>
        <v/>
      </c>
      <c r="AN54" s="313" t="str">
        <f>IF($B54=0,"",SUMIFS(INPUT_DATA!AM:AM,INPUT_DATA!$A:$A,$B54,INPUT_DATA!$C:$C,"S"))</f>
        <v/>
      </c>
      <c r="AO54" s="313" t="str">
        <f>IF($B54=0,"",SUMIFS(INPUT_DATA!AN:AN,INPUT_DATA!$A:$A,$B54,INPUT_DATA!$C:$C,"S"))</f>
        <v/>
      </c>
      <c r="AP54" s="313" t="str">
        <f>IF($B54=0,"",SUMIFS(INPUT_DATA!AO:AO,INPUT_DATA!$A:$A,$B54,INPUT_DATA!$C:$C,"S"))</f>
        <v/>
      </c>
      <c r="AQ54" s="313" t="str">
        <f>IF($B54=0,"",SUMIFS(INPUT_DATA!AP:AP,INPUT_DATA!$A:$A,$B54,INPUT_DATA!$C:$C,"S"))</f>
        <v/>
      </c>
      <c r="AR54" s="313" t="str">
        <f>IF($B54=0,"",SUMIFS(INPUT_DATA!AQ:AQ,INPUT_DATA!$A:$A,$B54,INPUT_DATA!$C:$C,"S"))</f>
        <v/>
      </c>
      <c r="AS54" s="749" t="str">
        <f t="shared" si="29"/>
        <v/>
      </c>
      <c r="AT54" s="750" t="str">
        <f t="shared" si="30"/>
        <v/>
      </c>
      <c r="AU54" s="751" t="str">
        <f t="shared" si="31"/>
        <v/>
      </c>
      <c r="AV54" s="749" t="str">
        <f>IF($B54=0,"",SUMIFS(INPUT_DATA!AR:AR,INPUT_DATA!$A:$A,$B54,INPUT_DATA!$C:$C,"S"))</f>
        <v/>
      </c>
      <c r="AW54" s="750" t="str">
        <f>IF($B54=0,"",SUMIFS(INPUT_DATA!AS:AS,INPUT_DATA!$A:$A,$B54,INPUT_DATA!$C:$C,"S"))</f>
        <v/>
      </c>
      <c r="AX54" s="751" t="str">
        <f>IF($B54=0,"",SUMIFS(INPUT_DATA!AT:AT,INPUT_DATA!$A:$A,$B54,INPUT_DATA!$C:$C,"S"))</f>
        <v/>
      </c>
      <c r="AY54" s="749" t="str">
        <f t="shared" si="15"/>
        <v/>
      </c>
      <c r="AZ54" s="750" t="str">
        <f t="shared" si="16"/>
        <v/>
      </c>
      <c r="BA54" s="751" t="str">
        <f t="shared" si="17"/>
        <v/>
      </c>
      <c r="BB54" s="150"/>
      <c r="BC54" s="738" t="str">
        <f>IF($B54=0,"",SUMIFS(INPUT_DATA!D:D,INPUT_DATA!$A:$A,$B54,INPUT_DATA!$C:$C,"D"))</f>
        <v/>
      </c>
      <c r="BD54" s="312" t="str">
        <f>IF($B54=0,"",SUMIFS(INPUT_DATA!F:F,INPUT_DATA!$A:$A,$B54,INPUT_DATA!$C:$C,"D"))</f>
        <v/>
      </c>
      <c r="BE54" s="312" t="str">
        <f>IF($B54=0,"",SUMIFS(INPUT_DATA!G:G,INPUT_DATA!$A:$A,$B54,INPUT_DATA!$C:$C,"D"))</f>
        <v/>
      </c>
      <c r="BF54" s="312" t="str">
        <f>IF($B54=0,"",SUMIFS(INPUT_DATA!H:H,INPUT_DATA!$A:$A,$B54,INPUT_DATA!$C:$C,"D"))</f>
        <v/>
      </c>
      <c r="BG54" s="312" t="str">
        <f>IF($B54=0,"",SUMIFS(INPUT_DATA!I:I,INPUT_DATA!$A:$A,$B54,INPUT_DATA!$C:$C,"D"))</f>
        <v/>
      </c>
      <c r="BH54" s="312" t="str">
        <f>IF($B54=0,"",SUMIFS(INPUT_DATA!J:J,INPUT_DATA!$A:$A,$B54,INPUT_DATA!$C:$C,"D"))</f>
        <v/>
      </c>
      <c r="BI54" s="312" t="str">
        <f>IF($B54=0,"",SUMIFS(INPUT_DATA!K:K,INPUT_DATA!$A:$A,$B54,INPUT_DATA!$C:$C,"D"))</f>
        <v/>
      </c>
      <c r="BJ54" s="312" t="str">
        <f>IF($B54=0,"",SUMIFS(INPUT_DATA!L:L,INPUT_DATA!$A:$A,$B54,INPUT_DATA!$C:$C,"D"))</f>
        <v/>
      </c>
      <c r="BK54" s="312" t="str">
        <f>IF($B54=0,"",SUMIFS(INPUT_DATA!M:M,INPUT_DATA!$A:$A,$B54,INPUT_DATA!$C:$C,"D"))</f>
        <v/>
      </c>
      <c r="BL54" s="312" t="str">
        <f>IF($B54=0,"",SUMIFS(INPUT_DATA!N:N,INPUT_DATA!$A:$A,$B54,INPUT_DATA!$C:$C,"D"))</f>
        <v/>
      </c>
      <c r="BM54" s="312" t="str">
        <f>IF($B54=0,"",SUMIFS(INPUT_DATA!O:O,INPUT_DATA!$A:$A,$B54,INPUT_DATA!$C:$C,"D"))</f>
        <v/>
      </c>
      <c r="BN54" s="754" t="str">
        <f t="shared" si="18"/>
        <v/>
      </c>
      <c r="BO54" s="754" t="str">
        <f>IF($B54=0,"",SUMIFS(INPUT_DATA!O:O,INPUT_DATA!$A:$A,$B54,INPUT_DATA!$C:$C,"D"))</f>
        <v/>
      </c>
      <c r="BP54" s="754" t="str">
        <f t="shared" si="19"/>
        <v/>
      </c>
      <c r="BQ54" s="738" t="str">
        <f>IF($B54=0,"",SUMIFS(INPUT_DATA!Q:Q,INPUT_DATA!$A:$A,$B54,INPUT_DATA!$C:$C,"D"))</f>
        <v/>
      </c>
      <c r="BR54" s="760" t="str">
        <f>IF($B54=0,"",SUMIFS(INPUT_DATA!R:R,INPUT_DATA!$A:$A,$B54,INPUT_DATA!$C:$C,"D"))</f>
        <v/>
      </c>
      <c r="BS54" s="760" t="str">
        <f>IF($B54=0,"",SUMIFS(INPUT_DATA!S:S,INPUT_DATA!$A:$A,$B54,INPUT_DATA!$C:$C,"D"))</f>
        <v/>
      </c>
      <c r="BT54" s="312" t="str">
        <f>IF($B54=0,"",SUMIFS(INPUT_DATA!T:T,INPUT_DATA!$A:$A,$B54,INPUT_DATA!$C:$C,"D"))</f>
        <v/>
      </c>
      <c r="BU54" s="312" t="str">
        <f>IF($B54=0,"",SUMIFS(INPUT_DATA!U:U,INPUT_DATA!$A:$A,$B54,INPUT_DATA!$C:$C,"D"))</f>
        <v/>
      </c>
      <c r="BV54" s="312" t="str">
        <f>IF($B54=0,"",SUMIFS(INPUT_DATA!V:V,INPUT_DATA!$A:$A,$B54,INPUT_DATA!$C:$C,"D"))</f>
        <v/>
      </c>
      <c r="BW54" s="312" t="str">
        <f>IF($B54=0,"",SUMIFS(INPUT_DATA!W:W,INPUT_DATA!$A:$A,$B54,INPUT_DATA!$C:$C,"D"))</f>
        <v/>
      </c>
      <c r="BX54" s="312" t="str">
        <f>IF($B54=0,"",SUMIFS(INPUT_DATA!X:X,INPUT_DATA!$A:$A,$B54,INPUT_DATA!$C:$C,"D"))</f>
        <v/>
      </c>
      <c r="BY54" s="312" t="str">
        <f>IF($B54=0,"",SUMIFS(INPUT_DATA!Y:Y,INPUT_DATA!$A:$A,$B54,INPUT_DATA!$C:$C,"D"))</f>
        <v/>
      </c>
      <c r="BZ54" s="353" t="str">
        <f>IF($B54=0,"",SUMIFS(INPUT_DATA!Z:Z,INPUT_DATA!$A:$A,$B54,INPUT_DATA!$C:$C,"D"))</f>
        <v/>
      </c>
      <c r="CA54" s="353" t="str">
        <f>IF($B54=0,"",SUMIFS(INPUT_DATA!AA:AA,INPUT_DATA!$A:$A,$B54,INPUT_DATA!$C:$C,"D"))</f>
        <v/>
      </c>
      <c r="CB54" s="353" t="str">
        <f>IF($B54=0,"",SUMIFS(INPUT_DATA!AB:AB,INPUT_DATA!$A:$A,$B54,INPUT_DATA!$C:$C,"D"))</f>
        <v/>
      </c>
      <c r="CC54" s="312" t="str">
        <f>IF($B54=0,"",SUMIFS(INPUT_DATA!AC:AC,INPUT_DATA!$A:$A,$B54,INPUT_DATA!$C:$C,"D"))</f>
        <v/>
      </c>
      <c r="CD54" s="312" t="str">
        <f>IF($B54=0,"",SUMIFS(INPUT_DATA!AD:AD,INPUT_DATA!$A:$A,$B54,INPUT_DATA!$C:$C,"D"))</f>
        <v/>
      </c>
      <c r="CE54" s="312" t="str">
        <f>IF($B54=0,"",SUMIFS(INPUT_DATA!AE:AE,INPUT_DATA!$A:$A,$B54,INPUT_DATA!$C:$C,"D"))</f>
        <v/>
      </c>
      <c r="CF54" s="353" t="str">
        <f>IF($B54=0,"",SUMIFS(INPUT_DATA!AF:AF,INPUT_DATA!$A:$A,$B54,INPUT_DATA!$C:$C,"D"))</f>
        <v/>
      </c>
      <c r="CG54" s="353" t="str">
        <f>IF($B54=0,"",SUMIFS(INPUT_DATA!AG:AG,INPUT_DATA!$A:$A,$B54,INPUT_DATA!$C:$C,"D"))</f>
        <v/>
      </c>
      <c r="CH54" s="353" t="str">
        <f>IF($B54=0,"",SUMIFS(INPUT_DATA!AH:AH,INPUT_DATA!$A:$A,$B54,INPUT_DATA!$C:$C,"D"))</f>
        <v/>
      </c>
      <c r="CI54" s="153" t="str">
        <f>IF($B54=0,"",SUMIFS(INPUT_DATA!AI:AI,INPUT_DATA!$A:$A,$B54,INPUT_DATA!$C:$C,"D"))</f>
        <v/>
      </c>
      <c r="CJ54" s="153" t="str">
        <f>IF($B54=0,"",SUMIFS(INPUT_DATA!AJ:AJ,INPUT_DATA!$A:$A,$B54,INPUT_DATA!$C:$C,"D"))</f>
        <v/>
      </c>
      <c r="CK54" s="153" t="str">
        <f>IF($B54=0,"",SUMIFS(INPUT_DATA!AK:AK,INPUT_DATA!$A:$A,$B54,INPUT_DATA!$C:$C,"D"))</f>
        <v/>
      </c>
      <c r="CL54" s="153" t="str">
        <f>IF($B54=0,"",SUMIFS(INPUT_DATA!AL:AL,INPUT_DATA!$A:$A,$B54,INPUT_DATA!$C:$C,"D"))</f>
        <v/>
      </c>
      <c r="CM54" s="153" t="str">
        <f>IF($B54=0,"",SUMIFS(INPUT_DATA!AM:AM,INPUT_DATA!$A:$A,$B54,INPUT_DATA!$C:$C,"D"))</f>
        <v/>
      </c>
      <c r="CN54" s="153" t="str">
        <f>IF($B54=0,"",SUMIFS(INPUT_DATA!AN:AN,INPUT_DATA!$A:$A,$B54,INPUT_DATA!$C:$C,"D"))</f>
        <v/>
      </c>
      <c r="CO54" s="153" t="str">
        <f>IF($B54=0,"",SUMIFS(INPUT_DATA!AO:AO,INPUT_DATA!$A:$A,$B54,INPUT_DATA!$C:$C,"D"))</f>
        <v/>
      </c>
      <c r="CP54" s="153" t="str">
        <f>IF($B54=0,"",SUMIFS(INPUT_DATA!AP:AP,INPUT_DATA!$A:$A,$B54,INPUT_DATA!$C:$C,"D"))</f>
        <v/>
      </c>
      <c r="CQ54" s="153" t="str">
        <f>IF($B54=0,"",SUMIFS(INPUT_DATA!AQ:AQ,INPUT_DATA!$A:$A,$B54,INPUT_DATA!$C:$C,"D"))</f>
        <v/>
      </c>
      <c r="CR54" s="750" t="str">
        <f t="shared" si="32"/>
        <v/>
      </c>
      <c r="CS54" s="750" t="str">
        <f t="shared" si="33"/>
        <v/>
      </c>
      <c r="CT54" s="750" t="str">
        <f t="shared" si="34"/>
        <v/>
      </c>
      <c r="CU54" s="739" t="str">
        <f>IF($B54=0,"",SUMIFS(INPUT_DATA!AR:AR,INPUT_DATA!$A:$A,$B54,INPUT_DATA!$C:$C,"D"))</f>
        <v/>
      </c>
      <c r="CV54" s="739" t="str">
        <f>IF($B54=0,"",SUMIFS(INPUT_DATA!AS:AS,INPUT_DATA!$A:$A,$B54,INPUT_DATA!$C:$C,"D"))</f>
        <v/>
      </c>
      <c r="CW54" s="739" t="str">
        <f>IF($B54=0,"",SUMIFS(INPUT_DATA!AT:AT,INPUT_DATA!$A:$A,$B54,INPUT_DATA!$C:$C,"D"))</f>
        <v/>
      </c>
      <c r="CX54" s="739" t="str">
        <f t="shared" si="35"/>
        <v/>
      </c>
      <c r="CY54" s="750" t="str">
        <f t="shared" si="36"/>
        <v/>
      </c>
      <c r="CZ54" s="761" t="str">
        <f t="shared" si="37"/>
        <v/>
      </c>
      <c r="DA54" s="150"/>
    </row>
    <row r="55" spans="1:105" ht="13" x14ac:dyDescent="0.25">
      <c r="A55" s="172">
        <f t="shared" si="40"/>
        <v>-8</v>
      </c>
      <c r="B55" s="733">
        <f>INPUT_DATA!BQ42</f>
        <v>0</v>
      </c>
      <c r="C55" s="738" t="str">
        <f>IF($B55=0,"",SUMIFS(INPUT_DATA!D:D,INPUT_DATA!$A:$A,$B55,INPUT_DATA!$C:$C,"S"))</f>
        <v/>
      </c>
      <c r="D55" s="739" t="str">
        <f>IF($B55=0,"",SUMIFS(INPUT_DATA!E:E,INPUT_DATA!$A:$A,$B55,INPUT_DATA!$C:$C,"S"))</f>
        <v/>
      </c>
      <c r="E55" s="740" t="str">
        <f>IF($B55=0,"",SUMIFS(INPUT_DATA!F:F,INPUT_DATA!$A:$A,$B55,INPUT_DATA!$C:$C,"S"))</f>
        <v/>
      </c>
      <c r="F55" s="740" t="str">
        <f>IF($B55=0,"",SUMIFS(INPUT_DATA!G:G,INPUT_DATA!$A:$A,$B55,INPUT_DATA!$C:$C,"S"))</f>
        <v/>
      </c>
      <c r="G55" s="740" t="str">
        <f>IF($B55=0,"",SUMIFS(INPUT_DATA!H:H,INPUT_DATA!$A:$A,$B55,INPUT_DATA!$C:$C,"S"))</f>
        <v/>
      </c>
      <c r="H55" s="740" t="str">
        <f>IF($B55=0,"",SUMIFS(INPUT_DATA!I:I,INPUT_DATA!$A:$A,$B55,INPUT_DATA!$C:$C,"S"))</f>
        <v/>
      </c>
      <c r="I55" s="740" t="str">
        <f>IF($B55=0,"",SUMIFS(INPUT_DATA!J:J,INPUT_DATA!$A:$A,$B55,INPUT_DATA!$C:$C,"S"))</f>
        <v/>
      </c>
      <c r="J55" s="740" t="str">
        <f>IF($B55=0,"",SUMIFS(INPUT_DATA!K:K,INPUT_DATA!$A:$A,$B55,INPUT_DATA!$C:$C,"S"))</f>
        <v/>
      </c>
      <c r="K55" s="740" t="str">
        <f>IF($B55=0,"",SUMIFS(INPUT_DATA!L:L,INPUT_DATA!$A:$A,$B55,INPUT_DATA!$C:$C,"S"))</f>
        <v/>
      </c>
      <c r="L55" s="740" t="str">
        <f>IF($B55=0,"",SUMIFS(INPUT_DATA!M:M,INPUT_DATA!$A:$A,$B55,INPUT_DATA!$C:$C,"S"))</f>
        <v/>
      </c>
      <c r="M55" s="740" t="str">
        <f>IF($B55=0,"",SUMIFS(INPUT_DATA!N:N,INPUT_DATA!$A:$A,$B55,INPUT_DATA!$C:$C,"S"))</f>
        <v/>
      </c>
      <c r="N55" s="740" t="str">
        <f>IF($B55=0,"",SUMIFS(INPUT_DATA!O:O,INPUT_DATA!$A:$A,$B55,INPUT_DATA!$C:$C,"S"))</f>
        <v/>
      </c>
      <c r="O55" s="741" t="str">
        <f t="shared" si="38"/>
        <v/>
      </c>
      <c r="P55" s="742" t="str">
        <f>IF($B55=0,"",SUMIFS(INPUT_DATA!P:P,INPUT_DATA!$A:$A,$B55,INPUT_DATA!$C:$C,"S"))</f>
        <v/>
      </c>
      <c r="Q55" s="742" t="str">
        <f t="shared" si="39"/>
        <v/>
      </c>
      <c r="R55" s="748" t="str">
        <f>IF($B55=0,"",SUMIFS(INPUT_DATA!Q:Q,INPUT_DATA!$A:$A,$B55,INPUT_DATA!$C:$C,"S"))</f>
        <v/>
      </c>
      <c r="S55" s="748" t="str">
        <f>IF($B55=0,"",SUMIFS(INPUT_DATA!R:R,INPUT_DATA!$A:$A,$B55,INPUT_DATA!$C:$C,"S"))</f>
        <v/>
      </c>
      <c r="T55" s="748" t="str">
        <f>IF($B55=0,"",SUMIFS(INPUT_DATA!S:S,INPUT_DATA!$A:$A,$B55,INPUT_DATA!$C:$C,"S"))</f>
        <v/>
      </c>
      <c r="U55" s="313" t="str">
        <f>IF($B55=0,"",SUMIFS(INPUT_DATA!T:T,INPUT_DATA!$A:$A,$B55,INPUT_DATA!$C:$C,"S"))</f>
        <v/>
      </c>
      <c r="V55" s="313" t="str">
        <f>IF($B55=0,"",SUMIFS(INPUT_DATA!U:U,INPUT_DATA!$A:$A,$B55,INPUT_DATA!$C:$C,"S"))</f>
        <v/>
      </c>
      <c r="W55" s="313" t="str">
        <f>IF($B55=0,"",SUMIFS(INPUT_DATA!V:V,INPUT_DATA!$A:$A,$B55,INPUT_DATA!$C:$C,"S"))</f>
        <v/>
      </c>
      <c r="X55" s="313" t="str">
        <f>IF($B55=0,"",SUMIFS(INPUT_DATA!W:W,INPUT_DATA!$A:$A,$B55,INPUT_DATA!$C:$C,"S"))</f>
        <v/>
      </c>
      <c r="Y55" s="313" t="str">
        <f>IF($B55=0,"",SUMIFS(INPUT_DATA!X:X,INPUT_DATA!$A:$A,$B55,INPUT_DATA!$C:$C,"S"))</f>
        <v/>
      </c>
      <c r="Z55" s="313" t="str">
        <f>IF($B55=0,"",SUMIFS(INPUT_DATA!Y:Y,INPUT_DATA!$A:$A,$B55,INPUT_DATA!$C:$C,"S"))</f>
        <v/>
      </c>
      <c r="AA55" s="313" t="str">
        <f>IF($B55=0,"",SUMIFS(INPUT_DATA!Z:Z,INPUT_DATA!$A:$A,$B55,INPUT_DATA!$C:$C,"S"))</f>
        <v/>
      </c>
      <c r="AB55" s="313" t="str">
        <f>IF($B55=0,"",SUMIFS(INPUT_DATA!AA:AA,INPUT_DATA!$A:$A,$B55,INPUT_DATA!$C:$C,"S"))</f>
        <v/>
      </c>
      <c r="AC55" s="313" t="str">
        <f>IF($B55=0,"",SUMIFS(INPUT_DATA!AB:AB,INPUT_DATA!$A:$A,$B55,INPUT_DATA!$C:$C,"S"))</f>
        <v/>
      </c>
      <c r="AD55" s="313" t="str">
        <f>IF($B55=0,"",SUMIFS(INPUT_DATA!AC:AC,INPUT_DATA!$A:$A,$B55,INPUT_DATA!$C:$C,"S"))</f>
        <v/>
      </c>
      <c r="AE55" s="313" t="str">
        <f>IF($B55=0,"",SUMIFS(INPUT_DATA!AD:AD,INPUT_DATA!$A:$A,$B55,INPUT_DATA!$C:$C,"S"))</f>
        <v/>
      </c>
      <c r="AF55" s="313" t="str">
        <f>IF($B55=0,"",SUMIFS(INPUT_DATA!AE:AE,INPUT_DATA!$A:$A,$B55,INPUT_DATA!$C:$C,"S"))</f>
        <v/>
      </c>
      <c r="AG55" s="313" t="str">
        <f>IF($B55=0,"",SUMIFS(INPUT_DATA!AF:AF,INPUT_DATA!$A:$A,$B55,INPUT_DATA!$C:$C,"S"))</f>
        <v/>
      </c>
      <c r="AH55" s="313" t="str">
        <f>IF($B55=0,"",SUMIFS(INPUT_DATA!AG:AG,INPUT_DATA!$A:$A,$B55,INPUT_DATA!$C:$C,"S"))</f>
        <v/>
      </c>
      <c r="AI55" s="313" t="str">
        <f>IF($B55=0,"",SUMIFS(INPUT_DATA!AH:AH,INPUT_DATA!$A:$A,$B55,INPUT_DATA!$C:$C,"S"))</f>
        <v/>
      </c>
      <c r="AJ55" s="313" t="str">
        <f>IF($B55=0,"",SUMIFS(INPUT_DATA!AI:AI,INPUT_DATA!$A:$A,$B55,INPUT_DATA!$C:$C,"S"))</f>
        <v/>
      </c>
      <c r="AK55" s="313" t="str">
        <f>IF($B55=0,"",SUMIFS(INPUT_DATA!AJ:AJ,INPUT_DATA!$A:$A,$B55,INPUT_DATA!$C:$C,"S"))</f>
        <v/>
      </c>
      <c r="AL55" s="313" t="str">
        <f>IF($B55=0,"",SUMIFS(INPUT_DATA!AK:AK,INPUT_DATA!$A:$A,$B55,INPUT_DATA!$C:$C,"S"))</f>
        <v/>
      </c>
      <c r="AM55" s="313" t="str">
        <f>IF($B55=0,"",SUMIFS(INPUT_DATA!AL:AL,INPUT_DATA!$A:$A,$B55,INPUT_DATA!$C:$C,"S"))</f>
        <v/>
      </c>
      <c r="AN55" s="313" t="str">
        <f>IF($B55=0,"",SUMIFS(INPUT_DATA!AM:AM,INPUT_DATA!$A:$A,$B55,INPUT_DATA!$C:$C,"S"))</f>
        <v/>
      </c>
      <c r="AO55" s="313" t="str">
        <f>IF($B55=0,"",SUMIFS(INPUT_DATA!AN:AN,INPUT_DATA!$A:$A,$B55,INPUT_DATA!$C:$C,"S"))</f>
        <v/>
      </c>
      <c r="AP55" s="313" t="str">
        <f>IF($B55=0,"",SUMIFS(INPUT_DATA!AO:AO,INPUT_DATA!$A:$A,$B55,INPUT_DATA!$C:$C,"S"))</f>
        <v/>
      </c>
      <c r="AQ55" s="313" t="str">
        <f>IF($B55=0,"",SUMIFS(INPUT_DATA!AP:AP,INPUT_DATA!$A:$A,$B55,INPUT_DATA!$C:$C,"S"))</f>
        <v/>
      </c>
      <c r="AR55" s="313" t="str">
        <f>IF($B55=0,"",SUMIFS(INPUT_DATA!AQ:AQ,INPUT_DATA!$A:$A,$B55,INPUT_DATA!$C:$C,"S"))</f>
        <v/>
      </c>
      <c r="AS55" s="749" t="str">
        <f t="shared" si="29"/>
        <v/>
      </c>
      <c r="AT55" s="750" t="str">
        <f t="shared" si="30"/>
        <v/>
      </c>
      <c r="AU55" s="751" t="str">
        <f t="shared" si="31"/>
        <v/>
      </c>
      <c r="AV55" s="749" t="str">
        <f>IF($B55=0,"",SUMIFS(INPUT_DATA!AR:AR,INPUT_DATA!$A:$A,$B55,INPUT_DATA!$C:$C,"S"))</f>
        <v/>
      </c>
      <c r="AW55" s="750" t="str">
        <f>IF($B55=0,"",SUMIFS(INPUT_DATA!AS:AS,INPUT_DATA!$A:$A,$B55,INPUT_DATA!$C:$C,"S"))</f>
        <v/>
      </c>
      <c r="AX55" s="751" t="str">
        <f>IF($B55=0,"",SUMIFS(INPUT_DATA!AT:AT,INPUT_DATA!$A:$A,$B55,INPUT_DATA!$C:$C,"S"))</f>
        <v/>
      </c>
      <c r="AY55" s="749" t="str">
        <f t="shared" si="15"/>
        <v/>
      </c>
      <c r="AZ55" s="750" t="str">
        <f t="shared" si="16"/>
        <v/>
      </c>
      <c r="BA55" s="751" t="str">
        <f t="shared" si="17"/>
        <v/>
      </c>
      <c r="BB55" s="150"/>
      <c r="BC55" s="738" t="str">
        <f>IF($B55=0,"",SUMIFS(INPUT_DATA!D:D,INPUT_DATA!$A:$A,$B55,INPUT_DATA!$C:$C,"D"))</f>
        <v/>
      </c>
      <c r="BD55" s="312" t="str">
        <f>IF($B55=0,"",SUMIFS(INPUT_DATA!F:F,INPUT_DATA!$A:$A,$B55,INPUT_DATA!$C:$C,"D"))</f>
        <v/>
      </c>
      <c r="BE55" s="312" t="str">
        <f>IF($B55=0,"",SUMIFS(INPUT_DATA!G:G,INPUT_DATA!$A:$A,$B55,INPUT_DATA!$C:$C,"D"))</f>
        <v/>
      </c>
      <c r="BF55" s="312" t="str">
        <f>IF($B55=0,"",SUMIFS(INPUT_DATA!H:H,INPUT_DATA!$A:$A,$B55,INPUT_DATA!$C:$C,"D"))</f>
        <v/>
      </c>
      <c r="BG55" s="312" t="str">
        <f>IF($B55=0,"",SUMIFS(INPUT_DATA!I:I,INPUT_DATA!$A:$A,$B55,INPUT_DATA!$C:$C,"D"))</f>
        <v/>
      </c>
      <c r="BH55" s="312" t="str">
        <f>IF($B55=0,"",SUMIFS(INPUT_DATA!J:J,INPUT_DATA!$A:$A,$B55,INPUT_DATA!$C:$C,"D"))</f>
        <v/>
      </c>
      <c r="BI55" s="312" t="str">
        <f>IF($B55=0,"",SUMIFS(INPUT_DATA!K:K,INPUT_DATA!$A:$A,$B55,INPUT_DATA!$C:$C,"D"))</f>
        <v/>
      </c>
      <c r="BJ55" s="312" t="str">
        <f>IF($B55=0,"",SUMIFS(INPUT_DATA!L:L,INPUT_DATA!$A:$A,$B55,INPUT_DATA!$C:$C,"D"))</f>
        <v/>
      </c>
      <c r="BK55" s="312" t="str">
        <f>IF($B55=0,"",SUMIFS(INPUT_DATA!M:M,INPUT_DATA!$A:$A,$B55,INPUT_DATA!$C:$C,"D"))</f>
        <v/>
      </c>
      <c r="BL55" s="312" t="str">
        <f>IF($B55=0,"",SUMIFS(INPUT_DATA!N:N,INPUT_DATA!$A:$A,$B55,INPUT_DATA!$C:$C,"D"))</f>
        <v/>
      </c>
      <c r="BM55" s="312" t="str">
        <f>IF($B55=0,"",SUMIFS(INPUT_DATA!O:O,INPUT_DATA!$A:$A,$B55,INPUT_DATA!$C:$C,"D"))</f>
        <v/>
      </c>
      <c r="BN55" s="754" t="str">
        <f t="shared" si="18"/>
        <v/>
      </c>
      <c r="BO55" s="754" t="str">
        <f>IF($B55=0,"",SUMIFS(INPUT_DATA!O:O,INPUT_DATA!$A:$A,$B55,INPUT_DATA!$C:$C,"D"))</f>
        <v/>
      </c>
      <c r="BP55" s="754" t="str">
        <f t="shared" si="19"/>
        <v/>
      </c>
      <c r="BQ55" s="738" t="str">
        <f>IF($B55=0,"",SUMIFS(INPUT_DATA!Q:Q,INPUT_DATA!$A:$A,$B55,INPUT_DATA!$C:$C,"D"))</f>
        <v/>
      </c>
      <c r="BR55" s="760" t="str">
        <f>IF($B55=0,"",SUMIFS(INPUT_DATA!R:R,INPUT_DATA!$A:$A,$B55,INPUT_DATA!$C:$C,"D"))</f>
        <v/>
      </c>
      <c r="BS55" s="760" t="str">
        <f>IF($B55=0,"",SUMIFS(INPUT_DATA!S:S,INPUT_DATA!$A:$A,$B55,INPUT_DATA!$C:$C,"D"))</f>
        <v/>
      </c>
      <c r="BT55" s="312" t="str">
        <f>IF($B55=0,"",SUMIFS(INPUT_DATA!T:T,INPUT_DATA!$A:$A,$B55,INPUT_DATA!$C:$C,"D"))</f>
        <v/>
      </c>
      <c r="BU55" s="312" t="str">
        <f>IF($B55=0,"",SUMIFS(INPUT_DATA!U:U,INPUT_DATA!$A:$A,$B55,INPUT_DATA!$C:$C,"D"))</f>
        <v/>
      </c>
      <c r="BV55" s="312" t="str">
        <f>IF($B55=0,"",SUMIFS(INPUT_DATA!V:V,INPUT_DATA!$A:$A,$B55,INPUT_DATA!$C:$C,"D"))</f>
        <v/>
      </c>
      <c r="BW55" s="312" t="str">
        <f>IF($B55=0,"",SUMIFS(INPUT_DATA!W:W,INPUT_DATA!$A:$A,$B55,INPUT_DATA!$C:$C,"D"))</f>
        <v/>
      </c>
      <c r="BX55" s="312" t="str">
        <f>IF($B55=0,"",SUMIFS(INPUT_DATA!X:X,INPUT_DATA!$A:$A,$B55,INPUT_DATA!$C:$C,"D"))</f>
        <v/>
      </c>
      <c r="BY55" s="312" t="str">
        <f>IF($B55=0,"",SUMIFS(INPUT_DATA!Y:Y,INPUT_DATA!$A:$A,$B55,INPUT_DATA!$C:$C,"D"))</f>
        <v/>
      </c>
      <c r="BZ55" s="353" t="str">
        <f>IF($B55=0,"",SUMIFS(INPUT_DATA!Z:Z,INPUT_DATA!$A:$A,$B55,INPUT_DATA!$C:$C,"D"))</f>
        <v/>
      </c>
      <c r="CA55" s="353" t="str">
        <f>IF($B55=0,"",SUMIFS(INPUT_DATA!AA:AA,INPUT_DATA!$A:$A,$B55,INPUT_DATA!$C:$C,"D"))</f>
        <v/>
      </c>
      <c r="CB55" s="353" t="str">
        <f>IF($B55=0,"",SUMIFS(INPUT_DATA!AB:AB,INPUT_DATA!$A:$A,$B55,INPUT_DATA!$C:$C,"D"))</f>
        <v/>
      </c>
      <c r="CC55" s="312" t="str">
        <f>IF($B55=0,"",SUMIFS(INPUT_DATA!AC:AC,INPUT_DATA!$A:$A,$B55,INPUT_DATA!$C:$C,"D"))</f>
        <v/>
      </c>
      <c r="CD55" s="312" t="str">
        <f>IF($B55=0,"",SUMIFS(INPUT_DATA!AD:AD,INPUT_DATA!$A:$A,$B55,INPUT_DATA!$C:$C,"D"))</f>
        <v/>
      </c>
      <c r="CE55" s="312" t="str">
        <f>IF($B55=0,"",SUMIFS(INPUT_DATA!AE:AE,INPUT_DATA!$A:$A,$B55,INPUT_DATA!$C:$C,"D"))</f>
        <v/>
      </c>
      <c r="CF55" s="353" t="str">
        <f>IF($B55=0,"",SUMIFS(INPUT_DATA!AF:AF,INPUT_DATA!$A:$A,$B55,INPUT_DATA!$C:$C,"D"))</f>
        <v/>
      </c>
      <c r="CG55" s="353" t="str">
        <f>IF($B55=0,"",SUMIFS(INPUT_DATA!AG:AG,INPUT_DATA!$A:$A,$B55,INPUT_DATA!$C:$C,"D"))</f>
        <v/>
      </c>
      <c r="CH55" s="353" t="str">
        <f>IF($B55=0,"",SUMIFS(INPUT_DATA!AH:AH,INPUT_DATA!$A:$A,$B55,INPUT_DATA!$C:$C,"D"))</f>
        <v/>
      </c>
      <c r="CI55" s="153" t="str">
        <f>IF($B55=0,"",SUMIFS(INPUT_DATA!AI:AI,INPUT_DATA!$A:$A,$B55,INPUT_DATA!$C:$C,"D"))</f>
        <v/>
      </c>
      <c r="CJ55" s="153" t="str">
        <f>IF($B55=0,"",SUMIFS(INPUT_DATA!AJ:AJ,INPUT_DATA!$A:$A,$B55,INPUT_DATA!$C:$C,"D"))</f>
        <v/>
      </c>
      <c r="CK55" s="153" t="str">
        <f>IF($B55=0,"",SUMIFS(INPUT_DATA!AK:AK,INPUT_DATA!$A:$A,$B55,INPUT_DATA!$C:$C,"D"))</f>
        <v/>
      </c>
      <c r="CL55" s="153" t="str">
        <f>IF($B55=0,"",SUMIFS(INPUT_DATA!AL:AL,INPUT_DATA!$A:$A,$B55,INPUT_DATA!$C:$C,"D"))</f>
        <v/>
      </c>
      <c r="CM55" s="153" t="str">
        <f>IF($B55=0,"",SUMIFS(INPUT_DATA!AM:AM,INPUT_DATA!$A:$A,$B55,INPUT_DATA!$C:$C,"D"))</f>
        <v/>
      </c>
      <c r="CN55" s="153" t="str">
        <f>IF($B55=0,"",SUMIFS(INPUT_DATA!AN:AN,INPUT_DATA!$A:$A,$B55,INPUT_DATA!$C:$C,"D"))</f>
        <v/>
      </c>
      <c r="CO55" s="153" t="str">
        <f>IF($B55=0,"",SUMIFS(INPUT_DATA!AO:AO,INPUT_DATA!$A:$A,$B55,INPUT_DATA!$C:$C,"D"))</f>
        <v/>
      </c>
      <c r="CP55" s="153" t="str">
        <f>IF($B55=0,"",SUMIFS(INPUT_DATA!AP:AP,INPUT_DATA!$A:$A,$B55,INPUT_DATA!$C:$C,"D"))</f>
        <v/>
      </c>
      <c r="CQ55" s="153" t="str">
        <f>IF($B55=0,"",SUMIFS(INPUT_DATA!AQ:AQ,INPUT_DATA!$A:$A,$B55,INPUT_DATA!$C:$C,"D"))</f>
        <v/>
      </c>
      <c r="CR55" s="750" t="str">
        <f t="shared" si="32"/>
        <v/>
      </c>
      <c r="CS55" s="750" t="str">
        <f t="shared" si="33"/>
        <v/>
      </c>
      <c r="CT55" s="750" t="str">
        <f t="shared" si="34"/>
        <v/>
      </c>
      <c r="CU55" s="739" t="str">
        <f>IF($B55=0,"",SUMIFS(INPUT_DATA!AR:AR,INPUT_DATA!$A:$A,$B55,INPUT_DATA!$C:$C,"D"))</f>
        <v/>
      </c>
      <c r="CV55" s="739" t="str">
        <f>IF($B55=0,"",SUMIFS(INPUT_DATA!AS:AS,INPUT_DATA!$A:$A,$B55,INPUT_DATA!$C:$C,"D"))</f>
        <v/>
      </c>
      <c r="CW55" s="739" t="str">
        <f>IF($B55=0,"",SUMIFS(INPUT_DATA!AT:AT,INPUT_DATA!$A:$A,$B55,INPUT_DATA!$C:$C,"D"))</f>
        <v/>
      </c>
      <c r="CX55" s="739" t="str">
        <f t="shared" si="35"/>
        <v/>
      </c>
      <c r="CY55" s="750" t="str">
        <f t="shared" si="36"/>
        <v/>
      </c>
      <c r="CZ55" s="761" t="str">
        <f t="shared" si="37"/>
        <v/>
      </c>
      <c r="DA55" s="150"/>
    </row>
    <row r="56" spans="1:105" ht="13" x14ac:dyDescent="0.25">
      <c r="A56" s="172">
        <f t="shared" si="40"/>
        <v>-9</v>
      </c>
      <c r="B56" s="733">
        <f>INPUT_DATA!BQ43</f>
        <v>0</v>
      </c>
      <c r="C56" s="738" t="str">
        <f>IF($B56=0,"",SUMIFS(INPUT_DATA!D:D,INPUT_DATA!$A:$A,$B56,INPUT_DATA!$C:$C,"S"))</f>
        <v/>
      </c>
      <c r="D56" s="739" t="str">
        <f>IF($B56=0,"",SUMIFS(INPUT_DATA!E:E,INPUT_DATA!$A:$A,$B56,INPUT_DATA!$C:$C,"S"))</f>
        <v/>
      </c>
      <c r="E56" s="740" t="str">
        <f>IF($B56=0,"",SUMIFS(INPUT_DATA!F:F,INPUT_DATA!$A:$A,$B56,INPUT_DATA!$C:$C,"S"))</f>
        <v/>
      </c>
      <c r="F56" s="740" t="str">
        <f>IF($B56=0,"",SUMIFS(INPUT_DATA!G:G,INPUT_DATA!$A:$A,$B56,INPUT_DATA!$C:$C,"S"))</f>
        <v/>
      </c>
      <c r="G56" s="740" t="str">
        <f>IF($B56=0,"",SUMIFS(INPUT_DATA!H:H,INPUT_DATA!$A:$A,$B56,INPUT_DATA!$C:$C,"S"))</f>
        <v/>
      </c>
      <c r="H56" s="740" t="str">
        <f>IF($B56=0,"",SUMIFS(INPUT_DATA!I:I,INPUT_DATA!$A:$A,$B56,INPUT_DATA!$C:$C,"S"))</f>
        <v/>
      </c>
      <c r="I56" s="740" t="str">
        <f>IF($B56=0,"",SUMIFS(INPUT_DATA!J:J,INPUT_DATA!$A:$A,$B56,INPUT_DATA!$C:$C,"S"))</f>
        <v/>
      </c>
      <c r="J56" s="740" t="str">
        <f>IF($B56=0,"",SUMIFS(INPUT_DATA!K:K,INPUT_DATA!$A:$A,$B56,INPUT_DATA!$C:$C,"S"))</f>
        <v/>
      </c>
      <c r="K56" s="740" t="str">
        <f>IF($B56=0,"",SUMIFS(INPUT_DATA!L:L,INPUT_DATA!$A:$A,$B56,INPUT_DATA!$C:$C,"S"))</f>
        <v/>
      </c>
      <c r="L56" s="740" t="str">
        <f>IF($B56=0,"",SUMIFS(INPUT_DATA!M:M,INPUT_DATA!$A:$A,$B56,INPUT_DATA!$C:$C,"S"))</f>
        <v/>
      </c>
      <c r="M56" s="740" t="str">
        <f>IF($B56=0,"",SUMIFS(INPUT_DATA!N:N,INPUT_DATA!$A:$A,$B56,INPUT_DATA!$C:$C,"S"))</f>
        <v/>
      </c>
      <c r="N56" s="740" t="str">
        <f>IF($B56=0,"",SUMIFS(INPUT_DATA!O:O,INPUT_DATA!$A:$A,$B56,INPUT_DATA!$C:$C,"S"))</f>
        <v/>
      </c>
      <c r="O56" s="741" t="str">
        <f t="shared" si="38"/>
        <v/>
      </c>
      <c r="P56" s="742" t="str">
        <f>IF($B56=0,"",SUMIFS(INPUT_DATA!P:P,INPUT_DATA!$A:$A,$B56,INPUT_DATA!$C:$C,"S"))</f>
        <v/>
      </c>
      <c r="Q56" s="742" t="str">
        <f t="shared" si="39"/>
        <v/>
      </c>
      <c r="R56" s="748" t="str">
        <f>IF($B56=0,"",SUMIFS(INPUT_DATA!Q:Q,INPUT_DATA!$A:$A,$B56,INPUT_DATA!$C:$C,"S"))</f>
        <v/>
      </c>
      <c r="S56" s="748" t="str">
        <f>IF($B56=0,"",SUMIFS(INPUT_DATA!R:R,INPUT_DATA!$A:$A,$B56,INPUT_DATA!$C:$C,"S"))</f>
        <v/>
      </c>
      <c r="T56" s="748" t="str">
        <f>IF($B56=0,"",SUMIFS(INPUT_DATA!S:S,INPUT_DATA!$A:$A,$B56,INPUT_DATA!$C:$C,"S"))</f>
        <v/>
      </c>
      <c r="U56" s="313" t="str">
        <f>IF($B56=0,"",SUMIFS(INPUT_DATA!T:T,INPUT_DATA!$A:$A,$B56,INPUT_DATA!$C:$C,"S"))</f>
        <v/>
      </c>
      <c r="V56" s="313" t="str">
        <f>IF($B56=0,"",SUMIFS(INPUT_DATA!U:U,INPUT_DATA!$A:$A,$B56,INPUT_DATA!$C:$C,"S"))</f>
        <v/>
      </c>
      <c r="W56" s="313" t="str">
        <f>IF($B56=0,"",SUMIFS(INPUT_DATA!V:V,INPUT_DATA!$A:$A,$B56,INPUT_DATA!$C:$C,"S"))</f>
        <v/>
      </c>
      <c r="X56" s="313" t="str">
        <f>IF($B56=0,"",SUMIFS(INPUT_DATA!W:W,INPUT_DATA!$A:$A,$B56,INPUT_DATA!$C:$C,"S"))</f>
        <v/>
      </c>
      <c r="Y56" s="313" t="str">
        <f>IF($B56=0,"",SUMIFS(INPUT_DATA!X:X,INPUT_DATA!$A:$A,$B56,INPUT_DATA!$C:$C,"S"))</f>
        <v/>
      </c>
      <c r="Z56" s="313" t="str">
        <f>IF($B56=0,"",SUMIFS(INPUT_DATA!Y:Y,INPUT_DATA!$A:$A,$B56,INPUT_DATA!$C:$C,"S"))</f>
        <v/>
      </c>
      <c r="AA56" s="313" t="str">
        <f>IF($B56=0,"",SUMIFS(INPUT_DATA!Z:Z,INPUT_DATA!$A:$A,$B56,INPUT_DATA!$C:$C,"S"))</f>
        <v/>
      </c>
      <c r="AB56" s="313" t="str">
        <f>IF($B56=0,"",SUMIFS(INPUT_DATA!AA:AA,INPUT_DATA!$A:$A,$B56,INPUT_DATA!$C:$C,"S"))</f>
        <v/>
      </c>
      <c r="AC56" s="313" t="str">
        <f>IF($B56=0,"",SUMIFS(INPUT_DATA!AB:AB,INPUT_DATA!$A:$A,$B56,INPUT_DATA!$C:$C,"S"))</f>
        <v/>
      </c>
      <c r="AD56" s="313" t="str">
        <f>IF($B56=0,"",SUMIFS(INPUT_DATA!AC:AC,INPUT_DATA!$A:$A,$B56,INPUT_DATA!$C:$C,"S"))</f>
        <v/>
      </c>
      <c r="AE56" s="313" t="str">
        <f>IF($B56=0,"",SUMIFS(INPUT_DATA!AD:AD,INPUT_DATA!$A:$A,$B56,INPUT_DATA!$C:$C,"S"))</f>
        <v/>
      </c>
      <c r="AF56" s="313" t="str">
        <f>IF($B56=0,"",SUMIFS(INPUT_DATA!AE:AE,INPUT_DATA!$A:$A,$B56,INPUT_DATA!$C:$C,"S"))</f>
        <v/>
      </c>
      <c r="AG56" s="313" t="str">
        <f>IF($B56=0,"",SUMIFS(INPUT_DATA!AF:AF,INPUT_DATA!$A:$A,$B56,INPUT_DATA!$C:$C,"S"))</f>
        <v/>
      </c>
      <c r="AH56" s="313" t="str">
        <f>IF($B56=0,"",SUMIFS(INPUT_DATA!AG:AG,INPUT_DATA!$A:$A,$B56,INPUT_DATA!$C:$C,"S"))</f>
        <v/>
      </c>
      <c r="AI56" s="313" t="str">
        <f>IF($B56=0,"",SUMIFS(INPUT_DATA!AH:AH,INPUT_DATA!$A:$A,$B56,INPUT_DATA!$C:$C,"S"))</f>
        <v/>
      </c>
      <c r="AJ56" s="313" t="str">
        <f>IF($B56=0,"",SUMIFS(INPUT_DATA!AI:AI,INPUT_DATA!$A:$A,$B56,INPUT_DATA!$C:$C,"S"))</f>
        <v/>
      </c>
      <c r="AK56" s="313" t="str">
        <f>IF($B56=0,"",SUMIFS(INPUT_DATA!AJ:AJ,INPUT_DATA!$A:$A,$B56,INPUT_DATA!$C:$C,"S"))</f>
        <v/>
      </c>
      <c r="AL56" s="313" t="str">
        <f>IF($B56=0,"",SUMIFS(INPUT_DATA!AK:AK,INPUT_DATA!$A:$A,$B56,INPUT_DATA!$C:$C,"S"))</f>
        <v/>
      </c>
      <c r="AM56" s="313" t="str">
        <f>IF($B56=0,"",SUMIFS(INPUT_DATA!AL:AL,INPUT_DATA!$A:$A,$B56,INPUT_DATA!$C:$C,"S"))</f>
        <v/>
      </c>
      <c r="AN56" s="313" t="str">
        <f>IF($B56=0,"",SUMIFS(INPUT_DATA!AM:AM,INPUT_DATA!$A:$A,$B56,INPUT_DATA!$C:$C,"S"))</f>
        <v/>
      </c>
      <c r="AO56" s="313" t="str">
        <f>IF($B56=0,"",SUMIFS(INPUT_DATA!AN:AN,INPUT_DATA!$A:$A,$B56,INPUT_DATA!$C:$C,"S"))</f>
        <v/>
      </c>
      <c r="AP56" s="313" t="str">
        <f>IF($B56=0,"",SUMIFS(INPUT_DATA!AO:AO,INPUT_DATA!$A:$A,$B56,INPUT_DATA!$C:$C,"S"))</f>
        <v/>
      </c>
      <c r="AQ56" s="313" t="str">
        <f>IF($B56=0,"",SUMIFS(INPUT_DATA!AP:AP,INPUT_DATA!$A:$A,$B56,INPUT_DATA!$C:$C,"S"))</f>
        <v/>
      </c>
      <c r="AR56" s="313" t="str">
        <f>IF($B56=0,"",SUMIFS(INPUT_DATA!AQ:AQ,INPUT_DATA!$A:$A,$B56,INPUT_DATA!$C:$C,"S"))</f>
        <v/>
      </c>
      <c r="AS56" s="749" t="str">
        <f t="shared" si="29"/>
        <v/>
      </c>
      <c r="AT56" s="750" t="str">
        <f t="shared" si="30"/>
        <v/>
      </c>
      <c r="AU56" s="751" t="str">
        <f t="shared" si="31"/>
        <v/>
      </c>
      <c r="AV56" s="749" t="str">
        <f>IF($B56=0,"",SUMIFS(INPUT_DATA!AR:AR,INPUT_DATA!$A:$A,$B56,INPUT_DATA!$C:$C,"S"))</f>
        <v/>
      </c>
      <c r="AW56" s="750" t="str">
        <f>IF($B56=0,"",SUMIFS(INPUT_DATA!AS:AS,INPUT_DATA!$A:$A,$B56,INPUT_DATA!$C:$C,"S"))</f>
        <v/>
      </c>
      <c r="AX56" s="751" t="str">
        <f>IF($B56=0,"",SUMIFS(INPUT_DATA!AT:AT,INPUT_DATA!$A:$A,$B56,INPUT_DATA!$C:$C,"S"))</f>
        <v/>
      </c>
      <c r="AY56" s="749" t="str">
        <f t="shared" si="15"/>
        <v/>
      </c>
      <c r="AZ56" s="750" t="str">
        <f t="shared" si="16"/>
        <v/>
      </c>
      <c r="BA56" s="751" t="str">
        <f t="shared" si="17"/>
        <v/>
      </c>
      <c r="BB56" s="150"/>
      <c r="BC56" s="738" t="str">
        <f>IF($B56=0,"",SUMIFS(INPUT_DATA!D:D,INPUT_DATA!$A:$A,$B56,INPUT_DATA!$C:$C,"D"))</f>
        <v/>
      </c>
      <c r="BD56" s="312" t="str">
        <f>IF($B56=0,"",SUMIFS(INPUT_DATA!F:F,INPUT_DATA!$A:$A,$B56,INPUT_DATA!$C:$C,"D"))</f>
        <v/>
      </c>
      <c r="BE56" s="312" t="str">
        <f>IF($B56=0,"",SUMIFS(INPUT_DATA!G:G,INPUT_DATA!$A:$A,$B56,INPUT_DATA!$C:$C,"D"))</f>
        <v/>
      </c>
      <c r="BF56" s="312" t="str">
        <f>IF($B56=0,"",SUMIFS(INPUT_DATA!H:H,INPUT_DATA!$A:$A,$B56,INPUT_DATA!$C:$C,"D"))</f>
        <v/>
      </c>
      <c r="BG56" s="312" t="str">
        <f>IF($B56=0,"",SUMIFS(INPUT_DATA!I:I,INPUT_DATA!$A:$A,$B56,INPUT_DATA!$C:$C,"D"))</f>
        <v/>
      </c>
      <c r="BH56" s="312" t="str">
        <f>IF($B56=0,"",SUMIFS(INPUT_DATA!J:J,INPUT_DATA!$A:$A,$B56,INPUT_DATA!$C:$C,"D"))</f>
        <v/>
      </c>
      <c r="BI56" s="312" t="str">
        <f>IF($B56=0,"",SUMIFS(INPUT_DATA!K:K,INPUT_DATA!$A:$A,$B56,INPUT_DATA!$C:$C,"D"))</f>
        <v/>
      </c>
      <c r="BJ56" s="312" t="str">
        <f>IF($B56=0,"",SUMIFS(INPUT_DATA!L:L,INPUT_DATA!$A:$A,$B56,INPUT_DATA!$C:$C,"D"))</f>
        <v/>
      </c>
      <c r="BK56" s="312" t="str">
        <f>IF($B56=0,"",SUMIFS(INPUT_DATA!M:M,INPUT_DATA!$A:$A,$B56,INPUT_DATA!$C:$C,"D"))</f>
        <v/>
      </c>
      <c r="BL56" s="312" t="str">
        <f>IF($B56=0,"",SUMIFS(INPUT_DATA!N:N,INPUT_DATA!$A:$A,$B56,INPUT_DATA!$C:$C,"D"))</f>
        <v/>
      </c>
      <c r="BM56" s="312" t="str">
        <f>IF($B56=0,"",SUMIFS(INPUT_DATA!O:O,INPUT_DATA!$A:$A,$B56,INPUT_DATA!$C:$C,"D"))</f>
        <v/>
      </c>
      <c r="BN56" s="754" t="str">
        <f t="shared" si="18"/>
        <v/>
      </c>
      <c r="BO56" s="754" t="str">
        <f>IF($B56=0,"",SUMIFS(INPUT_DATA!O:O,INPUT_DATA!$A:$A,$B56,INPUT_DATA!$C:$C,"D"))</f>
        <v/>
      </c>
      <c r="BP56" s="754" t="str">
        <f t="shared" si="19"/>
        <v/>
      </c>
      <c r="BQ56" s="738" t="str">
        <f>IF($B56=0,"",SUMIFS(INPUT_DATA!Q:Q,INPUT_DATA!$A:$A,$B56,INPUT_DATA!$C:$C,"D"))</f>
        <v/>
      </c>
      <c r="BR56" s="760" t="str">
        <f>IF($B56=0,"",SUMIFS(INPUT_DATA!R:R,INPUT_DATA!$A:$A,$B56,INPUT_DATA!$C:$C,"D"))</f>
        <v/>
      </c>
      <c r="BS56" s="760" t="str">
        <f>IF($B56=0,"",SUMIFS(INPUT_DATA!S:S,INPUT_DATA!$A:$A,$B56,INPUT_DATA!$C:$C,"D"))</f>
        <v/>
      </c>
      <c r="BT56" s="312" t="str">
        <f>IF($B56=0,"",SUMIFS(INPUT_DATA!T:T,INPUT_DATA!$A:$A,$B56,INPUT_DATA!$C:$C,"D"))</f>
        <v/>
      </c>
      <c r="BU56" s="312" t="str">
        <f>IF($B56=0,"",SUMIFS(INPUT_DATA!U:U,INPUT_DATA!$A:$A,$B56,INPUT_DATA!$C:$C,"D"))</f>
        <v/>
      </c>
      <c r="BV56" s="312" t="str">
        <f>IF($B56=0,"",SUMIFS(INPUT_DATA!V:V,INPUT_DATA!$A:$A,$B56,INPUT_DATA!$C:$C,"D"))</f>
        <v/>
      </c>
      <c r="BW56" s="312" t="str">
        <f>IF($B56=0,"",SUMIFS(INPUT_DATA!W:W,INPUT_DATA!$A:$A,$B56,INPUT_DATA!$C:$C,"D"))</f>
        <v/>
      </c>
      <c r="BX56" s="312" t="str">
        <f>IF($B56=0,"",SUMIFS(INPUT_DATA!X:X,INPUT_DATA!$A:$A,$B56,INPUT_DATA!$C:$C,"D"))</f>
        <v/>
      </c>
      <c r="BY56" s="312" t="str">
        <f>IF($B56=0,"",SUMIFS(INPUT_DATA!Y:Y,INPUT_DATA!$A:$A,$B56,INPUT_DATA!$C:$C,"D"))</f>
        <v/>
      </c>
      <c r="BZ56" s="353" t="str">
        <f>IF($B56=0,"",SUMIFS(INPUT_DATA!Z:Z,INPUT_DATA!$A:$A,$B56,INPUT_DATA!$C:$C,"D"))</f>
        <v/>
      </c>
      <c r="CA56" s="353" t="str">
        <f>IF($B56=0,"",SUMIFS(INPUT_DATA!AA:AA,INPUT_DATA!$A:$A,$B56,INPUT_DATA!$C:$C,"D"))</f>
        <v/>
      </c>
      <c r="CB56" s="353" t="str">
        <f>IF($B56=0,"",SUMIFS(INPUT_DATA!AB:AB,INPUT_DATA!$A:$A,$B56,INPUT_DATA!$C:$C,"D"))</f>
        <v/>
      </c>
      <c r="CC56" s="312" t="str">
        <f>IF($B56=0,"",SUMIFS(INPUT_DATA!AC:AC,INPUT_DATA!$A:$A,$B56,INPUT_DATA!$C:$C,"D"))</f>
        <v/>
      </c>
      <c r="CD56" s="312" t="str">
        <f>IF($B56=0,"",SUMIFS(INPUT_DATA!AD:AD,INPUT_DATA!$A:$A,$B56,INPUT_DATA!$C:$C,"D"))</f>
        <v/>
      </c>
      <c r="CE56" s="312" t="str">
        <f>IF($B56=0,"",SUMIFS(INPUT_DATA!AE:AE,INPUT_DATA!$A:$A,$B56,INPUT_DATA!$C:$C,"D"))</f>
        <v/>
      </c>
      <c r="CF56" s="353" t="str">
        <f>IF($B56=0,"",SUMIFS(INPUT_DATA!AF:AF,INPUT_DATA!$A:$A,$B56,INPUT_DATA!$C:$C,"D"))</f>
        <v/>
      </c>
      <c r="CG56" s="353" t="str">
        <f>IF($B56=0,"",SUMIFS(INPUT_DATA!AG:AG,INPUT_DATA!$A:$A,$B56,INPUT_DATA!$C:$C,"D"))</f>
        <v/>
      </c>
      <c r="CH56" s="353" t="str">
        <f>IF($B56=0,"",SUMIFS(INPUT_DATA!AH:AH,INPUT_DATA!$A:$A,$B56,INPUT_DATA!$C:$C,"D"))</f>
        <v/>
      </c>
      <c r="CI56" s="153" t="str">
        <f>IF($B56=0,"",SUMIFS(INPUT_DATA!AI:AI,INPUT_DATA!$A:$A,$B56,INPUT_DATA!$C:$C,"D"))</f>
        <v/>
      </c>
      <c r="CJ56" s="153" t="str">
        <f>IF($B56=0,"",SUMIFS(INPUT_DATA!AJ:AJ,INPUT_DATA!$A:$A,$B56,INPUT_DATA!$C:$C,"D"))</f>
        <v/>
      </c>
      <c r="CK56" s="153" t="str">
        <f>IF($B56=0,"",SUMIFS(INPUT_DATA!AK:AK,INPUT_DATA!$A:$A,$B56,INPUT_DATA!$C:$C,"D"))</f>
        <v/>
      </c>
      <c r="CL56" s="153" t="str">
        <f>IF($B56=0,"",SUMIFS(INPUT_DATA!AL:AL,INPUT_DATA!$A:$A,$B56,INPUT_DATA!$C:$C,"D"))</f>
        <v/>
      </c>
      <c r="CM56" s="153" t="str">
        <f>IF($B56=0,"",SUMIFS(INPUT_DATA!AM:AM,INPUT_DATA!$A:$A,$B56,INPUT_DATA!$C:$C,"D"))</f>
        <v/>
      </c>
      <c r="CN56" s="153" t="str">
        <f>IF($B56=0,"",SUMIFS(INPUT_DATA!AN:AN,INPUT_DATA!$A:$A,$B56,INPUT_DATA!$C:$C,"D"))</f>
        <v/>
      </c>
      <c r="CO56" s="153" t="str">
        <f>IF($B56=0,"",SUMIFS(INPUT_DATA!AO:AO,INPUT_DATA!$A:$A,$B56,INPUT_DATA!$C:$C,"D"))</f>
        <v/>
      </c>
      <c r="CP56" s="153" t="str">
        <f>IF($B56=0,"",SUMIFS(INPUT_DATA!AP:AP,INPUT_DATA!$A:$A,$B56,INPUT_DATA!$C:$C,"D"))</f>
        <v/>
      </c>
      <c r="CQ56" s="153" t="str">
        <f>IF($B56=0,"",SUMIFS(INPUT_DATA!AQ:AQ,INPUT_DATA!$A:$A,$B56,INPUT_DATA!$C:$C,"D"))</f>
        <v/>
      </c>
      <c r="CR56" s="750" t="str">
        <f t="shared" si="32"/>
        <v/>
      </c>
      <c r="CS56" s="750" t="str">
        <f t="shared" si="33"/>
        <v/>
      </c>
      <c r="CT56" s="750" t="str">
        <f t="shared" si="34"/>
        <v/>
      </c>
      <c r="CU56" s="739" t="str">
        <f>IF($B56=0,"",SUMIFS(INPUT_DATA!AR:AR,INPUT_DATA!$A:$A,$B56,INPUT_DATA!$C:$C,"D"))</f>
        <v/>
      </c>
      <c r="CV56" s="739" t="str">
        <f>IF($B56=0,"",SUMIFS(INPUT_DATA!AS:AS,INPUT_DATA!$A:$A,$B56,INPUT_DATA!$C:$C,"D"))</f>
        <v/>
      </c>
      <c r="CW56" s="739" t="str">
        <f>IF($B56=0,"",SUMIFS(INPUT_DATA!AT:AT,INPUT_DATA!$A:$A,$B56,INPUT_DATA!$C:$C,"D"))</f>
        <v/>
      </c>
      <c r="CX56" s="739" t="str">
        <f t="shared" si="35"/>
        <v/>
      </c>
      <c r="CY56" s="750" t="str">
        <f t="shared" si="36"/>
        <v/>
      </c>
      <c r="CZ56" s="761" t="str">
        <f t="shared" si="37"/>
        <v/>
      </c>
      <c r="DA56" s="150"/>
    </row>
    <row r="57" spans="1:105" ht="13" x14ac:dyDescent="0.25">
      <c r="A57" s="172">
        <f t="shared" si="40"/>
        <v>-10</v>
      </c>
      <c r="B57" s="733">
        <f>INPUT_DATA!BQ44</f>
        <v>0</v>
      </c>
      <c r="C57" s="738" t="str">
        <f>IF($B57=0,"",SUMIFS(INPUT_DATA!D:D,INPUT_DATA!$A:$A,$B57,INPUT_DATA!$C:$C,"S"))</f>
        <v/>
      </c>
      <c r="D57" s="739" t="str">
        <f>IF($B57=0,"",SUMIFS(INPUT_DATA!E:E,INPUT_DATA!$A:$A,$B57,INPUT_DATA!$C:$C,"S"))</f>
        <v/>
      </c>
      <c r="E57" s="740" t="str">
        <f>IF($B57=0,"",SUMIFS(INPUT_DATA!F:F,INPUT_DATA!$A:$A,$B57,INPUT_DATA!$C:$C,"S"))</f>
        <v/>
      </c>
      <c r="F57" s="740" t="str">
        <f>IF($B57=0,"",SUMIFS(INPUT_DATA!G:G,INPUT_DATA!$A:$A,$B57,INPUT_DATA!$C:$C,"S"))</f>
        <v/>
      </c>
      <c r="G57" s="740" t="str">
        <f>IF($B57=0,"",SUMIFS(INPUT_DATA!H:H,INPUT_DATA!$A:$A,$B57,INPUT_DATA!$C:$C,"S"))</f>
        <v/>
      </c>
      <c r="H57" s="740" t="str">
        <f>IF($B57=0,"",SUMIFS(INPUT_DATA!I:I,INPUT_DATA!$A:$A,$B57,INPUT_DATA!$C:$C,"S"))</f>
        <v/>
      </c>
      <c r="I57" s="740" t="str">
        <f>IF($B57=0,"",SUMIFS(INPUT_DATA!J:J,INPUT_DATA!$A:$A,$B57,INPUT_DATA!$C:$C,"S"))</f>
        <v/>
      </c>
      <c r="J57" s="740" t="str">
        <f>IF($B57=0,"",SUMIFS(INPUT_DATA!K:K,INPUT_DATA!$A:$A,$B57,INPUT_DATA!$C:$C,"S"))</f>
        <v/>
      </c>
      <c r="K57" s="740" t="str">
        <f>IF($B57=0,"",SUMIFS(INPUT_DATA!L:L,INPUT_DATA!$A:$A,$B57,INPUT_DATA!$C:$C,"S"))</f>
        <v/>
      </c>
      <c r="L57" s="740" t="str">
        <f>IF($B57=0,"",SUMIFS(INPUT_DATA!M:M,INPUT_DATA!$A:$A,$B57,INPUT_DATA!$C:$C,"S"))</f>
        <v/>
      </c>
      <c r="M57" s="740" t="str">
        <f>IF($B57=0,"",SUMIFS(INPUT_DATA!N:N,INPUT_DATA!$A:$A,$B57,INPUT_DATA!$C:$C,"S"))</f>
        <v/>
      </c>
      <c r="N57" s="740" t="str">
        <f>IF($B57=0,"",SUMIFS(INPUT_DATA!O:O,INPUT_DATA!$A:$A,$B57,INPUT_DATA!$C:$C,"S"))</f>
        <v/>
      </c>
      <c r="O57" s="741" t="str">
        <f t="shared" si="38"/>
        <v/>
      </c>
      <c r="P57" s="742" t="str">
        <f>IF($B57=0,"",SUMIFS(INPUT_DATA!P:P,INPUT_DATA!$A:$A,$B57,INPUT_DATA!$C:$C,"S"))</f>
        <v/>
      </c>
      <c r="Q57" s="742" t="str">
        <f t="shared" si="39"/>
        <v/>
      </c>
      <c r="R57" s="748" t="str">
        <f>IF($B57=0,"",SUMIFS(INPUT_DATA!Q:Q,INPUT_DATA!$A:$A,$B57,INPUT_DATA!$C:$C,"S"))</f>
        <v/>
      </c>
      <c r="S57" s="748" t="str">
        <f>IF($B57=0,"",SUMIFS(INPUT_DATA!R:R,INPUT_DATA!$A:$A,$B57,INPUT_DATA!$C:$C,"S"))</f>
        <v/>
      </c>
      <c r="T57" s="748" t="str">
        <f>IF($B57=0,"",SUMIFS(INPUT_DATA!S:S,INPUT_DATA!$A:$A,$B57,INPUT_DATA!$C:$C,"S"))</f>
        <v/>
      </c>
      <c r="U57" s="313" t="str">
        <f>IF($B57=0,"",SUMIFS(INPUT_DATA!T:T,INPUT_DATA!$A:$A,$B57,INPUT_DATA!$C:$C,"S"))</f>
        <v/>
      </c>
      <c r="V57" s="313" t="str">
        <f>IF($B57=0,"",SUMIFS(INPUT_DATA!U:U,INPUT_DATA!$A:$A,$B57,INPUT_DATA!$C:$C,"S"))</f>
        <v/>
      </c>
      <c r="W57" s="313" t="str">
        <f>IF($B57=0,"",SUMIFS(INPUT_DATA!V:V,INPUT_DATA!$A:$A,$B57,INPUT_DATA!$C:$C,"S"))</f>
        <v/>
      </c>
      <c r="X57" s="313" t="str">
        <f>IF($B57=0,"",SUMIFS(INPUT_DATA!W:W,INPUT_DATA!$A:$A,$B57,INPUT_DATA!$C:$C,"S"))</f>
        <v/>
      </c>
      <c r="Y57" s="313" t="str">
        <f>IF($B57=0,"",SUMIFS(INPUT_DATA!X:X,INPUT_DATA!$A:$A,$B57,INPUT_DATA!$C:$C,"S"))</f>
        <v/>
      </c>
      <c r="Z57" s="313" t="str">
        <f>IF($B57=0,"",SUMIFS(INPUT_DATA!Y:Y,INPUT_DATA!$A:$A,$B57,INPUT_DATA!$C:$C,"S"))</f>
        <v/>
      </c>
      <c r="AA57" s="313" t="str">
        <f>IF($B57=0,"",SUMIFS(INPUT_DATA!Z:Z,INPUT_DATA!$A:$A,$B57,INPUT_DATA!$C:$C,"S"))</f>
        <v/>
      </c>
      <c r="AB57" s="313" t="str">
        <f>IF($B57=0,"",SUMIFS(INPUT_DATA!AA:AA,INPUT_DATA!$A:$A,$B57,INPUT_DATA!$C:$C,"S"))</f>
        <v/>
      </c>
      <c r="AC57" s="313" t="str">
        <f>IF($B57=0,"",SUMIFS(INPUT_DATA!AB:AB,INPUT_DATA!$A:$A,$B57,INPUT_DATA!$C:$C,"S"))</f>
        <v/>
      </c>
      <c r="AD57" s="313" t="str">
        <f>IF($B57=0,"",SUMIFS(INPUT_DATA!AC:AC,INPUT_DATA!$A:$A,$B57,INPUT_DATA!$C:$C,"S"))</f>
        <v/>
      </c>
      <c r="AE57" s="313" t="str">
        <f>IF($B57=0,"",SUMIFS(INPUT_DATA!AD:AD,INPUT_DATA!$A:$A,$B57,INPUT_DATA!$C:$C,"S"))</f>
        <v/>
      </c>
      <c r="AF57" s="313" t="str">
        <f>IF($B57=0,"",SUMIFS(INPUT_DATA!AE:AE,INPUT_DATA!$A:$A,$B57,INPUT_DATA!$C:$C,"S"))</f>
        <v/>
      </c>
      <c r="AG57" s="313" t="str">
        <f>IF($B57=0,"",SUMIFS(INPUT_DATA!AF:AF,INPUT_DATA!$A:$A,$B57,INPUT_DATA!$C:$C,"S"))</f>
        <v/>
      </c>
      <c r="AH57" s="313" t="str">
        <f>IF($B57=0,"",SUMIFS(INPUT_DATA!AG:AG,INPUT_DATA!$A:$A,$B57,INPUT_DATA!$C:$C,"S"))</f>
        <v/>
      </c>
      <c r="AI57" s="313" t="str">
        <f>IF($B57=0,"",SUMIFS(INPUT_DATA!AH:AH,INPUT_DATA!$A:$A,$B57,INPUT_DATA!$C:$C,"S"))</f>
        <v/>
      </c>
      <c r="AJ57" s="313" t="str">
        <f>IF($B57=0,"",SUMIFS(INPUT_DATA!AI:AI,INPUT_DATA!$A:$A,$B57,INPUT_DATA!$C:$C,"S"))</f>
        <v/>
      </c>
      <c r="AK57" s="313" t="str">
        <f>IF($B57=0,"",SUMIFS(INPUT_DATA!AJ:AJ,INPUT_DATA!$A:$A,$B57,INPUT_DATA!$C:$C,"S"))</f>
        <v/>
      </c>
      <c r="AL57" s="313" t="str">
        <f>IF($B57=0,"",SUMIFS(INPUT_DATA!AK:AK,INPUT_DATA!$A:$A,$B57,INPUT_DATA!$C:$C,"S"))</f>
        <v/>
      </c>
      <c r="AM57" s="313" t="str">
        <f>IF($B57=0,"",SUMIFS(INPUT_DATA!AL:AL,INPUT_DATA!$A:$A,$B57,INPUT_DATA!$C:$C,"S"))</f>
        <v/>
      </c>
      <c r="AN57" s="313" t="str">
        <f>IF($B57=0,"",SUMIFS(INPUT_DATA!AM:AM,INPUT_DATA!$A:$A,$B57,INPUT_DATA!$C:$C,"S"))</f>
        <v/>
      </c>
      <c r="AO57" s="313" t="str">
        <f>IF($B57=0,"",SUMIFS(INPUT_DATA!AN:AN,INPUT_DATA!$A:$A,$B57,INPUT_DATA!$C:$C,"S"))</f>
        <v/>
      </c>
      <c r="AP57" s="313" t="str">
        <f>IF($B57=0,"",SUMIFS(INPUT_DATA!AO:AO,INPUT_DATA!$A:$A,$B57,INPUT_DATA!$C:$C,"S"))</f>
        <v/>
      </c>
      <c r="AQ57" s="313" t="str">
        <f>IF($B57=0,"",SUMIFS(INPUT_DATA!AP:AP,INPUT_DATA!$A:$A,$B57,INPUT_DATA!$C:$C,"S"))</f>
        <v/>
      </c>
      <c r="AR57" s="313" t="str">
        <f>IF($B57=0,"",SUMIFS(INPUT_DATA!AQ:AQ,INPUT_DATA!$A:$A,$B57,INPUT_DATA!$C:$C,"S"))</f>
        <v/>
      </c>
      <c r="AS57" s="749" t="str">
        <f t="shared" si="29"/>
        <v/>
      </c>
      <c r="AT57" s="750" t="str">
        <f t="shared" si="30"/>
        <v/>
      </c>
      <c r="AU57" s="751" t="str">
        <f t="shared" si="31"/>
        <v/>
      </c>
      <c r="AV57" s="749" t="str">
        <f>IF($B57=0,"",SUMIFS(INPUT_DATA!AR:AR,INPUT_DATA!$A:$A,$B57,INPUT_DATA!$C:$C,"S"))</f>
        <v/>
      </c>
      <c r="AW57" s="750" t="str">
        <f>IF($B57=0,"",SUMIFS(INPUT_DATA!AS:AS,INPUT_DATA!$A:$A,$B57,INPUT_DATA!$C:$C,"S"))</f>
        <v/>
      </c>
      <c r="AX57" s="751" t="str">
        <f>IF($B57=0,"",SUMIFS(INPUT_DATA!AT:AT,INPUT_DATA!$A:$A,$B57,INPUT_DATA!$C:$C,"S"))</f>
        <v/>
      </c>
      <c r="AY57" s="749" t="str">
        <f t="shared" si="15"/>
        <v/>
      </c>
      <c r="AZ57" s="750" t="str">
        <f t="shared" si="16"/>
        <v/>
      </c>
      <c r="BA57" s="751" t="str">
        <f t="shared" si="17"/>
        <v/>
      </c>
      <c r="BB57" s="150"/>
      <c r="BC57" s="738" t="str">
        <f>IF($B57=0,"",SUMIFS(INPUT_DATA!D:D,INPUT_DATA!$A:$A,$B57,INPUT_DATA!$C:$C,"D"))</f>
        <v/>
      </c>
      <c r="BD57" s="312" t="str">
        <f>IF($B57=0,"",SUMIFS(INPUT_DATA!F:F,INPUT_DATA!$A:$A,$B57,INPUT_DATA!$C:$C,"D"))</f>
        <v/>
      </c>
      <c r="BE57" s="312" t="str">
        <f>IF($B57=0,"",SUMIFS(INPUT_DATA!G:G,INPUT_DATA!$A:$A,$B57,INPUT_DATA!$C:$C,"D"))</f>
        <v/>
      </c>
      <c r="BF57" s="312" t="str">
        <f>IF($B57=0,"",SUMIFS(INPUT_DATA!H:H,INPUT_DATA!$A:$A,$B57,INPUT_DATA!$C:$C,"D"))</f>
        <v/>
      </c>
      <c r="BG57" s="312" t="str">
        <f>IF($B57=0,"",SUMIFS(INPUT_DATA!I:I,INPUT_DATA!$A:$A,$B57,INPUT_DATA!$C:$C,"D"))</f>
        <v/>
      </c>
      <c r="BH57" s="312" t="str">
        <f>IF($B57=0,"",SUMIFS(INPUT_DATA!J:J,INPUT_DATA!$A:$A,$B57,INPUT_DATA!$C:$C,"D"))</f>
        <v/>
      </c>
      <c r="BI57" s="312" t="str">
        <f>IF($B57=0,"",SUMIFS(INPUT_DATA!K:K,INPUT_DATA!$A:$A,$B57,INPUT_DATA!$C:$C,"D"))</f>
        <v/>
      </c>
      <c r="BJ57" s="312" t="str">
        <f>IF($B57=0,"",SUMIFS(INPUT_DATA!L:L,INPUT_DATA!$A:$A,$B57,INPUT_DATA!$C:$C,"D"))</f>
        <v/>
      </c>
      <c r="BK57" s="312" t="str">
        <f>IF($B57=0,"",SUMIFS(INPUT_DATA!M:M,INPUT_DATA!$A:$A,$B57,INPUT_DATA!$C:$C,"D"))</f>
        <v/>
      </c>
      <c r="BL57" s="312" t="str">
        <f>IF($B57=0,"",SUMIFS(INPUT_DATA!N:N,INPUT_DATA!$A:$A,$B57,INPUT_DATA!$C:$C,"D"))</f>
        <v/>
      </c>
      <c r="BM57" s="312" t="str">
        <f>IF($B57=0,"",SUMIFS(INPUT_DATA!O:O,INPUT_DATA!$A:$A,$B57,INPUT_DATA!$C:$C,"D"))</f>
        <v/>
      </c>
      <c r="BN57" s="754" t="str">
        <f t="shared" si="18"/>
        <v/>
      </c>
      <c r="BO57" s="754" t="str">
        <f>IF($B57=0,"",SUMIFS(INPUT_DATA!O:O,INPUT_DATA!$A:$A,$B57,INPUT_DATA!$C:$C,"D"))</f>
        <v/>
      </c>
      <c r="BP57" s="754" t="str">
        <f t="shared" si="19"/>
        <v/>
      </c>
      <c r="BQ57" s="738" t="str">
        <f>IF($B57=0,"",SUMIFS(INPUT_DATA!Q:Q,INPUT_DATA!$A:$A,$B57,INPUT_DATA!$C:$C,"D"))</f>
        <v/>
      </c>
      <c r="BR57" s="760" t="str">
        <f>IF($B57=0,"",SUMIFS(INPUT_DATA!R:R,INPUT_DATA!$A:$A,$B57,INPUT_DATA!$C:$C,"D"))</f>
        <v/>
      </c>
      <c r="BS57" s="760" t="str">
        <f>IF($B57=0,"",SUMIFS(INPUT_DATA!S:S,INPUT_DATA!$A:$A,$B57,INPUT_DATA!$C:$C,"D"))</f>
        <v/>
      </c>
      <c r="BT57" s="312" t="str">
        <f>IF($B57=0,"",SUMIFS(INPUT_DATA!T:T,INPUT_DATA!$A:$A,$B57,INPUT_DATA!$C:$C,"D"))</f>
        <v/>
      </c>
      <c r="BU57" s="312" t="str">
        <f>IF($B57=0,"",SUMIFS(INPUT_DATA!U:U,INPUT_DATA!$A:$A,$B57,INPUT_DATA!$C:$C,"D"))</f>
        <v/>
      </c>
      <c r="BV57" s="312" t="str">
        <f>IF($B57=0,"",SUMIFS(INPUT_DATA!V:V,INPUT_DATA!$A:$A,$B57,INPUT_DATA!$C:$C,"D"))</f>
        <v/>
      </c>
      <c r="BW57" s="312" t="str">
        <f>IF($B57=0,"",SUMIFS(INPUT_DATA!W:W,INPUT_DATA!$A:$A,$B57,INPUT_DATA!$C:$C,"D"))</f>
        <v/>
      </c>
      <c r="BX57" s="312" t="str">
        <f>IF($B57=0,"",SUMIFS(INPUT_DATA!X:X,INPUT_DATA!$A:$A,$B57,INPUT_DATA!$C:$C,"D"))</f>
        <v/>
      </c>
      <c r="BY57" s="312" t="str">
        <f>IF($B57=0,"",SUMIFS(INPUT_DATA!Y:Y,INPUT_DATA!$A:$A,$B57,INPUT_DATA!$C:$C,"D"))</f>
        <v/>
      </c>
      <c r="BZ57" s="353" t="str">
        <f>IF($B57=0,"",SUMIFS(INPUT_DATA!Z:Z,INPUT_DATA!$A:$A,$B57,INPUT_DATA!$C:$C,"D"))</f>
        <v/>
      </c>
      <c r="CA57" s="353" t="str">
        <f>IF($B57=0,"",SUMIFS(INPUT_DATA!AA:AA,INPUT_DATA!$A:$A,$B57,INPUT_DATA!$C:$C,"D"))</f>
        <v/>
      </c>
      <c r="CB57" s="353" t="str">
        <f>IF($B57=0,"",SUMIFS(INPUT_DATA!AB:AB,INPUT_DATA!$A:$A,$B57,INPUT_DATA!$C:$C,"D"))</f>
        <v/>
      </c>
      <c r="CC57" s="312" t="str">
        <f>IF($B57=0,"",SUMIFS(INPUT_DATA!AC:AC,INPUT_DATA!$A:$A,$B57,INPUT_DATA!$C:$C,"D"))</f>
        <v/>
      </c>
      <c r="CD57" s="312" t="str">
        <f>IF($B57=0,"",SUMIFS(INPUT_DATA!AD:AD,INPUT_DATA!$A:$A,$B57,INPUT_DATA!$C:$C,"D"))</f>
        <v/>
      </c>
      <c r="CE57" s="312" t="str">
        <f>IF($B57=0,"",SUMIFS(INPUT_DATA!AE:AE,INPUT_DATA!$A:$A,$B57,INPUT_DATA!$C:$C,"D"))</f>
        <v/>
      </c>
      <c r="CF57" s="353" t="str">
        <f>IF($B57=0,"",SUMIFS(INPUT_DATA!AF:AF,INPUT_DATA!$A:$A,$B57,INPUT_DATA!$C:$C,"D"))</f>
        <v/>
      </c>
      <c r="CG57" s="353" t="str">
        <f>IF($B57=0,"",SUMIFS(INPUT_DATA!AG:AG,INPUT_DATA!$A:$A,$B57,INPUT_DATA!$C:$C,"D"))</f>
        <v/>
      </c>
      <c r="CH57" s="353" t="str">
        <f>IF($B57=0,"",SUMIFS(INPUT_DATA!AH:AH,INPUT_DATA!$A:$A,$B57,INPUT_DATA!$C:$C,"D"))</f>
        <v/>
      </c>
      <c r="CI57" s="153" t="str">
        <f>IF($B57=0,"",SUMIFS(INPUT_DATA!AI:AI,INPUT_DATA!$A:$A,$B57,INPUT_DATA!$C:$C,"D"))</f>
        <v/>
      </c>
      <c r="CJ57" s="153" t="str">
        <f>IF($B57=0,"",SUMIFS(INPUT_DATA!AJ:AJ,INPUT_DATA!$A:$A,$B57,INPUT_DATA!$C:$C,"D"))</f>
        <v/>
      </c>
      <c r="CK57" s="153" t="str">
        <f>IF($B57=0,"",SUMIFS(INPUT_DATA!AK:AK,INPUT_DATA!$A:$A,$B57,INPUT_DATA!$C:$C,"D"))</f>
        <v/>
      </c>
      <c r="CL57" s="153" t="str">
        <f>IF($B57=0,"",SUMIFS(INPUT_DATA!AL:AL,INPUT_DATA!$A:$A,$B57,INPUT_DATA!$C:$C,"D"))</f>
        <v/>
      </c>
      <c r="CM57" s="153" t="str">
        <f>IF($B57=0,"",SUMIFS(INPUT_DATA!AM:AM,INPUT_DATA!$A:$A,$B57,INPUT_DATA!$C:$C,"D"))</f>
        <v/>
      </c>
      <c r="CN57" s="153" t="str">
        <f>IF($B57=0,"",SUMIFS(INPUT_DATA!AN:AN,INPUT_DATA!$A:$A,$B57,INPUT_DATA!$C:$C,"D"))</f>
        <v/>
      </c>
      <c r="CO57" s="153" t="str">
        <f>IF($B57=0,"",SUMIFS(INPUT_DATA!AO:AO,INPUT_DATA!$A:$A,$B57,INPUT_DATA!$C:$C,"D"))</f>
        <v/>
      </c>
      <c r="CP57" s="153" t="str">
        <f>IF($B57=0,"",SUMIFS(INPUT_DATA!AP:AP,INPUT_DATA!$A:$A,$B57,INPUT_DATA!$C:$C,"D"))</f>
        <v/>
      </c>
      <c r="CQ57" s="153" t="str">
        <f>IF($B57=0,"",SUMIFS(INPUT_DATA!AQ:AQ,INPUT_DATA!$A:$A,$B57,INPUT_DATA!$C:$C,"D"))</f>
        <v/>
      </c>
      <c r="CR57" s="750" t="str">
        <f t="shared" si="32"/>
        <v/>
      </c>
      <c r="CS57" s="750" t="str">
        <f t="shared" si="33"/>
        <v/>
      </c>
      <c r="CT57" s="750" t="str">
        <f t="shared" si="34"/>
        <v/>
      </c>
      <c r="CU57" s="739" t="str">
        <f>IF($B57=0,"",SUMIFS(INPUT_DATA!AR:AR,INPUT_DATA!$A:$A,$B57,INPUT_DATA!$C:$C,"D"))</f>
        <v/>
      </c>
      <c r="CV57" s="739" t="str">
        <f>IF($B57=0,"",SUMIFS(INPUT_DATA!AS:AS,INPUT_DATA!$A:$A,$B57,INPUT_DATA!$C:$C,"D"))</f>
        <v/>
      </c>
      <c r="CW57" s="739" t="str">
        <f>IF($B57=0,"",SUMIFS(INPUT_DATA!AT:AT,INPUT_DATA!$A:$A,$B57,INPUT_DATA!$C:$C,"D"))</f>
        <v/>
      </c>
      <c r="CX57" s="739" t="str">
        <f t="shared" si="35"/>
        <v/>
      </c>
      <c r="CY57" s="750" t="str">
        <f t="shared" si="36"/>
        <v/>
      </c>
      <c r="CZ57" s="761" t="str">
        <f t="shared" si="37"/>
        <v/>
      </c>
      <c r="DA57" s="150"/>
    </row>
    <row r="58" spans="1:105" ht="13" x14ac:dyDescent="0.25">
      <c r="A58" s="172">
        <f t="shared" si="40"/>
        <v>-11</v>
      </c>
      <c r="B58" s="733">
        <f>INPUT_DATA!BQ45</f>
        <v>0</v>
      </c>
      <c r="C58" s="738" t="str">
        <f>IF($B58=0,"",SUMIFS(INPUT_DATA!D:D,INPUT_DATA!$A:$A,$B58,INPUT_DATA!$C:$C,"S"))</f>
        <v/>
      </c>
      <c r="D58" s="739" t="str">
        <f>IF($B58=0,"",SUMIFS(INPUT_DATA!E:E,INPUT_DATA!$A:$A,$B58,INPUT_DATA!$C:$C,"S"))</f>
        <v/>
      </c>
      <c r="E58" s="740" t="str">
        <f>IF($B58=0,"",SUMIFS(INPUT_DATA!F:F,INPUT_DATA!$A:$A,$B58,INPUT_DATA!$C:$C,"S"))</f>
        <v/>
      </c>
      <c r="F58" s="740" t="str">
        <f>IF($B58=0,"",SUMIFS(INPUT_DATA!G:G,INPUT_DATA!$A:$A,$B58,INPUT_DATA!$C:$C,"S"))</f>
        <v/>
      </c>
      <c r="G58" s="740" t="str">
        <f>IF($B58=0,"",SUMIFS(INPUT_DATA!H:H,INPUT_DATA!$A:$A,$B58,INPUT_DATA!$C:$C,"S"))</f>
        <v/>
      </c>
      <c r="H58" s="740" t="str">
        <f>IF($B58=0,"",SUMIFS(INPUT_DATA!I:I,INPUT_DATA!$A:$A,$B58,INPUT_DATA!$C:$C,"S"))</f>
        <v/>
      </c>
      <c r="I58" s="740" t="str">
        <f>IF($B58=0,"",SUMIFS(INPUT_DATA!J:J,INPUT_DATA!$A:$A,$B58,INPUT_DATA!$C:$C,"S"))</f>
        <v/>
      </c>
      <c r="J58" s="740" t="str">
        <f>IF($B58=0,"",SUMIFS(INPUT_DATA!K:K,INPUT_DATA!$A:$A,$B58,INPUT_DATA!$C:$C,"S"))</f>
        <v/>
      </c>
      <c r="K58" s="740" t="str">
        <f>IF($B58=0,"",SUMIFS(INPUT_DATA!L:L,INPUT_DATA!$A:$A,$B58,INPUT_DATA!$C:$C,"S"))</f>
        <v/>
      </c>
      <c r="L58" s="740" t="str">
        <f>IF($B58=0,"",SUMIFS(INPUT_DATA!M:M,INPUT_DATA!$A:$A,$B58,INPUT_DATA!$C:$C,"S"))</f>
        <v/>
      </c>
      <c r="M58" s="740" t="str">
        <f>IF($B58=0,"",SUMIFS(INPUT_DATA!N:N,INPUT_DATA!$A:$A,$B58,INPUT_DATA!$C:$C,"S"))</f>
        <v/>
      </c>
      <c r="N58" s="740" t="str">
        <f>IF($B58=0,"",SUMIFS(INPUT_DATA!O:O,INPUT_DATA!$A:$A,$B58,INPUT_DATA!$C:$C,"S"))</f>
        <v/>
      </c>
      <c r="O58" s="741" t="str">
        <f t="shared" si="38"/>
        <v/>
      </c>
      <c r="P58" s="742" t="str">
        <f>IF($B58=0,"",SUMIFS(INPUT_DATA!P:P,INPUT_DATA!$A:$A,$B58,INPUT_DATA!$C:$C,"S"))</f>
        <v/>
      </c>
      <c r="Q58" s="742" t="str">
        <f t="shared" si="39"/>
        <v/>
      </c>
      <c r="R58" s="748" t="str">
        <f>IF($B58=0,"",SUMIFS(INPUT_DATA!Q:Q,INPUT_DATA!$A:$A,$B58,INPUT_DATA!$C:$C,"S"))</f>
        <v/>
      </c>
      <c r="S58" s="748" t="str">
        <f>IF($B58=0,"",SUMIFS(INPUT_DATA!R:R,INPUT_DATA!$A:$A,$B58,INPUT_DATA!$C:$C,"S"))</f>
        <v/>
      </c>
      <c r="T58" s="748" t="str">
        <f>IF($B58=0,"",SUMIFS(INPUT_DATA!S:S,INPUT_DATA!$A:$A,$B58,INPUT_DATA!$C:$C,"S"))</f>
        <v/>
      </c>
      <c r="U58" s="313" t="str">
        <f>IF($B58=0,"",SUMIFS(INPUT_DATA!T:T,INPUT_DATA!$A:$A,$B58,INPUT_DATA!$C:$C,"S"))</f>
        <v/>
      </c>
      <c r="V58" s="313" t="str">
        <f>IF($B58=0,"",SUMIFS(INPUT_DATA!U:U,INPUT_DATA!$A:$A,$B58,INPUT_DATA!$C:$C,"S"))</f>
        <v/>
      </c>
      <c r="W58" s="313" t="str">
        <f>IF($B58=0,"",SUMIFS(INPUT_DATA!V:V,INPUT_DATA!$A:$A,$B58,INPUT_DATA!$C:$C,"S"))</f>
        <v/>
      </c>
      <c r="X58" s="313" t="str">
        <f>IF($B58=0,"",SUMIFS(INPUT_DATA!W:W,INPUT_DATA!$A:$A,$B58,INPUT_DATA!$C:$C,"S"))</f>
        <v/>
      </c>
      <c r="Y58" s="313" t="str">
        <f>IF($B58=0,"",SUMIFS(INPUT_DATA!X:X,INPUT_DATA!$A:$A,$B58,INPUT_DATA!$C:$C,"S"))</f>
        <v/>
      </c>
      <c r="Z58" s="313" t="str">
        <f>IF($B58=0,"",SUMIFS(INPUT_DATA!Y:Y,INPUT_DATA!$A:$A,$B58,INPUT_DATA!$C:$C,"S"))</f>
        <v/>
      </c>
      <c r="AA58" s="313" t="str">
        <f>IF($B58=0,"",SUMIFS(INPUT_DATA!Z:Z,INPUT_DATA!$A:$A,$B58,INPUT_DATA!$C:$C,"S"))</f>
        <v/>
      </c>
      <c r="AB58" s="313" t="str">
        <f>IF($B58=0,"",SUMIFS(INPUT_DATA!AA:AA,INPUT_DATA!$A:$A,$B58,INPUT_DATA!$C:$C,"S"))</f>
        <v/>
      </c>
      <c r="AC58" s="313" t="str">
        <f>IF($B58=0,"",SUMIFS(INPUT_DATA!AB:AB,INPUT_DATA!$A:$A,$B58,INPUT_DATA!$C:$C,"S"))</f>
        <v/>
      </c>
      <c r="AD58" s="313" t="str">
        <f>IF($B58=0,"",SUMIFS(INPUT_DATA!AC:AC,INPUT_DATA!$A:$A,$B58,INPUT_DATA!$C:$C,"S"))</f>
        <v/>
      </c>
      <c r="AE58" s="313" t="str">
        <f>IF($B58=0,"",SUMIFS(INPUT_DATA!AD:AD,INPUT_DATA!$A:$A,$B58,INPUT_DATA!$C:$C,"S"))</f>
        <v/>
      </c>
      <c r="AF58" s="313" t="str">
        <f>IF($B58=0,"",SUMIFS(INPUT_DATA!AE:AE,INPUT_DATA!$A:$A,$B58,INPUT_DATA!$C:$C,"S"))</f>
        <v/>
      </c>
      <c r="AG58" s="313" t="str">
        <f>IF($B58=0,"",SUMIFS(INPUT_DATA!AF:AF,INPUT_DATA!$A:$A,$B58,INPUT_DATA!$C:$C,"S"))</f>
        <v/>
      </c>
      <c r="AH58" s="313" t="str">
        <f>IF($B58=0,"",SUMIFS(INPUT_DATA!AG:AG,INPUT_DATA!$A:$A,$B58,INPUT_DATA!$C:$C,"S"))</f>
        <v/>
      </c>
      <c r="AI58" s="313" t="str">
        <f>IF($B58=0,"",SUMIFS(INPUT_DATA!AH:AH,INPUT_DATA!$A:$A,$B58,INPUT_DATA!$C:$C,"S"))</f>
        <v/>
      </c>
      <c r="AJ58" s="313" t="str">
        <f>IF($B58=0,"",SUMIFS(INPUT_DATA!AI:AI,INPUT_DATA!$A:$A,$B58,INPUT_DATA!$C:$C,"S"))</f>
        <v/>
      </c>
      <c r="AK58" s="313" t="str">
        <f>IF($B58=0,"",SUMIFS(INPUT_DATA!AJ:AJ,INPUT_DATA!$A:$A,$B58,INPUT_DATA!$C:$C,"S"))</f>
        <v/>
      </c>
      <c r="AL58" s="313" t="str">
        <f>IF($B58=0,"",SUMIFS(INPUT_DATA!AK:AK,INPUT_DATA!$A:$A,$B58,INPUT_DATA!$C:$C,"S"))</f>
        <v/>
      </c>
      <c r="AM58" s="313" t="str">
        <f>IF($B58=0,"",SUMIFS(INPUT_DATA!AL:AL,INPUT_DATA!$A:$A,$B58,INPUT_DATA!$C:$C,"S"))</f>
        <v/>
      </c>
      <c r="AN58" s="313" t="str">
        <f>IF($B58=0,"",SUMIFS(INPUT_DATA!AM:AM,INPUT_DATA!$A:$A,$B58,INPUT_DATA!$C:$C,"S"))</f>
        <v/>
      </c>
      <c r="AO58" s="313" t="str">
        <f>IF($B58=0,"",SUMIFS(INPUT_DATA!AN:AN,INPUT_DATA!$A:$A,$B58,INPUT_DATA!$C:$C,"S"))</f>
        <v/>
      </c>
      <c r="AP58" s="313" t="str">
        <f>IF($B58=0,"",SUMIFS(INPUT_DATA!AO:AO,INPUT_DATA!$A:$A,$B58,INPUT_DATA!$C:$C,"S"))</f>
        <v/>
      </c>
      <c r="AQ58" s="313" t="str">
        <f>IF($B58=0,"",SUMIFS(INPUT_DATA!AP:AP,INPUT_DATA!$A:$A,$B58,INPUT_DATA!$C:$C,"S"))</f>
        <v/>
      </c>
      <c r="AR58" s="313" t="str">
        <f>IF($B58=0,"",SUMIFS(INPUT_DATA!AQ:AQ,INPUT_DATA!$A:$A,$B58,INPUT_DATA!$C:$C,"S"))</f>
        <v/>
      </c>
      <c r="AS58" s="749" t="str">
        <f t="shared" si="29"/>
        <v/>
      </c>
      <c r="AT58" s="750" t="str">
        <f t="shared" si="30"/>
        <v/>
      </c>
      <c r="AU58" s="751" t="str">
        <f t="shared" si="31"/>
        <v/>
      </c>
      <c r="AV58" s="749" t="str">
        <f>IF($B58=0,"",SUMIFS(INPUT_DATA!AR:AR,INPUT_DATA!$A:$A,$B58,INPUT_DATA!$C:$C,"S"))</f>
        <v/>
      </c>
      <c r="AW58" s="750" t="str">
        <f>IF($B58=0,"",SUMIFS(INPUT_DATA!AS:AS,INPUT_DATA!$A:$A,$B58,INPUT_DATA!$C:$C,"S"))</f>
        <v/>
      </c>
      <c r="AX58" s="751" t="str">
        <f>IF($B58=0,"",SUMIFS(INPUT_DATA!AT:AT,INPUT_DATA!$A:$A,$B58,INPUT_DATA!$C:$C,"S"))</f>
        <v/>
      </c>
      <c r="AY58" s="749" t="str">
        <f t="shared" si="15"/>
        <v/>
      </c>
      <c r="AZ58" s="750" t="str">
        <f t="shared" si="16"/>
        <v/>
      </c>
      <c r="BA58" s="751" t="str">
        <f t="shared" si="17"/>
        <v/>
      </c>
      <c r="BB58" s="150"/>
      <c r="BC58" s="738" t="str">
        <f>IF($B58=0,"",SUMIFS(INPUT_DATA!D:D,INPUT_DATA!$A:$A,$B58,INPUT_DATA!$C:$C,"D"))</f>
        <v/>
      </c>
      <c r="BD58" s="312" t="str">
        <f>IF($B58=0,"",SUMIFS(INPUT_DATA!F:F,INPUT_DATA!$A:$A,$B58,INPUT_DATA!$C:$C,"D"))</f>
        <v/>
      </c>
      <c r="BE58" s="312" t="str">
        <f>IF($B58=0,"",SUMIFS(INPUT_DATA!G:G,INPUT_DATA!$A:$A,$B58,INPUT_DATA!$C:$C,"D"))</f>
        <v/>
      </c>
      <c r="BF58" s="312" t="str">
        <f>IF($B58=0,"",SUMIFS(INPUT_DATA!H:H,INPUT_DATA!$A:$A,$B58,INPUT_DATA!$C:$C,"D"))</f>
        <v/>
      </c>
      <c r="BG58" s="312" t="str">
        <f>IF($B58=0,"",SUMIFS(INPUT_DATA!I:I,INPUT_DATA!$A:$A,$B58,INPUT_DATA!$C:$C,"D"))</f>
        <v/>
      </c>
      <c r="BH58" s="312" t="str">
        <f>IF($B58=0,"",SUMIFS(INPUT_DATA!J:J,INPUT_DATA!$A:$A,$B58,INPUT_DATA!$C:$C,"D"))</f>
        <v/>
      </c>
      <c r="BI58" s="312" t="str">
        <f>IF($B58=0,"",SUMIFS(INPUT_DATA!K:K,INPUT_DATA!$A:$A,$B58,INPUT_DATA!$C:$C,"D"))</f>
        <v/>
      </c>
      <c r="BJ58" s="312" t="str">
        <f>IF($B58=0,"",SUMIFS(INPUT_DATA!L:L,INPUT_DATA!$A:$A,$B58,INPUT_DATA!$C:$C,"D"))</f>
        <v/>
      </c>
      <c r="BK58" s="312" t="str">
        <f>IF($B58=0,"",SUMIFS(INPUT_DATA!M:M,INPUT_DATA!$A:$A,$B58,INPUT_DATA!$C:$C,"D"))</f>
        <v/>
      </c>
      <c r="BL58" s="312" t="str">
        <f>IF($B58=0,"",SUMIFS(INPUT_DATA!N:N,INPUT_DATA!$A:$A,$B58,INPUT_DATA!$C:$C,"D"))</f>
        <v/>
      </c>
      <c r="BM58" s="312" t="str">
        <f>IF($B58=0,"",SUMIFS(INPUT_DATA!O:O,INPUT_DATA!$A:$A,$B58,INPUT_DATA!$C:$C,"D"))</f>
        <v/>
      </c>
      <c r="BN58" s="754" t="str">
        <f t="shared" si="18"/>
        <v/>
      </c>
      <c r="BO58" s="754" t="str">
        <f>IF($B58=0,"",SUMIFS(INPUT_DATA!O:O,INPUT_DATA!$A:$A,$B58,INPUT_DATA!$C:$C,"D"))</f>
        <v/>
      </c>
      <c r="BP58" s="754" t="str">
        <f t="shared" si="19"/>
        <v/>
      </c>
      <c r="BQ58" s="738" t="str">
        <f>IF($B58=0,"",SUMIFS(INPUT_DATA!Q:Q,INPUT_DATA!$A:$A,$B58,INPUT_DATA!$C:$C,"D"))</f>
        <v/>
      </c>
      <c r="BR58" s="760" t="str">
        <f>IF($B58=0,"",SUMIFS(INPUT_DATA!R:R,INPUT_DATA!$A:$A,$B58,INPUT_DATA!$C:$C,"D"))</f>
        <v/>
      </c>
      <c r="BS58" s="760" t="str">
        <f>IF($B58=0,"",SUMIFS(INPUT_DATA!S:S,INPUT_DATA!$A:$A,$B58,INPUT_DATA!$C:$C,"D"))</f>
        <v/>
      </c>
      <c r="BT58" s="312" t="str">
        <f>IF($B58=0,"",SUMIFS(INPUT_DATA!T:T,INPUT_DATA!$A:$A,$B58,INPUT_DATA!$C:$C,"D"))</f>
        <v/>
      </c>
      <c r="BU58" s="312" t="str">
        <f>IF($B58=0,"",SUMIFS(INPUT_DATA!U:U,INPUT_DATA!$A:$A,$B58,INPUT_DATA!$C:$C,"D"))</f>
        <v/>
      </c>
      <c r="BV58" s="312" t="str">
        <f>IF($B58=0,"",SUMIFS(INPUT_DATA!V:V,INPUT_DATA!$A:$A,$B58,INPUT_DATA!$C:$C,"D"))</f>
        <v/>
      </c>
      <c r="BW58" s="312" t="str">
        <f>IF($B58=0,"",SUMIFS(INPUT_DATA!W:W,INPUT_DATA!$A:$A,$B58,INPUT_DATA!$C:$C,"D"))</f>
        <v/>
      </c>
      <c r="BX58" s="312" t="str">
        <f>IF($B58=0,"",SUMIFS(INPUT_DATA!X:X,INPUT_DATA!$A:$A,$B58,INPUT_DATA!$C:$C,"D"))</f>
        <v/>
      </c>
      <c r="BY58" s="312" t="str">
        <f>IF($B58=0,"",SUMIFS(INPUT_DATA!Y:Y,INPUT_DATA!$A:$A,$B58,INPUT_DATA!$C:$C,"D"))</f>
        <v/>
      </c>
      <c r="BZ58" s="353" t="str">
        <f>IF($B58=0,"",SUMIFS(INPUT_DATA!Z:Z,INPUT_DATA!$A:$A,$B58,INPUT_DATA!$C:$C,"D"))</f>
        <v/>
      </c>
      <c r="CA58" s="353" t="str">
        <f>IF($B58=0,"",SUMIFS(INPUT_DATA!AA:AA,INPUT_DATA!$A:$A,$B58,INPUT_DATA!$C:$C,"D"))</f>
        <v/>
      </c>
      <c r="CB58" s="353" t="str">
        <f>IF($B58=0,"",SUMIFS(INPUT_DATA!AB:AB,INPUT_DATA!$A:$A,$B58,INPUT_DATA!$C:$C,"D"))</f>
        <v/>
      </c>
      <c r="CC58" s="312" t="str">
        <f>IF($B58=0,"",SUMIFS(INPUT_DATA!AC:AC,INPUT_DATA!$A:$A,$B58,INPUT_DATA!$C:$C,"D"))</f>
        <v/>
      </c>
      <c r="CD58" s="312" t="str">
        <f>IF($B58=0,"",SUMIFS(INPUT_DATA!AD:AD,INPUT_DATA!$A:$A,$B58,INPUT_DATA!$C:$C,"D"))</f>
        <v/>
      </c>
      <c r="CE58" s="312" t="str">
        <f>IF($B58=0,"",SUMIFS(INPUT_DATA!AE:AE,INPUT_DATA!$A:$A,$B58,INPUT_DATA!$C:$C,"D"))</f>
        <v/>
      </c>
      <c r="CF58" s="353" t="str">
        <f>IF($B58=0,"",SUMIFS(INPUT_DATA!AF:AF,INPUT_DATA!$A:$A,$B58,INPUT_DATA!$C:$C,"D"))</f>
        <v/>
      </c>
      <c r="CG58" s="353" t="str">
        <f>IF($B58=0,"",SUMIFS(INPUT_DATA!AG:AG,INPUT_DATA!$A:$A,$B58,INPUT_DATA!$C:$C,"D"))</f>
        <v/>
      </c>
      <c r="CH58" s="353" t="str">
        <f>IF($B58=0,"",SUMIFS(INPUT_DATA!AH:AH,INPUT_DATA!$A:$A,$B58,INPUT_DATA!$C:$C,"D"))</f>
        <v/>
      </c>
      <c r="CI58" s="153" t="str">
        <f>IF($B58=0,"",SUMIFS(INPUT_DATA!AI:AI,INPUT_DATA!$A:$A,$B58,INPUT_DATA!$C:$C,"D"))</f>
        <v/>
      </c>
      <c r="CJ58" s="153" t="str">
        <f>IF($B58=0,"",SUMIFS(INPUT_DATA!AJ:AJ,INPUT_DATA!$A:$A,$B58,INPUT_DATA!$C:$C,"D"))</f>
        <v/>
      </c>
      <c r="CK58" s="153" t="str">
        <f>IF($B58=0,"",SUMIFS(INPUT_DATA!AK:AK,INPUT_DATA!$A:$A,$B58,INPUT_DATA!$C:$C,"D"))</f>
        <v/>
      </c>
      <c r="CL58" s="153" t="str">
        <f>IF($B58=0,"",SUMIFS(INPUT_DATA!AL:AL,INPUT_DATA!$A:$A,$B58,INPUT_DATA!$C:$C,"D"))</f>
        <v/>
      </c>
      <c r="CM58" s="153" t="str">
        <f>IF($B58=0,"",SUMIFS(INPUT_DATA!AM:AM,INPUT_DATA!$A:$A,$B58,INPUT_DATA!$C:$C,"D"))</f>
        <v/>
      </c>
      <c r="CN58" s="153" t="str">
        <f>IF($B58=0,"",SUMIFS(INPUT_DATA!AN:AN,INPUT_DATA!$A:$A,$B58,INPUT_DATA!$C:$C,"D"))</f>
        <v/>
      </c>
      <c r="CO58" s="153" t="str">
        <f>IF($B58=0,"",SUMIFS(INPUT_DATA!AO:AO,INPUT_DATA!$A:$A,$B58,INPUT_DATA!$C:$C,"D"))</f>
        <v/>
      </c>
      <c r="CP58" s="153" t="str">
        <f>IF($B58=0,"",SUMIFS(INPUT_DATA!AP:AP,INPUT_DATA!$A:$A,$B58,INPUT_DATA!$C:$C,"D"))</f>
        <v/>
      </c>
      <c r="CQ58" s="153" t="str">
        <f>IF($B58=0,"",SUMIFS(INPUT_DATA!AQ:AQ,INPUT_DATA!$A:$A,$B58,INPUT_DATA!$C:$C,"D"))</f>
        <v/>
      </c>
      <c r="CR58" s="750" t="str">
        <f t="shared" si="32"/>
        <v/>
      </c>
      <c r="CS58" s="750" t="str">
        <f t="shared" si="33"/>
        <v/>
      </c>
      <c r="CT58" s="750" t="str">
        <f t="shared" si="34"/>
        <v/>
      </c>
      <c r="CU58" s="739" t="str">
        <f>IF($B58=0,"",SUMIFS(INPUT_DATA!AR:AR,INPUT_DATA!$A:$A,$B58,INPUT_DATA!$C:$C,"D"))</f>
        <v/>
      </c>
      <c r="CV58" s="739" t="str">
        <f>IF($B58=0,"",SUMIFS(INPUT_DATA!AS:AS,INPUT_DATA!$A:$A,$B58,INPUT_DATA!$C:$C,"D"))</f>
        <v/>
      </c>
      <c r="CW58" s="739" t="str">
        <f>IF($B58=0,"",SUMIFS(INPUT_DATA!AT:AT,INPUT_DATA!$A:$A,$B58,INPUT_DATA!$C:$C,"D"))</f>
        <v/>
      </c>
      <c r="CX58" s="739" t="str">
        <f t="shared" si="35"/>
        <v/>
      </c>
      <c r="CY58" s="750" t="str">
        <f t="shared" si="36"/>
        <v/>
      </c>
      <c r="CZ58" s="761" t="str">
        <f t="shared" si="37"/>
        <v/>
      </c>
      <c r="DA58" s="150"/>
    </row>
    <row r="59" spans="1:105" ht="13" x14ac:dyDescent="0.25">
      <c r="A59" s="172">
        <f t="shared" si="40"/>
        <v>-12</v>
      </c>
      <c r="B59" s="733">
        <f>INPUT_DATA!BQ46</f>
        <v>0</v>
      </c>
      <c r="C59" s="738" t="str">
        <f>IF($B59=0,"",SUMIFS(INPUT_DATA!D:D,INPUT_DATA!$A:$A,$B59,INPUT_DATA!$C:$C,"S"))</f>
        <v/>
      </c>
      <c r="D59" s="739" t="str">
        <f>IF($B59=0,"",SUMIFS(INPUT_DATA!E:E,INPUT_DATA!$A:$A,$B59,INPUT_DATA!$C:$C,"S"))</f>
        <v/>
      </c>
      <c r="E59" s="740" t="str">
        <f>IF($B59=0,"",SUMIFS(INPUT_DATA!F:F,INPUT_DATA!$A:$A,$B59,INPUT_DATA!$C:$C,"S"))</f>
        <v/>
      </c>
      <c r="F59" s="740" t="str">
        <f>IF($B59=0,"",SUMIFS(INPUT_DATA!G:G,INPUT_DATA!$A:$A,$B59,INPUT_DATA!$C:$C,"S"))</f>
        <v/>
      </c>
      <c r="G59" s="740" t="str">
        <f>IF($B59=0,"",SUMIFS(INPUT_DATA!H:H,INPUT_DATA!$A:$A,$B59,INPUT_DATA!$C:$C,"S"))</f>
        <v/>
      </c>
      <c r="H59" s="740" t="str">
        <f>IF($B59=0,"",SUMIFS(INPUT_DATA!I:I,INPUT_DATA!$A:$A,$B59,INPUT_DATA!$C:$C,"S"))</f>
        <v/>
      </c>
      <c r="I59" s="740" t="str">
        <f>IF($B59=0,"",SUMIFS(INPUT_DATA!J:J,INPUT_DATA!$A:$A,$B59,INPUT_DATA!$C:$C,"S"))</f>
        <v/>
      </c>
      <c r="J59" s="740" t="str">
        <f>IF($B59=0,"",SUMIFS(INPUT_DATA!K:K,INPUT_DATA!$A:$A,$B59,INPUT_DATA!$C:$C,"S"))</f>
        <v/>
      </c>
      <c r="K59" s="740" t="str">
        <f>IF($B59=0,"",SUMIFS(INPUT_DATA!L:L,INPUT_DATA!$A:$A,$B59,INPUT_DATA!$C:$C,"S"))</f>
        <v/>
      </c>
      <c r="L59" s="740" t="str">
        <f>IF($B59=0,"",SUMIFS(INPUT_DATA!M:M,INPUT_DATA!$A:$A,$B59,INPUT_DATA!$C:$C,"S"))</f>
        <v/>
      </c>
      <c r="M59" s="740" t="str">
        <f>IF($B59=0,"",SUMIFS(INPUT_DATA!N:N,INPUT_DATA!$A:$A,$B59,INPUT_DATA!$C:$C,"S"))</f>
        <v/>
      </c>
      <c r="N59" s="740" t="str">
        <f>IF($B59=0,"",SUMIFS(INPUT_DATA!O:O,INPUT_DATA!$A:$A,$B59,INPUT_DATA!$C:$C,"S"))</f>
        <v/>
      </c>
      <c r="O59" s="741" t="str">
        <f t="shared" si="38"/>
        <v/>
      </c>
      <c r="P59" s="742" t="str">
        <f>IF($B59=0,"",SUMIFS(INPUT_DATA!P:P,INPUT_DATA!$A:$A,$B59,INPUT_DATA!$C:$C,"S"))</f>
        <v/>
      </c>
      <c r="Q59" s="742" t="str">
        <f t="shared" si="39"/>
        <v/>
      </c>
      <c r="R59" s="748" t="str">
        <f>IF($B59=0,"",SUMIFS(INPUT_DATA!Q:Q,INPUT_DATA!$A:$A,$B59,INPUT_DATA!$C:$C,"S"))</f>
        <v/>
      </c>
      <c r="S59" s="748" t="str">
        <f>IF($B59=0,"",SUMIFS(INPUT_DATA!R:R,INPUT_DATA!$A:$A,$B59,INPUT_DATA!$C:$C,"S"))</f>
        <v/>
      </c>
      <c r="T59" s="748" t="str">
        <f>IF($B59=0,"",SUMIFS(INPUT_DATA!S:S,INPUT_DATA!$A:$A,$B59,INPUT_DATA!$C:$C,"S"))</f>
        <v/>
      </c>
      <c r="U59" s="313" t="str">
        <f>IF($B59=0,"",SUMIFS(INPUT_DATA!T:T,INPUT_DATA!$A:$A,$B59,INPUT_DATA!$C:$C,"S"))</f>
        <v/>
      </c>
      <c r="V59" s="313" t="str">
        <f>IF($B59=0,"",SUMIFS(INPUT_DATA!U:U,INPUT_DATA!$A:$A,$B59,INPUT_DATA!$C:$C,"S"))</f>
        <v/>
      </c>
      <c r="W59" s="313" t="str">
        <f>IF($B59=0,"",SUMIFS(INPUT_DATA!V:V,INPUT_DATA!$A:$A,$B59,INPUT_DATA!$C:$C,"S"))</f>
        <v/>
      </c>
      <c r="X59" s="313" t="str">
        <f>IF($B59=0,"",SUMIFS(INPUT_DATA!W:W,INPUT_DATA!$A:$A,$B59,INPUT_DATA!$C:$C,"S"))</f>
        <v/>
      </c>
      <c r="Y59" s="313" t="str">
        <f>IF($B59=0,"",SUMIFS(INPUT_DATA!X:X,INPUT_DATA!$A:$A,$B59,INPUT_DATA!$C:$C,"S"))</f>
        <v/>
      </c>
      <c r="Z59" s="313" t="str">
        <f>IF($B59=0,"",SUMIFS(INPUT_DATA!Y:Y,INPUT_DATA!$A:$A,$B59,INPUT_DATA!$C:$C,"S"))</f>
        <v/>
      </c>
      <c r="AA59" s="313" t="str">
        <f>IF($B59=0,"",SUMIFS(INPUT_DATA!Z:Z,INPUT_DATA!$A:$A,$B59,INPUT_DATA!$C:$C,"S"))</f>
        <v/>
      </c>
      <c r="AB59" s="313" t="str">
        <f>IF($B59=0,"",SUMIFS(INPUT_DATA!AA:AA,INPUT_DATA!$A:$A,$B59,INPUT_DATA!$C:$C,"S"))</f>
        <v/>
      </c>
      <c r="AC59" s="313" t="str">
        <f>IF($B59=0,"",SUMIFS(INPUT_DATA!AB:AB,INPUT_DATA!$A:$A,$B59,INPUT_DATA!$C:$C,"S"))</f>
        <v/>
      </c>
      <c r="AD59" s="313" t="str">
        <f>IF($B59=0,"",SUMIFS(INPUT_DATA!AC:AC,INPUT_DATA!$A:$A,$B59,INPUT_DATA!$C:$C,"S"))</f>
        <v/>
      </c>
      <c r="AE59" s="313" t="str">
        <f>IF($B59=0,"",SUMIFS(INPUT_DATA!AD:AD,INPUT_DATA!$A:$A,$B59,INPUT_DATA!$C:$C,"S"))</f>
        <v/>
      </c>
      <c r="AF59" s="313" t="str">
        <f>IF($B59=0,"",SUMIFS(INPUT_DATA!AE:AE,INPUT_DATA!$A:$A,$B59,INPUT_DATA!$C:$C,"S"))</f>
        <v/>
      </c>
      <c r="AG59" s="313" t="str">
        <f>IF($B59=0,"",SUMIFS(INPUT_DATA!AF:AF,INPUT_DATA!$A:$A,$B59,INPUT_DATA!$C:$C,"S"))</f>
        <v/>
      </c>
      <c r="AH59" s="313" t="str">
        <f>IF($B59=0,"",SUMIFS(INPUT_DATA!AG:AG,INPUT_DATA!$A:$A,$B59,INPUT_DATA!$C:$C,"S"))</f>
        <v/>
      </c>
      <c r="AI59" s="313" t="str">
        <f>IF($B59=0,"",SUMIFS(INPUT_DATA!AH:AH,INPUT_DATA!$A:$A,$B59,INPUT_DATA!$C:$C,"S"))</f>
        <v/>
      </c>
      <c r="AJ59" s="313" t="str">
        <f>IF($B59=0,"",SUMIFS(INPUT_DATA!AI:AI,INPUT_DATA!$A:$A,$B59,INPUT_DATA!$C:$C,"S"))</f>
        <v/>
      </c>
      <c r="AK59" s="313" t="str">
        <f>IF($B59=0,"",SUMIFS(INPUT_DATA!AJ:AJ,INPUT_DATA!$A:$A,$B59,INPUT_DATA!$C:$C,"S"))</f>
        <v/>
      </c>
      <c r="AL59" s="313" t="str">
        <f>IF($B59=0,"",SUMIFS(INPUT_DATA!AK:AK,INPUT_DATA!$A:$A,$B59,INPUT_DATA!$C:$C,"S"))</f>
        <v/>
      </c>
      <c r="AM59" s="313" t="str">
        <f>IF($B59=0,"",SUMIFS(INPUT_DATA!AL:AL,INPUT_DATA!$A:$A,$B59,INPUT_DATA!$C:$C,"S"))</f>
        <v/>
      </c>
      <c r="AN59" s="313" t="str">
        <f>IF($B59=0,"",SUMIFS(INPUT_DATA!AM:AM,INPUT_DATA!$A:$A,$B59,INPUT_DATA!$C:$C,"S"))</f>
        <v/>
      </c>
      <c r="AO59" s="313" t="str">
        <f>IF($B59=0,"",SUMIFS(INPUT_DATA!AN:AN,INPUT_DATA!$A:$A,$B59,INPUT_DATA!$C:$C,"S"))</f>
        <v/>
      </c>
      <c r="AP59" s="313" t="str">
        <f>IF($B59=0,"",SUMIFS(INPUT_DATA!AO:AO,INPUT_DATA!$A:$A,$B59,INPUT_DATA!$C:$C,"S"))</f>
        <v/>
      </c>
      <c r="AQ59" s="313" t="str">
        <f>IF($B59=0,"",SUMIFS(INPUT_DATA!AP:AP,INPUT_DATA!$A:$A,$B59,INPUT_DATA!$C:$C,"S"))</f>
        <v/>
      </c>
      <c r="AR59" s="313" t="str">
        <f>IF($B59=0,"",SUMIFS(INPUT_DATA!AQ:AQ,INPUT_DATA!$A:$A,$B59,INPUT_DATA!$C:$C,"S"))</f>
        <v/>
      </c>
      <c r="AS59" s="749" t="str">
        <f t="shared" si="29"/>
        <v/>
      </c>
      <c r="AT59" s="750" t="str">
        <f t="shared" si="30"/>
        <v/>
      </c>
      <c r="AU59" s="751" t="str">
        <f t="shared" si="31"/>
        <v/>
      </c>
      <c r="AV59" s="749" t="str">
        <f>IF($B59=0,"",SUMIFS(INPUT_DATA!AR:AR,INPUT_DATA!$A:$A,$B59,INPUT_DATA!$C:$C,"S"))</f>
        <v/>
      </c>
      <c r="AW59" s="750" t="str">
        <f>IF($B59=0,"",SUMIFS(INPUT_DATA!AS:AS,INPUT_DATA!$A:$A,$B59,INPUT_DATA!$C:$C,"S"))</f>
        <v/>
      </c>
      <c r="AX59" s="751" t="str">
        <f>IF($B59=0,"",SUMIFS(INPUT_DATA!AT:AT,INPUT_DATA!$A:$A,$B59,INPUT_DATA!$C:$C,"S"))</f>
        <v/>
      </c>
      <c r="AY59" s="749" t="str">
        <f t="shared" si="15"/>
        <v/>
      </c>
      <c r="AZ59" s="750" t="str">
        <f t="shared" si="16"/>
        <v/>
      </c>
      <c r="BA59" s="751" t="str">
        <f t="shared" si="17"/>
        <v/>
      </c>
      <c r="BB59" s="150"/>
      <c r="BC59" s="738" t="str">
        <f>IF($B59=0,"",SUMIFS(INPUT_DATA!D:D,INPUT_DATA!$A:$A,$B59,INPUT_DATA!$C:$C,"D"))</f>
        <v/>
      </c>
      <c r="BD59" s="312" t="str">
        <f>IF($B59=0,"",SUMIFS(INPUT_DATA!F:F,INPUT_DATA!$A:$A,$B59,INPUT_DATA!$C:$C,"D"))</f>
        <v/>
      </c>
      <c r="BE59" s="312" t="str">
        <f>IF($B59=0,"",SUMIFS(INPUT_DATA!G:G,INPUT_DATA!$A:$A,$B59,INPUT_DATA!$C:$C,"D"))</f>
        <v/>
      </c>
      <c r="BF59" s="312" t="str">
        <f>IF($B59=0,"",SUMIFS(INPUT_DATA!H:H,INPUT_DATA!$A:$A,$B59,INPUT_DATA!$C:$C,"D"))</f>
        <v/>
      </c>
      <c r="BG59" s="312" t="str">
        <f>IF($B59=0,"",SUMIFS(INPUT_DATA!I:I,INPUT_DATA!$A:$A,$B59,INPUT_DATA!$C:$C,"D"))</f>
        <v/>
      </c>
      <c r="BH59" s="312" t="str">
        <f>IF($B59=0,"",SUMIFS(INPUT_DATA!J:J,INPUT_DATA!$A:$A,$B59,INPUT_DATA!$C:$C,"D"))</f>
        <v/>
      </c>
      <c r="BI59" s="312" t="str">
        <f>IF($B59=0,"",SUMIFS(INPUT_DATA!K:K,INPUT_DATA!$A:$A,$B59,INPUT_DATA!$C:$C,"D"))</f>
        <v/>
      </c>
      <c r="BJ59" s="312" t="str">
        <f>IF($B59=0,"",SUMIFS(INPUT_DATA!L:L,INPUT_DATA!$A:$A,$B59,INPUT_DATA!$C:$C,"D"))</f>
        <v/>
      </c>
      <c r="BK59" s="312" t="str">
        <f>IF($B59=0,"",SUMIFS(INPUT_DATA!M:M,INPUT_DATA!$A:$A,$B59,INPUT_DATA!$C:$C,"D"))</f>
        <v/>
      </c>
      <c r="BL59" s="312" t="str">
        <f>IF($B59=0,"",SUMIFS(INPUT_DATA!N:N,INPUT_DATA!$A:$A,$B59,INPUT_DATA!$C:$C,"D"))</f>
        <v/>
      </c>
      <c r="BM59" s="312" t="str">
        <f>IF($B59=0,"",SUMIFS(INPUT_DATA!O:O,INPUT_DATA!$A:$A,$B59,INPUT_DATA!$C:$C,"D"))</f>
        <v/>
      </c>
      <c r="BN59" s="754" t="str">
        <f t="shared" si="18"/>
        <v/>
      </c>
      <c r="BO59" s="754" t="str">
        <f>IF($B59=0,"",SUMIFS(INPUT_DATA!O:O,INPUT_DATA!$A:$A,$B59,INPUT_DATA!$C:$C,"D"))</f>
        <v/>
      </c>
      <c r="BP59" s="754" t="str">
        <f t="shared" si="19"/>
        <v/>
      </c>
      <c r="BQ59" s="738" t="str">
        <f>IF($B59=0,"",SUMIFS(INPUT_DATA!Q:Q,INPUT_DATA!$A:$A,$B59,INPUT_DATA!$C:$C,"D"))</f>
        <v/>
      </c>
      <c r="BR59" s="760" t="str">
        <f>IF($B59=0,"",SUMIFS(INPUT_DATA!R:R,INPUT_DATA!$A:$A,$B59,INPUT_DATA!$C:$C,"D"))</f>
        <v/>
      </c>
      <c r="BS59" s="760" t="str">
        <f>IF($B59=0,"",SUMIFS(INPUT_DATA!S:S,INPUT_DATA!$A:$A,$B59,INPUT_DATA!$C:$C,"D"))</f>
        <v/>
      </c>
      <c r="BT59" s="312" t="str">
        <f>IF($B59=0,"",SUMIFS(INPUT_DATA!T:T,INPUT_DATA!$A:$A,$B59,INPUT_DATA!$C:$C,"D"))</f>
        <v/>
      </c>
      <c r="BU59" s="312" t="str">
        <f>IF($B59=0,"",SUMIFS(INPUT_DATA!U:U,INPUT_DATA!$A:$A,$B59,INPUT_DATA!$C:$C,"D"))</f>
        <v/>
      </c>
      <c r="BV59" s="312" t="str">
        <f>IF($B59=0,"",SUMIFS(INPUT_DATA!V:V,INPUT_DATA!$A:$A,$B59,INPUT_DATA!$C:$C,"D"))</f>
        <v/>
      </c>
      <c r="BW59" s="312" t="str">
        <f>IF($B59=0,"",SUMIFS(INPUT_DATA!W:W,INPUT_DATA!$A:$A,$B59,INPUT_DATA!$C:$C,"D"))</f>
        <v/>
      </c>
      <c r="BX59" s="312" t="str">
        <f>IF($B59=0,"",SUMIFS(INPUT_DATA!X:X,INPUT_DATA!$A:$A,$B59,INPUT_DATA!$C:$C,"D"))</f>
        <v/>
      </c>
      <c r="BY59" s="312" t="str">
        <f>IF($B59=0,"",SUMIFS(INPUT_DATA!Y:Y,INPUT_DATA!$A:$A,$B59,INPUT_DATA!$C:$C,"D"))</f>
        <v/>
      </c>
      <c r="BZ59" s="353" t="str">
        <f>IF($B59=0,"",SUMIFS(INPUT_DATA!Z:Z,INPUT_DATA!$A:$A,$B59,INPUT_DATA!$C:$C,"D"))</f>
        <v/>
      </c>
      <c r="CA59" s="353" t="str">
        <f>IF($B59=0,"",SUMIFS(INPUT_DATA!AA:AA,INPUT_DATA!$A:$A,$B59,INPUT_DATA!$C:$C,"D"))</f>
        <v/>
      </c>
      <c r="CB59" s="353" t="str">
        <f>IF($B59=0,"",SUMIFS(INPUT_DATA!AB:AB,INPUT_DATA!$A:$A,$B59,INPUT_DATA!$C:$C,"D"))</f>
        <v/>
      </c>
      <c r="CC59" s="312" t="str">
        <f>IF($B59=0,"",SUMIFS(INPUT_DATA!AC:AC,INPUT_DATA!$A:$A,$B59,INPUT_DATA!$C:$C,"D"))</f>
        <v/>
      </c>
      <c r="CD59" s="312" t="str">
        <f>IF($B59=0,"",SUMIFS(INPUT_DATA!AD:AD,INPUT_DATA!$A:$A,$B59,INPUT_DATA!$C:$C,"D"))</f>
        <v/>
      </c>
      <c r="CE59" s="312" t="str">
        <f>IF($B59=0,"",SUMIFS(INPUT_DATA!AE:AE,INPUT_DATA!$A:$A,$B59,INPUT_DATA!$C:$C,"D"))</f>
        <v/>
      </c>
      <c r="CF59" s="353" t="str">
        <f>IF($B59=0,"",SUMIFS(INPUT_DATA!AF:AF,INPUT_DATA!$A:$A,$B59,INPUT_DATA!$C:$C,"D"))</f>
        <v/>
      </c>
      <c r="CG59" s="353" t="str">
        <f>IF($B59=0,"",SUMIFS(INPUT_DATA!AG:AG,INPUT_DATA!$A:$A,$B59,INPUT_DATA!$C:$C,"D"))</f>
        <v/>
      </c>
      <c r="CH59" s="353" t="str">
        <f>IF($B59=0,"",SUMIFS(INPUT_DATA!AH:AH,INPUT_DATA!$A:$A,$B59,INPUT_DATA!$C:$C,"D"))</f>
        <v/>
      </c>
      <c r="CI59" s="153" t="str">
        <f>IF($B59=0,"",SUMIFS(INPUT_DATA!AI:AI,INPUT_DATA!$A:$A,$B59,INPUT_DATA!$C:$C,"D"))</f>
        <v/>
      </c>
      <c r="CJ59" s="153" t="str">
        <f>IF($B59=0,"",SUMIFS(INPUT_DATA!AJ:AJ,INPUT_DATA!$A:$A,$B59,INPUT_DATA!$C:$C,"D"))</f>
        <v/>
      </c>
      <c r="CK59" s="153" t="str">
        <f>IF($B59=0,"",SUMIFS(INPUT_DATA!AK:AK,INPUT_DATA!$A:$A,$B59,INPUT_DATA!$C:$C,"D"))</f>
        <v/>
      </c>
      <c r="CL59" s="153" t="str">
        <f>IF($B59=0,"",SUMIFS(INPUT_DATA!AL:AL,INPUT_DATA!$A:$A,$B59,INPUT_DATA!$C:$C,"D"))</f>
        <v/>
      </c>
      <c r="CM59" s="153" t="str">
        <f>IF($B59=0,"",SUMIFS(INPUT_DATA!AM:AM,INPUT_DATA!$A:$A,$B59,INPUT_DATA!$C:$C,"D"))</f>
        <v/>
      </c>
      <c r="CN59" s="153" t="str">
        <f>IF($B59=0,"",SUMIFS(INPUT_DATA!AN:AN,INPUT_DATA!$A:$A,$B59,INPUT_DATA!$C:$C,"D"))</f>
        <v/>
      </c>
      <c r="CO59" s="153" t="str">
        <f>IF($B59=0,"",SUMIFS(INPUT_DATA!AO:AO,INPUT_DATA!$A:$A,$B59,INPUT_DATA!$C:$C,"D"))</f>
        <v/>
      </c>
      <c r="CP59" s="153" t="str">
        <f>IF($B59=0,"",SUMIFS(INPUT_DATA!AP:AP,INPUT_DATA!$A:$A,$B59,INPUT_DATA!$C:$C,"D"))</f>
        <v/>
      </c>
      <c r="CQ59" s="153" t="str">
        <f>IF($B59=0,"",SUMIFS(INPUT_DATA!AQ:AQ,INPUT_DATA!$A:$A,$B59,INPUT_DATA!$C:$C,"D"))</f>
        <v/>
      </c>
      <c r="CR59" s="750" t="str">
        <f t="shared" si="32"/>
        <v/>
      </c>
      <c r="CS59" s="750" t="str">
        <f t="shared" si="33"/>
        <v/>
      </c>
      <c r="CT59" s="750" t="str">
        <f t="shared" si="34"/>
        <v/>
      </c>
      <c r="CU59" s="739" t="str">
        <f>IF($B59=0,"",SUMIFS(INPUT_DATA!AR:AR,INPUT_DATA!$A:$A,$B59,INPUT_DATA!$C:$C,"D"))</f>
        <v/>
      </c>
      <c r="CV59" s="739" t="str">
        <f>IF($B59=0,"",SUMIFS(INPUT_DATA!AS:AS,INPUT_DATA!$A:$A,$B59,INPUT_DATA!$C:$C,"D"))</f>
        <v/>
      </c>
      <c r="CW59" s="739" t="str">
        <f>IF($B59=0,"",SUMIFS(INPUT_DATA!AT:AT,INPUT_DATA!$A:$A,$B59,INPUT_DATA!$C:$C,"D"))</f>
        <v/>
      </c>
      <c r="CX59" s="739" t="str">
        <f t="shared" si="35"/>
        <v/>
      </c>
      <c r="CY59" s="750" t="str">
        <f t="shared" si="36"/>
        <v/>
      </c>
      <c r="CZ59" s="761" t="str">
        <f t="shared" si="37"/>
        <v/>
      </c>
      <c r="DA59" s="150"/>
    </row>
    <row r="60" spans="1:105" ht="13" x14ac:dyDescent="0.25">
      <c r="A60" s="172">
        <f t="shared" si="40"/>
        <v>-13</v>
      </c>
      <c r="B60" s="733">
        <f>INPUT_DATA!BQ47</f>
        <v>0</v>
      </c>
      <c r="C60" s="738" t="str">
        <f>IF($B60=0,"",SUMIFS(INPUT_DATA!D:D,INPUT_DATA!$A:$A,$B60,INPUT_DATA!$C:$C,"S"))</f>
        <v/>
      </c>
      <c r="D60" s="739" t="str">
        <f>IF($B60=0,"",SUMIFS(INPUT_DATA!E:E,INPUT_DATA!$A:$A,$B60,INPUT_DATA!$C:$C,"S"))</f>
        <v/>
      </c>
      <c r="E60" s="740" t="str">
        <f>IF($B60=0,"",SUMIFS(INPUT_DATA!F:F,INPUT_DATA!$A:$A,$B60,INPUT_DATA!$C:$C,"S"))</f>
        <v/>
      </c>
      <c r="F60" s="740" t="str">
        <f>IF($B60=0,"",SUMIFS(INPUT_DATA!G:G,INPUT_DATA!$A:$A,$B60,INPUT_DATA!$C:$C,"S"))</f>
        <v/>
      </c>
      <c r="G60" s="740" t="str">
        <f>IF($B60=0,"",SUMIFS(INPUT_DATA!H:H,INPUT_DATA!$A:$A,$B60,INPUT_DATA!$C:$C,"S"))</f>
        <v/>
      </c>
      <c r="H60" s="740" t="str">
        <f>IF($B60=0,"",SUMIFS(INPUT_DATA!I:I,INPUT_DATA!$A:$A,$B60,INPUT_DATA!$C:$C,"S"))</f>
        <v/>
      </c>
      <c r="I60" s="740" t="str">
        <f>IF($B60=0,"",SUMIFS(INPUT_DATA!J:J,INPUT_DATA!$A:$A,$B60,INPUT_DATA!$C:$C,"S"))</f>
        <v/>
      </c>
      <c r="J60" s="740" t="str">
        <f>IF($B60=0,"",SUMIFS(INPUT_DATA!K:K,INPUT_DATA!$A:$A,$B60,INPUT_DATA!$C:$C,"S"))</f>
        <v/>
      </c>
      <c r="K60" s="740" t="str">
        <f>IF($B60=0,"",SUMIFS(INPUT_DATA!L:L,INPUT_DATA!$A:$A,$B60,INPUT_DATA!$C:$C,"S"))</f>
        <v/>
      </c>
      <c r="L60" s="740" t="str">
        <f>IF($B60=0,"",SUMIFS(INPUT_DATA!M:M,INPUT_DATA!$A:$A,$B60,INPUT_DATA!$C:$C,"S"))</f>
        <v/>
      </c>
      <c r="M60" s="740" t="str">
        <f>IF($B60=0,"",SUMIFS(INPUT_DATA!N:N,INPUT_DATA!$A:$A,$B60,INPUT_DATA!$C:$C,"S"))</f>
        <v/>
      </c>
      <c r="N60" s="740" t="str">
        <f>IF($B60=0,"",SUMIFS(INPUT_DATA!O:O,INPUT_DATA!$A:$A,$B60,INPUT_DATA!$C:$C,"S"))</f>
        <v/>
      </c>
      <c r="O60" s="741" t="str">
        <f t="shared" si="38"/>
        <v/>
      </c>
      <c r="P60" s="742" t="str">
        <f>IF($B60=0,"",SUMIFS(INPUT_DATA!P:P,INPUT_DATA!$A:$A,$B60,INPUT_DATA!$C:$C,"S"))</f>
        <v/>
      </c>
      <c r="Q60" s="742" t="str">
        <f t="shared" si="39"/>
        <v/>
      </c>
      <c r="R60" s="748" t="str">
        <f>IF($B60=0,"",SUMIFS(INPUT_DATA!Q:Q,INPUT_DATA!$A:$A,$B60,INPUT_DATA!$C:$C,"S"))</f>
        <v/>
      </c>
      <c r="S60" s="748" t="str">
        <f>IF($B60=0,"",SUMIFS(INPUT_DATA!R:R,INPUT_DATA!$A:$A,$B60,INPUT_DATA!$C:$C,"S"))</f>
        <v/>
      </c>
      <c r="T60" s="748" t="str">
        <f>IF($B60=0,"",SUMIFS(INPUT_DATA!S:S,INPUT_DATA!$A:$A,$B60,INPUT_DATA!$C:$C,"S"))</f>
        <v/>
      </c>
      <c r="U60" s="313" t="str">
        <f>IF($B60=0,"",SUMIFS(INPUT_DATA!T:T,INPUT_DATA!$A:$A,$B60,INPUT_DATA!$C:$C,"S"))</f>
        <v/>
      </c>
      <c r="V60" s="313" t="str">
        <f>IF($B60=0,"",SUMIFS(INPUT_DATA!U:U,INPUT_DATA!$A:$A,$B60,INPUT_DATA!$C:$C,"S"))</f>
        <v/>
      </c>
      <c r="W60" s="313" t="str">
        <f>IF($B60=0,"",SUMIFS(INPUT_DATA!V:V,INPUT_DATA!$A:$A,$B60,INPUT_DATA!$C:$C,"S"))</f>
        <v/>
      </c>
      <c r="X60" s="313" t="str">
        <f>IF($B60=0,"",SUMIFS(INPUT_DATA!W:W,INPUT_DATA!$A:$A,$B60,INPUT_DATA!$C:$C,"S"))</f>
        <v/>
      </c>
      <c r="Y60" s="313" t="str">
        <f>IF($B60=0,"",SUMIFS(INPUT_DATA!X:X,INPUT_DATA!$A:$A,$B60,INPUT_DATA!$C:$C,"S"))</f>
        <v/>
      </c>
      <c r="Z60" s="313" t="str">
        <f>IF($B60=0,"",SUMIFS(INPUT_DATA!Y:Y,INPUT_DATA!$A:$A,$B60,INPUT_DATA!$C:$C,"S"))</f>
        <v/>
      </c>
      <c r="AA60" s="313" t="str">
        <f>IF($B60=0,"",SUMIFS(INPUT_DATA!Z:Z,INPUT_DATA!$A:$A,$B60,INPUT_DATA!$C:$C,"S"))</f>
        <v/>
      </c>
      <c r="AB60" s="313" t="str">
        <f>IF($B60=0,"",SUMIFS(INPUT_DATA!AA:AA,INPUT_DATA!$A:$A,$B60,INPUT_DATA!$C:$C,"S"))</f>
        <v/>
      </c>
      <c r="AC60" s="313" t="str">
        <f>IF($B60=0,"",SUMIFS(INPUT_DATA!AB:AB,INPUT_DATA!$A:$A,$B60,INPUT_DATA!$C:$C,"S"))</f>
        <v/>
      </c>
      <c r="AD60" s="313" t="str">
        <f>IF($B60=0,"",SUMIFS(INPUT_DATA!AC:AC,INPUT_DATA!$A:$A,$B60,INPUT_DATA!$C:$C,"S"))</f>
        <v/>
      </c>
      <c r="AE60" s="313" t="str">
        <f>IF($B60=0,"",SUMIFS(INPUT_DATA!AD:AD,INPUT_DATA!$A:$A,$B60,INPUT_DATA!$C:$C,"S"))</f>
        <v/>
      </c>
      <c r="AF60" s="313" t="str">
        <f>IF($B60=0,"",SUMIFS(INPUT_DATA!AE:AE,INPUT_DATA!$A:$A,$B60,INPUT_DATA!$C:$C,"S"))</f>
        <v/>
      </c>
      <c r="AG60" s="313" t="str">
        <f>IF($B60=0,"",SUMIFS(INPUT_DATA!AF:AF,INPUT_DATA!$A:$A,$B60,INPUT_DATA!$C:$C,"S"))</f>
        <v/>
      </c>
      <c r="AH60" s="313" t="str">
        <f>IF($B60=0,"",SUMIFS(INPUT_DATA!AG:AG,INPUT_DATA!$A:$A,$B60,INPUT_DATA!$C:$C,"S"))</f>
        <v/>
      </c>
      <c r="AI60" s="313" t="str">
        <f>IF($B60=0,"",SUMIFS(INPUT_DATA!AH:AH,INPUT_DATA!$A:$A,$B60,INPUT_DATA!$C:$C,"S"))</f>
        <v/>
      </c>
      <c r="AJ60" s="313" t="str">
        <f>IF($B60=0,"",SUMIFS(INPUT_DATA!AI:AI,INPUT_DATA!$A:$A,$B60,INPUT_DATA!$C:$C,"S"))</f>
        <v/>
      </c>
      <c r="AK60" s="313" t="str">
        <f>IF($B60=0,"",SUMIFS(INPUT_DATA!AJ:AJ,INPUT_DATA!$A:$A,$B60,INPUT_DATA!$C:$C,"S"))</f>
        <v/>
      </c>
      <c r="AL60" s="313" t="str">
        <f>IF($B60=0,"",SUMIFS(INPUT_DATA!AK:AK,INPUT_DATA!$A:$A,$B60,INPUT_DATA!$C:$C,"S"))</f>
        <v/>
      </c>
      <c r="AM60" s="313" t="str">
        <f>IF($B60=0,"",SUMIFS(INPUT_DATA!AL:AL,INPUT_DATA!$A:$A,$B60,INPUT_DATA!$C:$C,"S"))</f>
        <v/>
      </c>
      <c r="AN60" s="313" t="str">
        <f>IF($B60=0,"",SUMIFS(INPUT_DATA!AM:AM,INPUT_DATA!$A:$A,$B60,INPUT_DATA!$C:$C,"S"))</f>
        <v/>
      </c>
      <c r="AO60" s="313" t="str">
        <f>IF($B60=0,"",SUMIFS(INPUT_DATA!AN:AN,INPUT_DATA!$A:$A,$B60,INPUT_DATA!$C:$C,"S"))</f>
        <v/>
      </c>
      <c r="AP60" s="313" t="str">
        <f>IF($B60=0,"",SUMIFS(INPUT_DATA!AO:AO,INPUT_DATA!$A:$A,$B60,INPUT_DATA!$C:$C,"S"))</f>
        <v/>
      </c>
      <c r="AQ60" s="313" t="str">
        <f>IF($B60=0,"",SUMIFS(INPUT_DATA!AP:AP,INPUT_DATA!$A:$A,$B60,INPUT_DATA!$C:$C,"S"))</f>
        <v/>
      </c>
      <c r="AR60" s="313" t="str">
        <f>IF($B60=0,"",SUMIFS(INPUT_DATA!AQ:AQ,INPUT_DATA!$A:$A,$B60,INPUT_DATA!$C:$C,"S"))</f>
        <v/>
      </c>
      <c r="AS60" s="749" t="str">
        <f t="shared" si="29"/>
        <v/>
      </c>
      <c r="AT60" s="750" t="str">
        <f t="shared" si="30"/>
        <v/>
      </c>
      <c r="AU60" s="751" t="str">
        <f t="shared" si="31"/>
        <v/>
      </c>
      <c r="AV60" s="749" t="str">
        <f>IF($B60=0,"",SUMIFS(INPUT_DATA!AR:AR,INPUT_DATA!$A:$A,$B60,INPUT_DATA!$C:$C,"S"))</f>
        <v/>
      </c>
      <c r="AW60" s="750" t="str">
        <f>IF($B60=0,"",SUMIFS(INPUT_DATA!AS:AS,INPUT_DATA!$A:$A,$B60,INPUT_DATA!$C:$C,"S"))</f>
        <v/>
      </c>
      <c r="AX60" s="751" t="str">
        <f>IF($B60=0,"",SUMIFS(INPUT_DATA!AT:AT,INPUT_DATA!$A:$A,$B60,INPUT_DATA!$C:$C,"S"))</f>
        <v/>
      </c>
      <c r="AY60" s="749" t="str">
        <f t="shared" si="15"/>
        <v/>
      </c>
      <c r="AZ60" s="750" t="str">
        <f t="shared" si="16"/>
        <v/>
      </c>
      <c r="BA60" s="751" t="str">
        <f t="shared" si="17"/>
        <v/>
      </c>
      <c r="BB60" s="150"/>
      <c r="BC60" s="738" t="str">
        <f>IF($B60=0,"",SUMIFS(INPUT_DATA!D:D,INPUT_DATA!$A:$A,$B60,INPUT_DATA!$C:$C,"D"))</f>
        <v/>
      </c>
      <c r="BD60" s="312" t="str">
        <f>IF($B60=0,"",SUMIFS(INPUT_DATA!F:F,INPUT_DATA!$A:$A,$B60,INPUT_DATA!$C:$C,"D"))</f>
        <v/>
      </c>
      <c r="BE60" s="312" t="str">
        <f>IF($B60=0,"",SUMIFS(INPUT_DATA!G:G,INPUT_DATA!$A:$A,$B60,INPUT_DATA!$C:$C,"D"))</f>
        <v/>
      </c>
      <c r="BF60" s="312" t="str">
        <f>IF($B60=0,"",SUMIFS(INPUT_DATA!H:H,INPUT_DATA!$A:$A,$B60,INPUT_DATA!$C:$C,"D"))</f>
        <v/>
      </c>
      <c r="BG60" s="312" t="str">
        <f>IF($B60=0,"",SUMIFS(INPUT_DATA!I:I,INPUT_DATA!$A:$A,$B60,INPUT_DATA!$C:$C,"D"))</f>
        <v/>
      </c>
      <c r="BH60" s="312" t="str">
        <f>IF($B60=0,"",SUMIFS(INPUT_DATA!J:J,INPUT_DATA!$A:$A,$B60,INPUT_DATA!$C:$C,"D"))</f>
        <v/>
      </c>
      <c r="BI60" s="312" t="str">
        <f>IF($B60=0,"",SUMIFS(INPUT_DATA!K:K,INPUT_DATA!$A:$A,$B60,INPUT_DATA!$C:$C,"D"))</f>
        <v/>
      </c>
      <c r="BJ60" s="312" t="str">
        <f>IF($B60=0,"",SUMIFS(INPUT_DATA!L:L,INPUT_DATA!$A:$A,$B60,INPUT_DATA!$C:$C,"D"))</f>
        <v/>
      </c>
      <c r="BK60" s="312" t="str">
        <f>IF($B60=0,"",SUMIFS(INPUT_DATA!M:M,INPUT_DATA!$A:$A,$B60,INPUT_DATA!$C:$C,"D"))</f>
        <v/>
      </c>
      <c r="BL60" s="312" t="str">
        <f>IF($B60=0,"",SUMIFS(INPUT_DATA!N:N,INPUT_DATA!$A:$A,$B60,INPUT_DATA!$C:$C,"D"))</f>
        <v/>
      </c>
      <c r="BM60" s="312" t="str">
        <f>IF($B60=0,"",SUMIFS(INPUT_DATA!O:O,INPUT_DATA!$A:$A,$B60,INPUT_DATA!$C:$C,"D"))</f>
        <v/>
      </c>
      <c r="BN60" s="754" t="str">
        <f t="shared" si="18"/>
        <v/>
      </c>
      <c r="BO60" s="754" t="str">
        <f>IF($B60=0,"",SUMIFS(INPUT_DATA!O:O,INPUT_DATA!$A:$A,$B60,INPUT_DATA!$C:$C,"D"))</f>
        <v/>
      </c>
      <c r="BP60" s="754" t="str">
        <f t="shared" si="19"/>
        <v/>
      </c>
      <c r="BQ60" s="738" t="str">
        <f>IF($B60=0,"",SUMIFS(INPUT_DATA!Q:Q,INPUT_DATA!$A:$A,$B60,INPUT_DATA!$C:$C,"D"))</f>
        <v/>
      </c>
      <c r="BR60" s="760" t="str">
        <f>IF($B60=0,"",SUMIFS(INPUT_DATA!R:R,INPUT_DATA!$A:$A,$B60,INPUT_DATA!$C:$C,"D"))</f>
        <v/>
      </c>
      <c r="BS60" s="760" t="str">
        <f>IF($B60=0,"",SUMIFS(INPUT_DATA!S:S,INPUT_DATA!$A:$A,$B60,INPUT_DATA!$C:$C,"D"))</f>
        <v/>
      </c>
      <c r="BT60" s="312" t="str">
        <f>IF($B60=0,"",SUMIFS(INPUT_DATA!T:T,INPUT_DATA!$A:$A,$B60,INPUT_DATA!$C:$C,"D"))</f>
        <v/>
      </c>
      <c r="BU60" s="312" t="str">
        <f>IF($B60=0,"",SUMIFS(INPUT_DATA!U:U,INPUT_DATA!$A:$A,$B60,INPUT_DATA!$C:$C,"D"))</f>
        <v/>
      </c>
      <c r="BV60" s="312" t="str">
        <f>IF($B60=0,"",SUMIFS(INPUT_DATA!V:V,INPUT_DATA!$A:$A,$B60,INPUT_DATA!$C:$C,"D"))</f>
        <v/>
      </c>
      <c r="BW60" s="312" t="str">
        <f>IF($B60=0,"",SUMIFS(INPUT_DATA!W:W,INPUT_DATA!$A:$A,$B60,INPUT_DATA!$C:$C,"D"))</f>
        <v/>
      </c>
      <c r="BX60" s="312" t="str">
        <f>IF($B60=0,"",SUMIFS(INPUT_DATA!X:X,INPUT_DATA!$A:$A,$B60,INPUT_DATA!$C:$C,"D"))</f>
        <v/>
      </c>
      <c r="BY60" s="312" t="str">
        <f>IF($B60=0,"",SUMIFS(INPUT_DATA!Y:Y,INPUT_DATA!$A:$A,$B60,INPUT_DATA!$C:$C,"D"))</f>
        <v/>
      </c>
      <c r="BZ60" s="353" t="str">
        <f>IF($B60=0,"",SUMIFS(INPUT_DATA!Z:Z,INPUT_DATA!$A:$A,$B60,INPUT_DATA!$C:$C,"D"))</f>
        <v/>
      </c>
      <c r="CA60" s="353" t="str">
        <f>IF($B60=0,"",SUMIFS(INPUT_DATA!AA:AA,INPUT_DATA!$A:$A,$B60,INPUT_DATA!$C:$C,"D"))</f>
        <v/>
      </c>
      <c r="CB60" s="353" t="str">
        <f>IF($B60=0,"",SUMIFS(INPUT_DATA!AB:AB,INPUT_DATA!$A:$A,$B60,INPUT_DATA!$C:$C,"D"))</f>
        <v/>
      </c>
      <c r="CC60" s="312" t="str">
        <f>IF($B60=0,"",SUMIFS(INPUT_DATA!AC:AC,INPUT_DATA!$A:$A,$B60,INPUT_DATA!$C:$C,"D"))</f>
        <v/>
      </c>
      <c r="CD60" s="312" t="str">
        <f>IF($B60=0,"",SUMIFS(INPUT_DATA!AD:AD,INPUT_DATA!$A:$A,$B60,INPUT_DATA!$C:$C,"D"))</f>
        <v/>
      </c>
      <c r="CE60" s="312" t="str">
        <f>IF($B60=0,"",SUMIFS(INPUT_DATA!AE:AE,INPUT_DATA!$A:$A,$B60,INPUT_DATA!$C:$C,"D"))</f>
        <v/>
      </c>
      <c r="CF60" s="353" t="str">
        <f>IF($B60=0,"",SUMIFS(INPUT_DATA!AF:AF,INPUT_DATA!$A:$A,$B60,INPUT_DATA!$C:$C,"D"))</f>
        <v/>
      </c>
      <c r="CG60" s="353" t="str">
        <f>IF($B60=0,"",SUMIFS(INPUT_DATA!AG:AG,INPUT_DATA!$A:$A,$B60,INPUT_DATA!$C:$C,"D"))</f>
        <v/>
      </c>
      <c r="CH60" s="353" t="str">
        <f>IF($B60=0,"",SUMIFS(INPUT_DATA!AH:AH,INPUT_DATA!$A:$A,$B60,INPUT_DATA!$C:$C,"D"))</f>
        <v/>
      </c>
      <c r="CI60" s="153" t="str">
        <f>IF($B60=0,"",SUMIFS(INPUT_DATA!AI:AI,INPUT_DATA!$A:$A,$B60,INPUT_DATA!$C:$C,"D"))</f>
        <v/>
      </c>
      <c r="CJ60" s="153" t="str">
        <f>IF($B60=0,"",SUMIFS(INPUT_DATA!AJ:AJ,INPUT_DATA!$A:$A,$B60,INPUT_DATA!$C:$C,"D"))</f>
        <v/>
      </c>
      <c r="CK60" s="153" t="str">
        <f>IF($B60=0,"",SUMIFS(INPUT_DATA!AK:AK,INPUT_DATA!$A:$A,$B60,INPUT_DATA!$C:$C,"D"))</f>
        <v/>
      </c>
      <c r="CL60" s="153" t="str">
        <f>IF($B60=0,"",SUMIFS(INPUT_DATA!AL:AL,INPUT_DATA!$A:$A,$B60,INPUT_DATA!$C:$C,"D"))</f>
        <v/>
      </c>
      <c r="CM60" s="153" t="str">
        <f>IF($B60=0,"",SUMIFS(INPUT_DATA!AM:AM,INPUT_DATA!$A:$A,$B60,INPUT_DATA!$C:$C,"D"))</f>
        <v/>
      </c>
      <c r="CN60" s="153" t="str">
        <f>IF($B60=0,"",SUMIFS(INPUT_DATA!AN:AN,INPUT_DATA!$A:$A,$B60,INPUT_DATA!$C:$C,"D"))</f>
        <v/>
      </c>
      <c r="CO60" s="153" t="str">
        <f>IF($B60=0,"",SUMIFS(INPUT_DATA!AO:AO,INPUT_DATA!$A:$A,$B60,INPUT_DATA!$C:$C,"D"))</f>
        <v/>
      </c>
      <c r="CP60" s="153" t="str">
        <f>IF($B60=0,"",SUMIFS(INPUT_DATA!AP:AP,INPUT_DATA!$A:$A,$B60,INPUT_DATA!$C:$C,"D"))</f>
        <v/>
      </c>
      <c r="CQ60" s="153" t="str">
        <f>IF($B60=0,"",SUMIFS(INPUT_DATA!AQ:AQ,INPUT_DATA!$A:$A,$B60,INPUT_DATA!$C:$C,"D"))</f>
        <v/>
      </c>
      <c r="CR60" s="750" t="str">
        <f t="shared" si="32"/>
        <v/>
      </c>
      <c r="CS60" s="750" t="str">
        <f t="shared" si="33"/>
        <v/>
      </c>
      <c r="CT60" s="750" t="str">
        <f t="shared" si="34"/>
        <v/>
      </c>
      <c r="CU60" s="739" t="str">
        <f>IF($B60=0,"",SUMIFS(INPUT_DATA!AR:AR,INPUT_DATA!$A:$A,$B60,INPUT_DATA!$C:$C,"D"))</f>
        <v/>
      </c>
      <c r="CV60" s="739" t="str">
        <f>IF($B60=0,"",SUMIFS(INPUT_DATA!AS:AS,INPUT_DATA!$A:$A,$B60,INPUT_DATA!$C:$C,"D"))</f>
        <v/>
      </c>
      <c r="CW60" s="739" t="str">
        <f>IF($B60=0,"",SUMIFS(INPUT_DATA!AT:AT,INPUT_DATA!$A:$A,$B60,INPUT_DATA!$C:$C,"D"))</f>
        <v/>
      </c>
      <c r="CX60" s="739" t="str">
        <f t="shared" si="35"/>
        <v/>
      </c>
      <c r="CY60" s="750" t="str">
        <f t="shared" si="36"/>
        <v/>
      </c>
      <c r="CZ60" s="761" t="str">
        <f t="shared" si="37"/>
        <v/>
      </c>
      <c r="DA60" s="150"/>
    </row>
    <row r="61" spans="1:105" ht="13" x14ac:dyDescent="0.25">
      <c r="A61" s="172">
        <f t="shared" si="40"/>
        <v>-14</v>
      </c>
      <c r="B61" s="733">
        <f>INPUT_DATA!BQ48</f>
        <v>0</v>
      </c>
      <c r="C61" s="738" t="str">
        <f>IF($B61=0,"",SUMIFS(INPUT_DATA!D:D,INPUT_DATA!$A:$A,$B61,INPUT_DATA!$C:$C,"S"))</f>
        <v/>
      </c>
      <c r="D61" s="739" t="str">
        <f>IF($B61=0,"",SUMIFS(INPUT_DATA!E:E,INPUT_DATA!$A:$A,$B61,INPUT_DATA!$C:$C,"S"))</f>
        <v/>
      </c>
      <c r="E61" s="740" t="str">
        <f>IF($B61=0,"",SUMIFS(INPUT_DATA!F:F,INPUT_DATA!$A:$A,$B61,INPUT_DATA!$C:$C,"S"))</f>
        <v/>
      </c>
      <c r="F61" s="740" t="str">
        <f>IF($B61=0,"",SUMIFS(INPUT_DATA!G:G,INPUT_DATA!$A:$A,$B61,INPUT_DATA!$C:$C,"S"))</f>
        <v/>
      </c>
      <c r="G61" s="740" t="str">
        <f>IF($B61=0,"",SUMIFS(INPUT_DATA!H:H,INPUT_DATA!$A:$A,$B61,INPUT_DATA!$C:$C,"S"))</f>
        <v/>
      </c>
      <c r="H61" s="740" t="str">
        <f>IF($B61=0,"",SUMIFS(INPUT_DATA!I:I,INPUT_DATA!$A:$A,$B61,INPUT_DATA!$C:$C,"S"))</f>
        <v/>
      </c>
      <c r="I61" s="740" t="str">
        <f>IF($B61=0,"",SUMIFS(INPUT_DATA!J:J,INPUT_DATA!$A:$A,$B61,INPUT_DATA!$C:$C,"S"))</f>
        <v/>
      </c>
      <c r="J61" s="740" t="str">
        <f>IF($B61=0,"",SUMIFS(INPUT_DATA!K:K,INPUT_DATA!$A:$A,$B61,INPUT_DATA!$C:$C,"S"))</f>
        <v/>
      </c>
      <c r="K61" s="740" t="str">
        <f>IF($B61=0,"",SUMIFS(INPUT_DATA!L:L,INPUT_DATA!$A:$A,$B61,INPUT_DATA!$C:$C,"S"))</f>
        <v/>
      </c>
      <c r="L61" s="740" t="str">
        <f>IF($B61=0,"",SUMIFS(INPUT_DATA!M:M,INPUT_DATA!$A:$A,$B61,INPUT_DATA!$C:$C,"S"))</f>
        <v/>
      </c>
      <c r="M61" s="740" t="str">
        <f>IF($B61=0,"",SUMIFS(INPUT_DATA!N:N,INPUT_DATA!$A:$A,$B61,INPUT_DATA!$C:$C,"S"))</f>
        <v/>
      </c>
      <c r="N61" s="740" t="str">
        <f>IF($B61=0,"",SUMIFS(INPUT_DATA!O:O,INPUT_DATA!$A:$A,$B61,INPUT_DATA!$C:$C,"S"))</f>
        <v/>
      </c>
      <c r="O61" s="741" t="str">
        <f t="shared" si="38"/>
        <v/>
      </c>
      <c r="P61" s="742" t="str">
        <f>IF($B61=0,"",SUMIFS(INPUT_DATA!P:P,INPUT_DATA!$A:$A,$B61,INPUT_DATA!$C:$C,"S"))</f>
        <v/>
      </c>
      <c r="Q61" s="742" t="str">
        <f t="shared" si="39"/>
        <v/>
      </c>
      <c r="R61" s="748" t="str">
        <f>IF($B61=0,"",SUMIFS(INPUT_DATA!Q:Q,INPUT_DATA!$A:$A,$B61,INPUT_DATA!$C:$C,"S"))</f>
        <v/>
      </c>
      <c r="S61" s="748" t="str">
        <f>IF($B61=0,"",SUMIFS(INPUT_DATA!R:R,INPUT_DATA!$A:$A,$B61,INPUT_DATA!$C:$C,"S"))</f>
        <v/>
      </c>
      <c r="T61" s="748" t="str">
        <f>IF($B61=0,"",SUMIFS(INPUT_DATA!S:S,INPUT_DATA!$A:$A,$B61,INPUT_DATA!$C:$C,"S"))</f>
        <v/>
      </c>
      <c r="U61" s="313" t="str">
        <f>IF($B61=0,"",SUMIFS(INPUT_DATA!T:T,INPUT_DATA!$A:$A,$B61,INPUT_DATA!$C:$C,"S"))</f>
        <v/>
      </c>
      <c r="V61" s="313" t="str">
        <f>IF($B61=0,"",SUMIFS(INPUT_DATA!U:U,INPUT_DATA!$A:$A,$B61,INPUT_DATA!$C:$C,"S"))</f>
        <v/>
      </c>
      <c r="W61" s="313" t="str">
        <f>IF($B61=0,"",SUMIFS(INPUT_DATA!V:V,INPUT_DATA!$A:$A,$B61,INPUT_DATA!$C:$C,"S"))</f>
        <v/>
      </c>
      <c r="X61" s="313" t="str">
        <f>IF($B61=0,"",SUMIFS(INPUT_DATA!W:W,INPUT_DATA!$A:$A,$B61,INPUT_DATA!$C:$C,"S"))</f>
        <v/>
      </c>
      <c r="Y61" s="313" t="str">
        <f>IF($B61=0,"",SUMIFS(INPUT_DATA!X:X,INPUT_DATA!$A:$A,$B61,INPUT_DATA!$C:$C,"S"))</f>
        <v/>
      </c>
      <c r="Z61" s="313" t="str">
        <f>IF($B61=0,"",SUMIFS(INPUT_DATA!Y:Y,INPUT_DATA!$A:$A,$B61,INPUT_DATA!$C:$C,"S"))</f>
        <v/>
      </c>
      <c r="AA61" s="313" t="str">
        <f>IF($B61=0,"",SUMIFS(INPUT_DATA!Z:Z,INPUT_DATA!$A:$A,$B61,INPUT_DATA!$C:$C,"S"))</f>
        <v/>
      </c>
      <c r="AB61" s="313" t="str">
        <f>IF($B61=0,"",SUMIFS(INPUT_DATA!AA:AA,INPUT_DATA!$A:$A,$B61,INPUT_DATA!$C:$C,"S"))</f>
        <v/>
      </c>
      <c r="AC61" s="313" t="str">
        <f>IF($B61=0,"",SUMIFS(INPUT_DATA!AB:AB,INPUT_DATA!$A:$A,$B61,INPUT_DATA!$C:$C,"S"))</f>
        <v/>
      </c>
      <c r="AD61" s="313" t="str">
        <f>IF($B61=0,"",SUMIFS(INPUT_DATA!AC:AC,INPUT_DATA!$A:$A,$B61,INPUT_DATA!$C:$C,"S"))</f>
        <v/>
      </c>
      <c r="AE61" s="313" t="str">
        <f>IF($B61=0,"",SUMIFS(INPUT_DATA!AD:AD,INPUT_DATA!$A:$A,$B61,INPUT_DATA!$C:$C,"S"))</f>
        <v/>
      </c>
      <c r="AF61" s="313" t="str">
        <f>IF($B61=0,"",SUMIFS(INPUT_DATA!AE:AE,INPUT_DATA!$A:$A,$B61,INPUT_DATA!$C:$C,"S"))</f>
        <v/>
      </c>
      <c r="AG61" s="313" t="str">
        <f>IF($B61=0,"",SUMIFS(INPUT_DATA!AF:AF,INPUT_DATA!$A:$A,$B61,INPUT_DATA!$C:$C,"S"))</f>
        <v/>
      </c>
      <c r="AH61" s="313" t="str">
        <f>IF($B61=0,"",SUMIFS(INPUT_DATA!AG:AG,INPUT_DATA!$A:$A,$B61,INPUT_DATA!$C:$C,"S"))</f>
        <v/>
      </c>
      <c r="AI61" s="313" t="str">
        <f>IF($B61=0,"",SUMIFS(INPUT_DATA!AH:AH,INPUT_DATA!$A:$A,$B61,INPUT_DATA!$C:$C,"S"))</f>
        <v/>
      </c>
      <c r="AJ61" s="313" t="str">
        <f>IF($B61=0,"",SUMIFS(INPUT_DATA!AI:AI,INPUT_DATA!$A:$A,$B61,INPUT_DATA!$C:$C,"S"))</f>
        <v/>
      </c>
      <c r="AK61" s="313" t="str">
        <f>IF($B61=0,"",SUMIFS(INPUT_DATA!AJ:AJ,INPUT_DATA!$A:$A,$B61,INPUT_DATA!$C:$C,"S"))</f>
        <v/>
      </c>
      <c r="AL61" s="313" t="str">
        <f>IF($B61=0,"",SUMIFS(INPUT_DATA!AK:AK,INPUT_DATA!$A:$A,$B61,INPUT_DATA!$C:$C,"S"))</f>
        <v/>
      </c>
      <c r="AM61" s="313" t="str">
        <f>IF($B61=0,"",SUMIFS(INPUT_DATA!AL:AL,INPUT_DATA!$A:$A,$B61,INPUT_DATA!$C:$C,"S"))</f>
        <v/>
      </c>
      <c r="AN61" s="313" t="str">
        <f>IF($B61=0,"",SUMIFS(INPUT_DATA!AM:AM,INPUT_DATA!$A:$A,$B61,INPUT_DATA!$C:$C,"S"))</f>
        <v/>
      </c>
      <c r="AO61" s="313" t="str">
        <f>IF($B61=0,"",SUMIFS(INPUT_DATA!AN:AN,INPUT_DATA!$A:$A,$B61,INPUT_DATA!$C:$C,"S"))</f>
        <v/>
      </c>
      <c r="AP61" s="313" t="str">
        <f>IF($B61=0,"",SUMIFS(INPUT_DATA!AO:AO,INPUT_DATA!$A:$A,$B61,INPUT_DATA!$C:$C,"S"))</f>
        <v/>
      </c>
      <c r="AQ61" s="313" t="str">
        <f>IF($B61=0,"",SUMIFS(INPUT_DATA!AP:AP,INPUT_DATA!$A:$A,$B61,INPUT_DATA!$C:$C,"S"))</f>
        <v/>
      </c>
      <c r="AR61" s="313" t="str">
        <f>IF($B61=0,"",SUMIFS(INPUT_DATA!AQ:AQ,INPUT_DATA!$A:$A,$B61,INPUT_DATA!$C:$C,"S"))</f>
        <v/>
      </c>
      <c r="AS61" s="749" t="str">
        <f t="shared" si="29"/>
        <v/>
      </c>
      <c r="AT61" s="750" t="str">
        <f t="shared" si="30"/>
        <v/>
      </c>
      <c r="AU61" s="751" t="str">
        <f t="shared" si="31"/>
        <v/>
      </c>
      <c r="AV61" s="749" t="str">
        <f>IF($B61=0,"",SUMIFS(INPUT_DATA!AR:AR,INPUT_DATA!$A:$A,$B61,INPUT_DATA!$C:$C,"S"))</f>
        <v/>
      </c>
      <c r="AW61" s="750" t="str">
        <f>IF($B61=0,"",SUMIFS(INPUT_DATA!AS:AS,INPUT_DATA!$A:$A,$B61,INPUT_DATA!$C:$C,"S"))</f>
        <v/>
      </c>
      <c r="AX61" s="751" t="str">
        <f>IF($B61=0,"",SUMIFS(INPUT_DATA!AT:AT,INPUT_DATA!$A:$A,$B61,INPUT_DATA!$C:$C,"S"))</f>
        <v/>
      </c>
      <c r="AY61" s="749" t="str">
        <f t="shared" si="15"/>
        <v/>
      </c>
      <c r="AZ61" s="750" t="str">
        <f t="shared" si="16"/>
        <v/>
      </c>
      <c r="BA61" s="751" t="str">
        <f t="shared" si="17"/>
        <v/>
      </c>
      <c r="BB61" s="150"/>
      <c r="BC61" s="738" t="str">
        <f>IF($B61=0,"",SUMIFS(INPUT_DATA!D:D,INPUT_DATA!$A:$A,$B61,INPUT_DATA!$C:$C,"D"))</f>
        <v/>
      </c>
      <c r="BD61" s="312" t="str">
        <f>IF($B61=0,"",SUMIFS(INPUT_DATA!F:F,INPUT_DATA!$A:$A,$B61,INPUT_DATA!$C:$C,"D"))</f>
        <v/>
      </c>
      <c r="BE61" s="312" t="str">
        <f>IF($B61=0,"",SUMIFS(INPUT_DATA!G:G,INPUT_DATA!$A:$A,$B61,INPUT_DATA!$C:$C,"D"))</f>
        <v/>
      </c>
      <c r="BF61" s="312" t="str">
        <f>IF($B61=0,"",SUMIFS(INPUT_DATA!H:H,INPUT_DATA!$A:$A,$B61,INPUT_DATA!$C:$C,"D"))</f>
        <v/>
      </c>
      <c r="BG61" s="312" t="str">
        <f>IF($B61=0,"",SUMIFS(INPUT_DATA!I:I,INPUT_DATA!$A:$A,$B61,INPUT_DATA!$C:$C,"D"))</f>
        <v/>
      </c>
      <c r="BH61" s="312" t="str">
        <f>IF($B61=0,"",SUMIFS(INPUT_DATA!J:J,INPUT_DATA!$A:$A,$B61,INPUT_DATA!$C:$C,"D"))</f>
        <v/>
      </c>
      <c r="BI61" s="312" t="str">
        <f>IF($B61=0,"",SUMIFS(INPUT_DATA!K:K,INPUT_DATA!$A:$A,$B61,INPUT_DATA!$C:$C,"D"))</f>
        <v/>
      </c>
      <c r="BJ61" s="312" t="str">
        <f>IF($B61=0,"",SUMIFS(INPUT_DATA!L:L,INPUT_DATA!$A:$A,$B61,INPUT_DATA!$C:$C,"D"))</f>
        <v/>
      </c>
      <c r="BK61" s="312" t="str">
        <f>IF($B61=0,"",SUMIFS(INPUT_DATA!M:M,INPUT_DATA!$A:$A,$B61,INPUT_DATA!$C:$C,"D"))</f>
        <v/>
      </c>
      <c r="BL61" s="312" t="str">
        <f>IF($B61=0,"",SUMIFS(INPUT_DATA!N:N,INPUT_DATA!$A:$A,$B61,INPUT_DATA!$C:$C,"D"))</f>
        <v/>
      </c>
      <c r="BM61" s="312" t="str">
        <f>IF($B61=0,"",SUMIFS(INPUT_DATA!O:O,INPUT_DATA!$A:$A,$B61,INPUT_DATA!$C:$C,"D"))</f>
        <v/>
      </c>
      <c r="BN61" s="754" t="str">
        <f t="shared" si="18"/>
        <v/>
      </c>
      <c r="BO61" s="754" t="str">
        <f>IF($B61=0,"",SUMIFS(INPUT_DATA!O:O,INPUT_DATA!$A:$A,$B61,INPUT_DATA!$C:$C,"D"))</f>
        <v/>
      </c>
      <c r="BP61" s="754" t="str">
        <f t="shared" si="19"/>
        <v/>
      </c>
      <c r="BQ61" s="738" t="str">
        <f>IF($B61=0,"",SUMIFS(INPUT_DATA!Q:Q,INPUT_DATA!$A:$A,$B61,INPUT_DATA!$C:$C,"D"))</f>
        <v/>
      </c>
      <c r="BR61" s="760" t="str">
        <f>IF($B61=0,"",SUMIFS(INPUT_DATA!R:R,INPUT_DATA!$A:$A,$B61,INPUT_DATA!$C:$C,"D"))</f>
        <v/>
      </c>
      <c r="BS61" s="760" t="str">
        <f>IF($B61=0,"",SUMIFS(INPUT_DATA!S:S,INPUT_DATA!$A:$A,$B61,INPUT_DATA!$C:$C,"D"))</f>
        <v/>
      </c>
      <c r="BT61" s="312" t="str">
        <f>IF($B61=0,"",SUMIFS(INPUT_DATA!T:T,INPUT_DATA!$A:$A,$B61,INPUT_DATA!$C:$C,"D"))</f>
        <v/>
      </c>
      <c r="BU61" s="312" t="str">
        <f>IF($B61=0,"",SUMIFS(INPUT_DATA!U:U,INPUT_DATA!$A:$A,$B61,INPUT_DATA!$C:$C,"D"))</f>
        <v/>
      </c>
      <c r="BV61" s="312" t="str">
        <f>IF($B61=0,"",SUMIFS(INPUT_DATA!V:V,INPUT_DATA!$A:$A,$B61,INPUT_DATA!$C:$C,"D"))</f>
        <v/>
      </c>
      <c r="BW61" s="312" t="str">
        <f>IF($B61=0,"",SUMIFS(INPUT_DATA!W:W,INPUT_DATA!$A:$A,$B61,INPUT_DATA!$C:$C,"D"))</f>
        <v/>
      </c>
      <c r="BX61" s="312" t="str">
        <f>IF($B61=0,"",SUMIFS(INPUT_DATA!X:X,INPUT_DATA!$A:$A,$B61,INPUT_DATA!$C:$C,"D"))</f>
        <v/>
      </c>
      <c r="BY61" s="312" t="str">
        <f>IF($B61=0,"",SUMIFS(INPUT_DATA!Y:Y,INPUT_DATA!$A:$A,$B61,INPUT_DATA!$C:$C,"D"))</f>
        <v/>
      </c>
      <c r="BZ61" s="353" t="str">
        <f>IF($B61=0,"",SUMIFS(INPUT_DATA!Z:Z,INPUT_DATA!$A:$A,$B61,INPUT_DATA!$C:$C,"D"))</f>
        <v/>
      </c>
      <c r="CA61" s="353" t="str">
        <f>IF($B61=0,"",SUMIFS(INPUT_DATA!AA:AA,INPUT_DATA!$A:$A,$B61,INPUT_DATA!$C:$C,"D"))</f>
        <v/>
      </c>
      <c r="CB61" s="353" t="str">
        <f>IF($B61=0,"",SUMIFS(INPUT_DATA!AB:AB,INPUT_DATA!$A:$A,$B61,INPUT_DATA!$C:$C,"D"))</f>
        <v/>
      </c>
      <c r="CC61" s="312" t="str">
        <f>IF($B61=0,"",SUMIFS(INPUT_DATA!AC:AC,INPUT_DATA!$A:$A,$B61,INPUT_DATA!$C:$C,"D"))</f>
        <v/>
      </c>
      <c r="CD61" s="312" t="str">
        <f>IF($B61=0,"",SUMIFS(INPUT_DATA!AD:AD,INPUT_DATA!$A:$A,$B61,INPUT_DATA!$C:$C,"D"))</f>
        <v/>
      </c>
      <c r="CE61" s="312" t="str">
        <f>IF($B61=0,"",SUMIFS(INPUT_DATA!AE:AE,INPUT_DATA!$A:$A,$B61,INPUT_DATA!$C:$C,"D"))</f>
        <v/>
      </c>
      <c r="CF61" s="353" t="str">
        <f>IF($B61=0,"",SUMIFS(INPUT_DATA!AF:AF,INPUT_DATA!$A:$A,$B61,INPUT_DATA!$C:$C,"D"))</f>
        <v/>
      </c>
      <c r="CG61" s="353" t="str">
        <f>IF($B61=0,"",SUMIFS(INPUT_DATA!AG:AG,INPUT_DATA!$A:$A,$B61,INPUT_DATA!$C:$C,"D"))</f>
        <v/>
      </c>
      <c r="CH61" s="353" t="str">
        <f>IF($B61=0,"",SUMIFS(INPUT_DATA!AH:AH,INPUT_DATA!$A:$A,$B61,INPUT_DATA!$C:$C,"D"))</f>
        <v/>
      </c>
      <c r="CI61" s="153" t="str">
        <f>IF($B61=0,"",SUMIFS(INPUT_DATA!AI:AI,INPUT_DATA!$A:$A,$B61,INPUT_DATA!$C:$C,"D"))</f>
        <v/>
      </c>
      <c r="CJ61" s="153" t="str">
        <f>IF($B61=0,"",SUMIFS(INPUT_DATA!AJ:AJ,INPUT_DATA!$A:$A,$B61,INPUT_DATA!$C:$C,"D"))</f>
        <v/>
      </c>
      <c r="CK61" s="153" t="str">
        <f>IF($B61=0,"",SUMIFS(INPUT_DATA!AK:AK,INPUT_DATA!$A:$A,$B61,INPUT_DATA!$C:$C,"D"))</f>
        <v/>
      </c>
      <c r="CL61" s="153" t="str">
        <f>IF($B61=0,"",SUMIFS(INPUT_DATA!AL:AL,INPUT_DATA!$A:$A,$B61,INPUT_DATA!$C:$C,"D"))</f>
        <v/>
      </c>
      <c r="CM61" s="153" t="str">
        <f>IF($B61=0,"",SUMIFS(INPUT_DATA!AM:AM,INPUT_DATA!$A:$A,$B61,INPUT_DATA!$C:$C,"D"))</f>
        <v/>
      </c>
      <c r="CN61" s="153" t="str">
        <f>IF($B61=0,"",SUMIFS(INPUT_DATA!AN:AN,INPUT_DATA!$A:$A,$B61,INPUT_DATA!$C:$C,"D"))</f>
        <v/>
      </c>
      <c r="CO61" s="153" t="str">
        <f>IF($B61=0,"",SUMIFS(INPUT_DATA!AO:AO,INPUT_DATA!$A:$A,$B61,INPUT_DATA!$C:$C,"D"))</f>
        <v/>
      </c>
      <c r="CP61" s="153" t="str">
        <f>IF($B61=0,"",SUMIFS(INPUT_DATA!AP:AP,INPUT_DATA!$A:$A,$B61,INPUT_DATA!$C:$C,"D"))</f>
        <v/>
      </c>
      <c r="CQ61" s="153" t="str">
        <f>IF($B61=0,"",SUMIFS(INPUT_DATA!AQ:AQ,INPUT_DATA!$A:$A,$B61,INPUT_DATA!$C:$C,"D"))</f>
        <v/>
      </c>
      <c r="CR61" s="750" t="str">
        <f t="shared" si="32"/>
        <v/>
      </c>
      <c r="CS61" s="750" t="str">
        <f t="shared" si="33"/>
        <v/>
      </c>
      <c r="CT61" s="750" t="str">
        <f t="shared" si="34"/>
        <v/>
      </c>
      <c r="CU61" s="739" t="str">
        <f>IF($B61=0,"",SUMIFS(INPUT_DATA!AR:AR,INPUT_DATA!$A:$A,$B61,INPUT_DATA!$C:$C,"D"))</f>
        <v/>
      </c>
      <c r="CV61" s="739" t="str">
        <f>IF($B61=0,"",SUMIFS(INPUT_DATA!AS:AS,INPUT_DATA!$A:$A,$B61,INPUT_DATA!$C:$C,"D"))</f>
        <v/>
      </c>
      <c r="CW61" s="739" t="str">
        <f>IF($B61=0,"",SUMIFS(INPUT_DATA!AT:AT,INPUT_DATA!$A:$A,$B61,INPUT_DATA!$C:$C,"D"))</f>
        <v/>
      </c>
      <c r="CX61" s="739" t="str">
        <f t="shared" si="35"/>
        <v/>
      </c>
      <c r="CY61" s="750" t="str">
        <f t="shared" si="36"/>
        <v/>
      </c>
      <c r="CZ61" s="761" t="str">
        <f t="shared" si="37"/>
        <v/>
      </c>
      <c r="DA61" s="150"/>
    </row>
    <row r="62" spans="1:105" ht="13" x14ac:dyDescent="0.25">
      <c r="A62" s="172">
        <f t="shared" si="40"/>
        <v>-15</v>
      </c>
      <c r="B62" s="733">
        <f>INPUT_DATA!BQ49</f>
        <v>0</v>
      </c>
      <c r="C62" s="738" t="str">
        <f>IF($B62=0,"",SUMIFS(INPUT_DATA!D:D,INPUT_DATA!$A:$A,$B62,INPUT_DATA!$C:$C,"S"))</f>
        <v/>
      </c>
      <c r="D62" s="739" t="str">
        <f>IF($B62=0,"",SUMIFS(INPUT_DATA!E:E,INPUT_DATA!$A:$A,$B62,INPUT_DATA!$C:$C,"S"))</f>
        <v/>
      </c>
      <c r="E62" s="740" t="str">
        <f>IF($B62=0,"",SUMIFS(INPUT_DATA!F:F,INPUT_DATA!$A:$A,$B62,INPUT_DATA!$C:$C,"S"))</f>
        <v/>
      </c>
      <c r="F62" s="740" t="str">
        <f>IF($B62=0,"",SUMIFS(INPUT_DATA!G:G,INPUT_DATA!$A:$A,$B62,INPUT_DATA!$C:$C,"S"))</f>
        <v/>
      </c>
      <c r="G62" s="740" t="str">
        <f>IF($B62=0,"",SUMIFS(INPUT_DATA!H:H,INPUT_DATA!$A:$A,$B62,INPUT_DATA!$C:$C,"S"))</f>
        <v/>
      </c>
      <c r="H62" s="740" t="str">
        <f>IF($B62=0,"",SUMIFS(INPUT_DATA!I:I,INPUT_DATA!$A:$A,$B62,INPUT_DATA!$C:$C,"S"))</f>
        <v/>
      </c>
      <c r="I62" s="740" t="str">
        <f>IF($B62=0,"",SUMIFS(INPUT_DATA!J:J,INPUT_DATA!$A:$A,$B62,INPUT_DATA!$C:$C,"S"))</f>
        <v/>
      </c>
      <c r="J62" s="740" t="str">
        <f>IF($B62=0,"",SUMIFS(INPUT_DATA!K:K,INPUT_DATA!$A:$A,$B62,INPUT_DATA!$C:$C,"S"))</f>
        <v/>
      </c>
      <c r="K62" s="740" t="str">
        <f>IF($B62=0,"",SUMIFS(INPUT_DATA!L:L,INPUT_DATA!$A:$A,$B62,INPUT_DATA!$C:$C,"S"))</f>
        <v/>
      </c>
      <c r="L62" s="740" t="str">
        <f>IF($B62=0,"",SUMIFS(INPUT_DATA!M:M,INPUT_DATA!$A:$A,$B62,INPUT_DATA!$C:$C,"S"))</f>
        <v/>
      </c>
      <c r="M62" s="740" t="str">
        <f>IF($B62=0,"",SUMIFS(INPUT_DATA!N:N,INPUT_DATA!$A:$A,$B62,INPUT_DATA!$C:$C,"S"))</f>
        <v/>
      </c>
      <c r="N62" s="740" t="str">
        <f>IF($B62=0,"",SUMIFS(INPUT_DATA!O:O,INPUT_DATA!$A:$A,$B62,INPUT_DATA!$C:$C,"S"))</f>
        <v/>
      </c>
      <c r="O62" s="741" t="str">
        <f t="shared" si="38"/>
        <v/>
      </c>
      <c r="P62" s="742" t="str">
        <f>IF($B62=0,"",SUMIFS(INPUT_DATA!P:P,INPUT_DATA!$A:$A,$B62,INPUT_DATA!$C:$C,"S"))</f>
        <v/>
      </c>
      <c r="Q62" s="742" t="str">
        <f t="shared" si="39"/>
        <v/>
      </c>
      <c r="R62" s="748" t="str">
        <f>IF($B62=0,"",SUMIFS(INPUT_DATA!Q:Q,INPUT_DATA!$A:$A,$B62,INPUT_DATA!$C:$C,"S"))</f>
        <v/>
      </c>
      <c r="S62" s="748" t="str">
        <f>IF($B62=0,"",SUMIFS(INPUT_DATA!R:R,INPUT_DATA!$A:$A,$B62,INPUT_DATA!$C:$C,"S"))</f>
        <v/>
      </c>
      <c r="T62" s="748" t="str">
        <f>IF($B62=0,"",SUMIFS(INPUT_DATA!S:S,INPUT_DATA!$A:$A,$B62,INPUT_DATA!$C:$C,"S"))</f>
        <v/>
      </c>
      <c r="U62" s="313" t="str">
        <f>IF($B62=0,"",SUMIFS(INPUT_DATA!T:T,INPUT_DATA!$A:$A,$B62,INPUT_DATA!$C:$C,"S"))</f>
        <v/>
      </c>
      <c r="V62" s="313" t="str">
        <f>IF($B62=0,"",SUMIFS(INPUT_DATA!U:U,INPUT_DATA!$A:$A,$B62,INPUT_DATA!$C:$C,"S"))</f>
        <v/>
      </c>
      <c r="W62" s="313" t="str">
        <f>IF($B62=0,"",SUMIFS(INPUT_DATA!V:V,INPUT_DATA!$A:$A,$B62,INPUT_DATA!$C:$C,"S"))</f>
        <v/>
      </c>
      <c r="X62" s="313" t="str">
        <f>IF($B62=0,"",SUMIFS(INPUT_DATA!W:W,INPUT_DATA!$A:$A,$B62,INPUT_DATA!$C:$C,"S"))</f>
        <v/>
      </c>
      <c r="Y62" s="313" t="str">
        <f>IF($B62=0,"",SUMIFS(INPUT_DATA!X:X,INPUT_DATA!$A:$A,$B62,INPUT_DATA!$C:$C,"S"))</f>
        <v/>
      </c>
      <c r="Z62" s="313" t="str">
        <f>IF($B62=0,"",SUMIFS(INPUT_DATA!Y:Y,INPUT_DATA!$A:$A,$B62,INPUT_DATA!$C:$C,"S"))</f>
        <v/>
      </c>
      <c r="AA62" s="313" t="str">
        <f>IF($B62=0,"",SUMIFS(INPUT_DATA!Z:Z,INPUT_DATA!$A:$A,$B62,INPUT_DATA!$C:$C,"S"))</f>
        <v/>
      </c>
      <c r="AB62" s="313" t="str">
        <f>IF($B62=0,"",SUMIFS(INPUT_DATA!AA:AA,INPUT_DATA!$A:$A,$B62,INPUT_DATA!$C:$C,"S"))</f>
        <v/>
      </c>
      <c r="AC62" s="313" t="str">
        <f>IF($B62=0,"",SUMIFS(INPUT_DATA!AB:AB,INPUT_DATA!$A:$A,$B62,INPUT_DATA!$C:$C,"S"))</f>
        <v/>
      </c>
      <c r="AD62" s="313" t="str">
        <f>IF($B62=0,"",SUMIFS(INPUT_DATA!AC:AC,INPUT_DATA!$A:$A,$B62,INPUT_DATA!$C:$C,"S"))</f>
        <v/>
      </c>
      <c r="AE62" s="313" t="str">
        <f>IF($B62=0,"",SUMIFS(INPUT_DATA!AD:AD,INPUT_DATA!$A:$A,$B62,INPUT_DATA!$C:$C,"S"))</f>
        <v/>
      </c>
      <c r="AF62" s="313" t="str">
        <f>IF($B62=0,"",SUMIFS(INPUT_DATA!AE:AE,INPUT_DATA!$A:$A,$B62,INPUT_DATA!$C:$C,"S"))</f>
        <v/>
      </c>
      <c r="AG62" s="313" t="str">
        <f>IF($B62=0,"",SUMIFS(INPUT_DATA!AF:AF,INPUT_DATA!$A:$A,$B62,INPUT_DATA!$C:$C,"S"))</f>
        <v/>
      </c>
      <c r="AH62" s="313" t="str">
        <f>IF($B62=0,"",SUMIFS(INPUT_DATA!AG:AG,INPUT_DATA!$A:$A,$B62,INPUT_DATA!$C:$C,"S"))</f>
        <v/>
      </c>
      <c r="AI62" s="313" t="str">
        <f>IF($B62=0,"",SUMIFS(INPUT_DATA!AH:AH,INPUT_DATA!$A:$A,$B62,INPUT_DATA!$C:$C,"S"))</f>
        <v/>
      </c>
      <c r="AJ62" s="313" t="str">
        <f>IF($B62=0,"",SUMIFS(INPUT_DATA!AI:AI,INPUT_DATA!$A:$A,$B62,INPUT_DATA!$C:$C,"S"))</f>
        <v/>
      </c>
      <c r="AK62" s="313" t="str">
        <f>IF($B62=0,"",SUMIFS(INPUT_DATA!AJ:AJ,INPUT_DATA!$A:$A,$B62,INPUT_DATA!$C:$C,"S"))</f>
        <v/>
      </c>
      <c r="AL62" s="313" t="str">
        <f>IF($B62=0,"",SUMIFS(INPUT_DATA!AK:AK,INPUT_DATA!$A:$A,$B62,INPUT_DATA!$C:$C,"S"))</f>
        <v/>
      </c>
      <c r="AM62" s="313" t="str">
        <f>IF($B62=0,"",SUMIFS(INPUT_DATA!AL:AL,INPUT_DATA!$A:$A,$B62,INPUT_DATA!$C:$C,"S"))</f>
        <v/>
      </c>
      <c r="AN62" s="313" t="str">
        <f>IF($B62=0,"",SUMIFS(INPUT_DATA!AM:AM,INPUT_DATA!$A:$A,$B62,INPUT_DATA!$C:$C,"S"))</f>
        <v/>
      </c>
      <c r="AO62" s="313" t="str">
        <f>IF($B62=0,"",SUMIFS(INPUT_DATA!AN:AN,INPUT_DATA!$A:$A,$B62,INPUT_DATA!$C:$C,"S"))</f>
        <v/>
      </c>
      <c r="AP62" s="313" t="str">
        <f>IF($B62=0,"",SUMIFS(INPUT_DATA!AO:AO,INPUT_DATA!$A:$A,$B62,INPUT_DATA!$C:$C,"S"))</f>
        <v/>
      </c>
      <c r="AQ62" s="313" t="str">
        <f>IF($B62=0,"",SUMIFS(INPUT_DATA!AP:AP,INPUT_DATA!$A:$A,$B62,INPUT_DATA!$C:$C,"S"))</f>
        <v/>
      </c>
      <c r="AR62" s="313" t="str">
        <f>IF($B62=0,"",SUMIFS(INPUT_DATA!AQ:AQ,INPUT_DATA!$A:$A,$B62,INPUT_DATA!$C:$C,"S"))</f>
        <v/>
      </c>
      <c r="AS62" s="749" t="str">
        <f t="shared" si="29"/>
        <v/>
      </c>
      <c r="AT62" s="750" t="str">
        <f t="shared" si="30"/>
        <v/>
      </c>
      <c r="AU62" s="751" t="str">
        <f t="shared" si="31"/>
        <v/>
      </c>
      <c r="AV62" s="749" t="str">
        <f>IF($B62=0,"",SUMIFS(INPUT_DATA!AR:AR,INPUT_DATA!$A:$A,$B62,INPUT_DATA!$C:$C,"S"))</f>
        <v/>
      </c>
      <c r="AW62" s="750" t="str">
        <f>IF($B62=0,"",SUMIFS(INPUT_DATA!AS:AS,INPUT_DATA!$A:$A,$B62,INPUT_DATA!$C:$C,"S"))</f>
        <v/>
      </c>
      <c r="AX62" s="751" t="str">
        <f>IF($B62=0,"",SUMIFS(INPUT_DATA!AT:AT,INPUT_DATA!$A:$A,$B62,INPUT_DATA!$C:$C,"S"))</f>
        <v/>
      </c>
      <c r="AY62" s="749" t="str">
        <f t="shared" si="15"/>
        <v/>
      </c>
      <c r="AZ62" s="750" t="str">
        <f t="shared" si="16"/>
        <v/>
      </c>
      <c r="BA62" s="751" t="str">
        <f t="shared" si="17"/>
        <v/>
      </c>
      <c r="BB62" s="150"/>
      <c r="BC62" s="738" t="str">
        <f>IF($B62=0,"",SUMIFS(INPUT_DATA!D:D,INPUT_DATA!$A:$A,$B62,INPUT_DATA!$C:$C,"D"))</f>
        <v/>
      </c>
      <c r="BD62" s="312" t="str">
        <f>IF($B62=0,"",SUMIFS(INPUT_DATA!F:F,INPUT_DATA!$A:$A,$B62,INPUT_DATA!$C:$C,"D"))</f>
        <v/>
      </c>
      <c r="BE62" s="312" t="str">
        <f>IF($B62=0,"",SUMIFS(INPUT_DATA!G:G,INPUT_DATA!$A:$A,$B62,INPUT_DATA!$C:$C,"D"))</f>
        <v/>
      </c>
      <c r="BF62" s="312" t="str">
        <f>IF($B62=0,"",SUMIFS(INPUT_DATA!H:H,INPUT_DATA!$A:$A,$B62,INPUT_DATA!$C:$C,"D"))</f>
        <v/>
      </c>
      <c r="BG62" s="312" t="str">
        <f>IF($B62=0,"",SUMIFS(INPUT_DATA!I:I,INPUT_DATA!$A:$A,$B62,INPUT_DATA!$C:$C,"D"))</f>
        <v/>
      </c>
      <c r="BH62" s="312" t="str">
        <f>IF($B62=0,"",SUMIFS(INPUT_DATA!J:J,INPUT_DATA!$A:$A,$B62,INPUT_DATA!$C:$C,"D"))</f>
        <v/>
      </c>
      <c r="BI62" s="312" t="str">
        <f>IF($B62=0,"",SUMIFS(INPUT_DATA!K:K,INPUT_DATA!$A:$A,$B62,INPUT_DATA!$C:$C,"D"))</f>
        <v/>
      </c>
      <c r="BJ62" s="312" t="str">
        <f>IF($B62=0,"",SUMIFS(INPUT_DATA!L:L,INPUT_DATA!$A:$A,$B62,INPUT_DATA!$C:$C,"D"))</f>
        <v/>
      </c>
      <c r="BK62" s="312" t="str">
        <f>IF($B62=0,"",SUMIFS(INPUT_DATA!M:M,INPUT_DATA!$A:$A,$B62,INPUT_DATA!$C:$C,"D"))</f>
        <v/>
      </c>
      <c r="BL62" s="312" t="str">
        <f>IF($B62=0,"",SUMIFS(INPUT_DATA!N:N,INPUT_DATA!$A:$A,$B62,INPUT_DATA!$C:$C,"D"))</f>
        <v/>
      </c>
      <c r="BM62" s="312" t="str">
        <f>IF($B62=0,"",SUMIFS(INPUT_DATA!O:O,INPUT_DATA!$A:$A,$B62,INPUT_DATA!$C:$C,"D"))</f>
        <v/>
      </c>
      <c r="BN62" s="754" t="str">
        <f t="shared" si="18"/>
        <v/>
      </c>
      <c r="BO62" s="754" t="str">
        <f>IF($B62=0,"",SUMIFS(INPUT_DATA!O:O,INPUT_DATA!$A:$A,$B62,INPUT_DATA!$C:$C,"D"))</f>
        <v/>
      </c>
      <c r="BP62" s="754" t="str">
        <f t="shared" si="19"/>
        <v/>
      </c>
      <c r="BQ62" s="738" t="str">
        <f>IF($B62=0,"",SUMIFS(INPUT_DATA!Q:Q,INPUT_DATA!$A:$A,$B62,INPUT_DATA!$C:$C,"D"))</f>
        <v/>
      </c>
      <c r="BR62" s="760" t="str">
        <f>IF($B62=0,"",SUMIFS(INPUT_DATA!R:R,INPUT_DATA!$A:$A,$B62,INPUT_DATA!$C:$C,"D"))</f>
        <v/>
      </c>
      <c r="BS62" s="760" t="str">
        <f>IF($B62=0,"",SUMIFS(INPUT_DATA!S:S,INPUT_DATA!$A:$A,$B62,INPUT_DATA!$C:$C,"D"))</f>
        <v/>
      </c>
      <c r="BT62" s="312" t="str">
        <f>IF($B62=0,"",SUMIFS(INPUT_DATA!T:T,INPUT_DATA!$A:$A,$B62,INPUT_DATA!$C:$C,"D"))</f>
        <v/>
      </c>
      <c r="BU62" s="312" t="str">
        <f>IF($B62=0,"",SUMIFS(INPUT_DATA!U:U,INPUT_DATA!$A:$A,$B62,INPUT_DATA!$C:$C,"D"))</f>
        <v/>
      </c>
      <c r="BV62" s="312" t="str">
        <f>IF($B62=0,"",SUMIFS(INPUT_DATA!V:V,INPUT_DATA!$A:$A,$B62,INPUT_DATA!$C:$C,"D"))</f>
        <v/>
      </c>
      <c r="BW62" s="312" t="str">
        <f>IF($B62=0,"",SUMIFS(INPUT_DATA!W:W,INPUT_DATA!$A:$A,$B62,INPUT_DATA!$C:$C,"D"))</f>
        <v/>
      </c>
      <c r="BX62" s="312" t="str">
        <f>IF($B62=0,"",SUMIFS(INPUT_DATA!X:X,INPUT_DATA!$A:$A,$B62,INPUT_DATA!$C:$C,"D"))</f>
        <v/>
      </c>
      <c r="BY62" s="312" t="str">
        <f>IF($B62=0,"",SUMIFS(INPUT_DATA!Y:Y,INPUT_DATA!$A:$A,$B62,INPUT_DATA!$C:$C,"D"))</f>
        <v/>
      </c>
      <c r="BZ62" s="353" t="str">
        <f>IF($B62=0,"",SUMIFS(INPUT_DATA!Z:Z,INPUT_DATA!$A:$A,$B62,INPUT_DATA!$C:$C,"D"))</f>
        <v/>
      </c>
      <c r="CA62" s="353" t="str">
        <f>IF($B62=0,"",SUMIFS(INPUT_DATA!AA:AA,INPUT_DATA!$A:$A,$B62,INPUT_DATA!$C:$C,"D"))</f>
        <v/>
      </c>
      <c r="CB62" s="353" t="str">
        <f>IF($B62=0,"",SUMIFS(INPUT_DATA!AB:AB,INPUT_DATA!$A:$A,$B62,INPUT_DATA!$C:$C,"D"))</f>
        <v/>
      </c>
      <c r="CC62" s="312" t="str">
        <f>IF($B62=0,"",SUMIFS(INPUT_DATA!AC:AC,INPUT_DATA!$A:$A,$B62,INPUT_DATA!$C:$C,"D"))</f>
        <v/>
      </c>
      <c r="CD62" s="312" t="str">
        <f>IF($B62=0,"",SUMIFS(INPUT_DATA!AD:AD,INPUT_DATA!$A:$A,$B62,INPUT_DATA!$C:$C,"D"))</f>
        <v/>
      </c>
      <c r="CE62" s="312" t="str">
        <f>IF($B62=0,"",SUMIFS(INPUT_DATA!AE:AE,INPUT_DATA!$A:$A,$B62,INPUT_DATA!$C:$C,"D"))</f>
        <v/>
      </c>
      <c r="CF62" s="353" t="str">
        <f>IF($B62=0,"",SUMIFS(INPUT_DATA!AF:AF,INPUT_DATA!$A:$A,$B62,INPUT_DATA!$C:$C,"D"))</f>
        <v/>
      </c>
      <c r="CG62" s="353" t="str">
        <f>IF($B62=0,"",SUMIFS(INPUT_DATA!AG:AG,INPUT_DATA!$A:$A,$B62,INPUT_DATA!$C:$C,"D"))</f>
        <v/>
      </c>
      <c r="CH62" s="353" t="str">
        <f>IF($B62=0,"",SUMIFS(INPUT_DATA!AH:AH,INPUT_DATA!$A:$A,$B62,INPUT_DATA!$C:$C,"D"))</f>
        <v/>
      </c>
      <c r="CI62" s="153" t="str">
        <f>IF($B62=0,"",SUMIFS(INPUT_DATA!AI:AI,INPUT_DATA!$A:$A,$B62,INPUT_DATA!$C:$C,"D"))</f>
        <v/>
      </c>
      <c r="CJ62" s="153" t="str">
        <f>IF($B62=0,"",SUMIFS(INPUT_DATA!AJ:AJ,INPUT_DATA!$A:$A,$B62,INPUT_DATA!$C:$C,"D"))</f>
        <v/>
      </c>
      <c r="CK62" s="153" t="str">
        <f>IF($B62=0,"",SUMIFS(INPUT_DATA!AK:AK,INPUT_DATA!$A:$A,$B62,INPUT_DATA!$C:$C,"D"))</f>
        <v/>
      </c>
      <c r="CL62" s="153" t="str">
        <f>IF($B62=0,"",SUMIFS(INPUT_DATA!AL:AL,INPUT_DATA!$A:$A,$B62,INPUT_DATA!$C:$C,"D"))</f>
        <v/>
      </c>
      <c r="CM62" s="153" t="str">
        <f>IF($B62=0,"",SUMIFS(INPUT_DATA!AM:AM,INPUT_DATA!$A:$A,$B62,INPUT_DATA!$C:$C,"D"))</f>
        <v/>
      </c>
      <c r="CN62" s="153" t="str">
        <f>IF($B62=0,"",SUMIFS(INPUT_DATA!AN:AN,INPUT_DATA!$A:$A,$B62,INPUT_DATA!$C:$C,"D"))</f>
        <v/>
      </c>
      <c r="CO62" s="153" t="str">
        <f>IF($B62=0,"",SUMIFS(INPUT_DATA!AO:AO,INPUT_DATA!$A:$A,$B62,INPUT_DATA!$C:$C,"D"))</f>
        <v/>
      </c>
      <c r="CP62" s="153" t="str">
        <f>IF($B62=0,"",SUMIFS(INPUT_DATA!AP:AP,INPUT_DATA!$A:$A,$B62,INPUT_DATA!$C:$C,"D"))</f>
        <v/>
      </c>
      <c r="CQ62" s="153" t="str">
        <f>IF($B62=0,"",SUMIFS(INPUT_DATA!AQ:AQ,INPUT_DATA!$A:$A,$B62,INPUT_DATA!$C:$C,"D"))</f>
        <v/>
      </c>
      <c r="CR62" s="750" t="str">
        <f t="shared" si="32"/>
        <v/>
      </c>
      <c r="CS62" s="750" t="str">
        <f t="shared" si="33"/>
        <v/>
      </c>
      <c r="CT62" s="750" t="str">
        <f t="shared" si="34"/>
        <v/>
      </c>
      <c r="CU62" s="739" t="str">
        <f>IF($B62=0,"",SUMIFS(INPUT_DATA!AR:AR,INPUT_DATA!$A:$A,$B62,INPUT_DATA!$C:$C,"D"))</f>
        <v/>
      </c>
      <c r="CV62" s="739" t="str">
        <f>IF($B62=0,"",SUMIFS(INPUT_DATA!AS:AS,INPUT_DATA!$A:$A,$B62,INPUT_DATA!$C:$C,"D"))</f>
        <v/>
      </c>
      <c r="CW62" s="739" t="str">
        <f>IF($B62=0,"",SUMIFS(INPUT_DATA!AT:AT,INPUT_DATA!$A:$A,$B62,INPUT_DATA!$C:$C,"D"))</f>
        <v/>
      </c>
      <c r="CX62" s="739" t="str">
        <f t="shared" si="35"/>
        <v/>
      </c>
      <c r="CY62" s="750" t="str">
        <f t="shared" si="36"/>
        <v/>
      </c>
      <c r="CZ62" s="761" t="str">
        <f t="shared" si="37"/>
        <v/>
      </c>
      <c r="DA62" s="150"/>
    </row>
    <row r="63" spans="1:105" ht="13" x14ac:dyDescent="0.25">
      <c r="A63" s="172">
        <f t="shared" si="40"/>
        <v>-16</v>
      </c>
      <c r="B63" s="733">
        <f>INPUT_DATA!BQ50</f>
        <v>0</v>
      </c>
      <c r="C63" s="738" t="str">
        <f>IF($B63=0,"",SUMIFS(INPUT_DATA!D:D,INPUT_DATA!$A:$A,$B63,INPUT_DATA!$C:$C,"S"))</f>
        <v/>
      </c>
      <c r="D63" s="739" t="str">
        <f>IF($B63=0,"",SUMIFS(INPUT_DATA!E:E,INPUT_DATA!$A:$A,$B63,INPUT_DATA!$C:$C,"S"))</f>
        <v/>
      </c>
      <c r="E63" s="740" t="str">
        <f>IF($B63=0,"",SUMIFS(INPUT_DATA!F:F,INPUT_DATA!$A:$A,$B63,INPUT_DATA!$C:$C,"S"))</f>
        <v/>
      </c>
      <c r="F63" s="740" t="str">
        <f>IF($B63=0,"",SUMIFS(INPUT_DATA!G:G,INPUT_DATA!$A:$A,$B63,INPUT_DATA!$C:$C,"S"))</f>
        <v/>
      </c>
      <c r="G63" s="740" t="str">
        <f>IF($B63=0,"",SUMIFS(INPUT_DATA!H:H,INPUT_DATA!$A:$A,$B63,INPUT_DATA!$C:$C,"S"))</f>
        <v/>
      </c>
      <c r="H63" s="740" t="str">
        <f>IF($B63=0,"",SUMIFS(INPUT_DATA!I:I,INPUT_DATA!$A:$A,$B63,INPUT_DATA!$C:$C,"S"))</f>
        <v/>
      </c>
      <c r="I63" s="740" t="str">
        <f>IF($B63=0,"",SUMIFS(INPUT_DATA!J:J,INPUT_DATA!$A:$A,$B63,INPUT_DATA!$C:$C,"S"))</f>
        <v/>
      </c>
      <c r="J63" s="740" t="str">
        <f>IF($B63=0,"",SUMIFS(INPUT_DATA!K:K,INPUT_DATA!$A:$A,$B63,INPUT_DATA!$C:$C,"S"))</f>
        <v/>
      </c>
      <c r="K63" s="740" t="str">
        <f>IF($B63=0,"",SUMIFS(INPUT_DATA!L:L,INPUT_DATA!$A:$A,$B63,INPUT_DATA!$C:$C,"S"))</f>
        <v/>
      </c>
      <c r="L63" s="740" t="str">
        <f>IF($B63=0,"",SUMIFS(INPUT_DATA!M:M,INPUT_DATA!$A:$A,$B63,INPUT_DATA!$C:$C,"S"))</f>
        <v/>
      </c>
      <c r="M63" s="740" t="str">
        <f>IF($B63=0,"",SUMIFS(INPUT_DATA!N:N,INPUT_DATA!$A:$A,$B63,INPUT_DATA!$C:$C,"S"))</f>
        <v/>
      </c>
      <c r="N63" s="740" t="str">
        <f>IF($B63=0,"",SUMIFS(INPUT_DATA!O:O,INPUT_DATA!$A:$A,$B63,INPUT_DATA!$C:$C,"S"))</f>
        <v/>
      </c>
      <c r="O63" s="741" t="str">
        <f t="shared" si="38"/>
        <v/>
      </c>
      <c r="P63" s="742" t="str">
        <f>IF($B63=0,"",SUMIFS(INPUT_DATA!P:P,INPUT_DATA!$A:$A,$B63,INPUT_DATA!$C:$C,"S"))</f>
        <v/>
      </c>
      <c r="Q63" s="742" t="str">
        <f t="shared" si="39"/>
        <v/>
      </c>
      <c r="R63" s="748" t="str">
        <f>IF($B63=0,"",SUMIFS(INPUT_DATA!Q:Q,INPUT_DATA!$A:$A,$B63,INPUT_DATA!$C:$C,"S"))</f>
        <v/>
      </c>
      <c r="S63" s="748" t="str">
        <f>IF($B63=0,"",SUMIFS(INPUT_DATA!R:R,INPUT_DATA!$A:$A,$B63,INPUT_DATA!$C:$C,"S"))</f>
        <v/>
      </c>
      <c r="T63" s="748" t="str">
        <f>IF($B63=0,"",SUMIFS(INPUT_DATA!S:S,INPUT_DATA!$A:$A,$B63,INPUT_DATA!$C:$C,"S"))</f>
        <v/>
      </c>
      <c r="U63" s="313" t="str">
        <f>IF($B63=0,"",SUMIFS(INPUT_DATA!T:T,INPUT_DATA!$A:$A,$B63,INPUT_DATA!$C:$C,"S"))</f>
        <v/>
      </c>
      <c r="V63" s="313" t="str">
        <f>IF($B63=0,"",SUMIFS(INPUT_DATA!U:U,INPUT_DATA!$A:$A,$B63,INPUT_DATA!$C:$C,"S"))</f>
        <v/>
      </c>
      <c r="W63" s="313" t="str">
        <f>IF($B63=0,"",SUMIFS(INPUT_DATA!V:V,INPUT_DATA!$A:$A,$B63,INPUT_DATA!$C:$C,"S"))</f>
        <v/>
      </c>
      <c r="X63" s="313" t="str">
        <f>IF($B63=0,"",SUMIFS(INPUT_DATA!W:W,INPUT_DATA!$A:$A,$B63,INPUT_DATA!$C:$C,"S"))</f>
        <v/>
      </c>
      <c r="Y63" s="313" t="str">
        <f>IF($B63=0,"",SUMIFS(INPUT_DATA!X:X,INPUT_DATA!$A:$A,$B63,INPUT_DATA!$C:$C,"S"))</f>
        <v/>
      </c>
      <c r="Z63" s="313" t="str">
        <f>IF($B63=0,"",SUMIFS(INPUT_DATA!Y:Y,INPUT_DATA!$A:$A,$B63,INPUT_DATA!$C:$C,"S"))</f>
        <v/>
      </c>
      <c r="AA63" s="313" t="str">
        <f>IF($B63=0,"",SUMIFS(INPUT_DATA!Z:Z,INPUT_DATA!$A:$A,$B63,INPUT_DATA!$C:$C,"S"))</f>
        <v/>
      </c>
      <c r="AB63" s="313" t="str">
        <f>IF($B63=0,"",SUMIFS(INPUT_DATA!AA:AA,INPUT_DATA!$A:$A,$B63,INPUT_DATA!$C:$C,"S"))</f>
        <v/>
      </c>
      <c r="AC63" s="313" t="str">
        <f>IF($B63=0,"",SUMIFS(INPUT_DATA!AB:AB,INPUT_DATA!$A:$A,$B63,INPUT_DATA!$C:$C,"S"))</f>
        <v/>
      </c>
      <c r="AD63" s="313" t="str">
        <f>IF($B63=0,"",SUMIFS(INPUT_DATA!AC:AC,INPUT_DATA!$A:$A,$B63,INPUT_DATA!$C:$C,"S"))</f>
        <v/>
      </c>
      <c r="AE63" s="313" t="str">
        <f>IF($B63=0,"",SUMIFS(INPUT_DATA!AD:AD,INPUT_DATA!$A:$A,$B63,INPUT_DATA!$C:$C,"S"))</f>
        <v/>
      </c>
      <c r="AF63" s="313" t="str">
        <f>IF($B63=0,"",SUMIFS(INPUT_DATA!AE:AE,INPUT_DATA!$A:$A,$B63,INPUT_DATA!$C:$C,"S"))</f>
        <v/>
      </c>
      <c r="AG63" s="313" t="str">
        <f>IF($B63=0,"",SUMIFS(INPUT_DATA!AF:AF,INPUT_DATA!$A:$A,$B63,INPUT_DATA!$C:$C,"S"))</f>
        <v/>
      </c>
      <c r="AH63" s="313" t="str">
        <f>IF($B63=0,"",SUMIFS(INPUT_DATA!AG:AG,INPUT_DATA!$A:$A,$B63,INPUT_DATA!$C:$C,"S"))</f>
        <v/>
      </c>
      <c r="AI63" s="313" t="str">
        <f>IF($B63=0,"",SUMIFS(INPUT_DATA!AH:AH,INPUT_DATA!$A:$A,$B63,INPUT_DATA!$C:$C,"S"))</f>
        <v/>
      </c>
      <c r="AJ63" s="313" t="str">
        <f>IF($B63=0,"",SUMIFS(INPUT_DATA!AI:AI,INPUT_DATA!$A:$A,$B63,INPUT_DATA!$C:$C,"S"))</f>
        <v/>
      </c>
      <c r="AK63" s="313" t="str">
        <f>IF($B63=0,"",SUMIFS(INPUT_DATA!AJ:AJ,INPUT_DATA!$A:$A,$B63,INPUT_DATA!$C:$C,"S"))</f>
        <v/>
      </c>
      <c r="AL63" s="313" t="str">
        <f>IF($B63=0,"",SUMIFS(INPUT_DATA!AK:AK,INPUT_DATA!$A:$A,$B63,INPUT_DATA!$C:$C,"S"))</f>
        <v/>
      </c>
      <c r="AM63" s="313" t="str">
        <f>IF($B63=0,"",SUMIFS(INPUT_DATA!AL:AL,INPUT_DATA!$A:$A,$B63,INPUT_DATA!$C:$C,"S"))</f>
        <v/>
      </c>
      <c r="AN63" s="313" t="str">
        <f>IF($B63=0,"",SUMIFS(INPUT_DATA!AM:AM,INPUT_DATA!$A:$A,$B63,INPUT_DATA!$C:$C,"S"))</f>
        <v/>
      </c>
      <c r="AO63" s="313" t="str">
        <f>IF($B63=0,"",SUMIFS(INPUT_DATA!AN:AN,INPUT_DATA!$A:$A,$B63,INPUT_DATA!$C:$C,"S"))</f>
        <v/>
      </c>
      <c r="AP63" s="313" t="str">
        <f>IF($B63=0,"",SUMIFS(INPUT_DATA!AO:AO,INPUT_DATA!$A:$A,$B63,INPUT_DATA!$C:$C,"S"))</f>
        <v/>
      </c>
      <c r="AQ63" s="313" t="str">
        <f>IF($B63=0,"",SUMIFS(INPUT_DATA!AP:AP,INPUT_DATA!$A:$A,$B63,INPUT_DATA!$C:$C,"S"))</f>
        <v/>
      </c>
      <c r="AR63" s="313" t="str">
        <f>IF($B63=0,"",SUMIFS(INPUT_DATA!AQ:AQ,INPUT_DATA!$A:$A,$B63,INPUT_DATA!$C:$C,"S"))</f>
        <v/>
      </c>
      <c r="AS63" s="749" t="str">
        <f t="shared" si="29"/>
        <v/>
      </c>
      <c r="AT63" s="750" t="str">
        <f t="shared" si="30"/>
        <v/>
      </c>
      <c r="AU63" s="751" t="str">
        <f t="shared" si="31"/>
        <v/>
      </c>
      <c r="AV63" s="749" t="str">
        <f>IF($B63=0,"",SUMIFS(INPUT_DATA!AR:AR,INPUT_DATA!$A:$A,$B63,INPUT_DATA!$C:$C,"S"))</f>
        <v/>
      </c>
      <c r="AW63" s="750" t="str">
        <f>IF($B63=0,"",SUMIFS(INPUT_DATA!AS:AS,INPUT_DATA!$A:$A,$B63,INPUT_DATA!$C:$C,"S"))</f>
        <v/>
      </c>
      <c r="AX63" s="751" t="str">
        <f>IF($B63=0,"",SUMIFS(INPUT_DATA!AT:AT,INPUT_DATA!$A:$A,$B63,INPUT_DATA!$C:$C,"S"))</f>
        <v/>
      </c>
      <c r="AY63" s="749" t="str">
        <f t="shared" si="15"/>
        <v/>
      </c>
      <c r="AZ63" s="750" t="str">
        <f t="shared" si="16"/>
        <v/>
      </c>
      <c r="BA63" s="751" t="str">
        <f t="shared" si="17"/>
        <v/>
      </c>
      <c r="BB63" s="150"/>
      <c r="BC63" s="738" t="str">
        <f>IF($B63=0,"",SUMIFS(INPUT_DATA!D:D,INPUT_DATA!$A:$A,$B63,INPUT_DATA!$C:$C,"D"))</f>
        <v/>
      </c>
      <c r="BD63" s="312" t="str">
        <f>IF($B63=0,"",SUMIFS(INPUT_DATA!F:F,INPUT_DATA!$A:$A,$B63,INPUT_DATA!$C:$C,"D"))</f>
        <v/>
      </c>
      <c r="BE63" s="312" t="str">
        <f>IF($B63=0,"",SUMIFS(INPUT_DATA!G:G,INPUT_DATA!$A:$A,$B63,INPUT_DATA!$C:$C,"D"))</f>
        <v/>
      </c>
      <c r="BF63" s="312" t="str">
        <f>IF($B63=0,"",SUMIFS(INPUT_DATA!H:H,INPUT_DATA!$A:$A,$B63,INPUT_DATA!$C:$C,"D"))</f>
        <v/>
      </c>
      <c r="BG63" s="312" t="str">
        <f>IF($B63=0,"",SUMIFS(INPUT_DATA!I:I,INPUT_DATA!$A:$A,$B63,INPUT_DATA!$C:$C,"D"))</f>
        <v/>
      </c>
      <c r="BH63" s="312" t="str">
        <f>IF($B63=0,"",SUMIFS(INPUT_DATA!J:J,INPUT_DATA!$A:$A,$B63,INPUT_DATA!$C:$C,"D"))</f>
        <v/>
      </c>
      <c r="BI63" s="312" t="str">
        <f>IF($B63=0,"",SUMIFS(INPUT_DATA!K:K,INPUT_DATA!$A:$A,$B63,INPUT_DATA!$C:$C,"D"))</f>
        <v/>
      </c>
      <c r="BJ63" s="312" t="str">
        <f>IF($B63=0,"",SUMIFS(INPUT_DATA!L:L,INPUT_DATA!$A:$A,$B63,INPUT_DATA!$C:$C,"D"))</f>
        <v/>
      </c>
      <c r="BK63" s="312" t="str">
        <f>IF($B63=0,"",SUMIFS(INPUT_DATA!M:M,INPUT_DATA!$A:$A,$B63,INPUT_DATA!$C:$C,"D"))</f>
        <v/>
      </c>
      <c r="BL63" s="312" t="str">
        <f>IF($B63=0,"",SUMIFS(INPUT_DATA!N:N,INPUT_DATA!$A:$A,$B63,INPUT_DATA!$C:$C,"D"))</f>
        <v/>
      </c>
      <c r="BM63" s="312" t="str">
        <f>IF($B63=0,"",SUMIFS(INPUT_DATA!O:O,INPUT_DATA!$A:$A,$B63,INPUT_DATA!$C:$C,"D"))</f>
        <v/>
      </c>
      <c r="BN63" s="754" t="str">
        <f t="shared" si="18"/>
        <v/>
      </c>
      <c r="BO63" s="754" t="str">
        <f>IF($B63=0,"",SUMIFS(INPUT_DATA!O:O,INPUT_DATA!$A:$A,$B63,INPUT_DATA!$C:$C,"D"))</f>
        <v/>
      </c>
      <c r="BP63" s="754" t="str">
        <f t="shared" si="19"/>
        <v/>
      </c>
      <c r="BQ63" s="738" t="str">
        <f>IF($B63=0,"",SUMIFS(INPUT_DATA!Q:Q,INPUT_DATA!$A:$A,$B63,INPUT_DATA!$C:$C,"D"))</f>
        <v/>
      </c>
      <c r="BR63" s="760" t="str">
        <f>IF($B63=0,"",SUMIFS(INPUT_DATA!R:R,INPUT_DATA!$A:$A,$B63,INPUT_DATA!$C:$C,"D"))</f>
        <v/>
      </c>
      <c r="BS63" s="760" t="str">
        <f>IF($B63=0,"",SUMIFS(INPUT_DATA!S:S,INPUT_DATA!$A:$A,$B63,INPUT_DATA!$C:$C,"D"))</f>
        <v/>
      </c>
      <c r="BT63" s="312" t="str">
        <f>IF($B63=0,"",SUMIFS(INPUT_DATA!T:T,INPUT_DATA!$A:$A,$B63,INPUT_DATA!$C:$C,"D"))</f>
        <v/>
      </c>
      <c r="BU63" s="312" t="str">
        <f>IF($B63=0,"",SUMIFS(INPUT_DATA!U:U,INPUT_DATA!$A:$A,$B63,INPUT_DATA!$C:$C,"D"))</f>
        <v/>
      </c>
      <c r="BV63" s="312" t="str">
        <f>IF($B63=0,"",SUMIFS(INPUT_DATA!V:V,INPUT_DATA!$A:$A,$B63,INPUT_DATA!$C:$C,"D"))</f>
        <v/>
      </c>
      <c r="BW63" s="312" t="str">
        <f>IF($B63=0,"",SUMIFS(INPUT_DATA!W:W,INPUT_DATA!$A:$A,$B63,INPUT_DATA!$C:$C,"D"))</f>
        <v/>
      </c>
      <c r="BX63" s="312" t="str">
        <f>IF($B63=0,"",SUMIFS(INPUT_DATA!X:X,INPUT_DATA!$A:$A,$B63,INPUT_DATA!$C:$C,"D"))</f>
        <v/>
      </c>
      <c r="BY63" s="312" t="str">
        <f>IF($B63=0,"",SUMIFS(INPUT_DATA!Y:Y,INPUT_DATA!$A:$A,$B63,INPUT_DATA!$C:$C,"D"))</f>
        <v/>
      </c>
      <c r="BZ63" s="353" t="str">
        <f>IF($B63=0,"",SUMIFS(INPUT_DATA!Z:Z,INPUT_DATA!$A:$A,$B63,INPUT_DATA!$C:$C,"D"))</f>
        <v/>
      </c>
      <c r="CA63" s="353" t="str">
        <f>IF($B63=0,"",SUMIFS(INPUT_DATA!AA:AA,INPUT_DATA!$A:$A,$B63,INPUT_DATA!$C:$C,"D"))</f>
        <v/>
      </c>
      <c r="CB63" s="353" t="str">
        <f>IF($B63=0,"",SUMIFS(INPUT_DATA!AB:AB,INPUT_DATA!$A:$A,$B63,INPUT_DATA!$C:$C,"D"))</f>
        <v/>
      </c>
      <c r="CC63" s="312" t="str">
        <f>IF($B63=0,"",SUMIFS(INPUT_DATA!AC:AC,INPUT_DATA!$A:$A,$B63,INPUT_DATA!$C:$C,"D"))</f>
        <v/>
      </c>
      <c r="CD63" s="312" t="str">
        <f>IF($B63=0,"",SUMIFS(INPUT_DATA!AD:AD,INPUT_DATA!$A:$A,$B63,INPUT_DATA!$C:$C,"D"))</f>
        <v/>
      </c>
      <c r="CE63" s="312" t="str">
        <f>IF($B63=0,"",SUMIFS(INPUT_DATA!AE:AE,INPUT_DATA!$A:$A,$B63,INPUT_DATA!$C:$C,"D"))</f>
        <v/>
      </c>
      <c r="CF63" s="353" t="str">
        <f>IF($B63=0,"",SUMIFS(INPUT_DATA!AF:AF,INPUT_DATA!$A:$A,$B63,INPUT_DATA!$C:$C,"D"))</f>
        <v/>
      </c>
      <c r="CG63" s="353" t="str">
        <f>IF($B63=0,"",SUMIFS(INPUT_DATA!AG:AG,INPUT_DATA!$A:$A,$B63,INPUT_DATA!$C:$C,"D"))</f>
        <v/>
      </c>
      <c r="CH63" s="353" t="str">
        <f>IF($B63=0,"",SUMIFS(INPUT_DATA!AH:AH,INPUT_DATA!$A:$A,$B63,INPUT_DATA!$C:$C,"D"))</f>
        <v/>
      </c>
      <c r="CI63" s="153" t="str">
        <f>IF($B63=0,"",SUMIFS(INPUT_DATA!AI:AI,INPUT_DATA!$A:$A,$B63,INPUT_DATA!$C:$C,"D"))</f>
        <v/>
      </c>
      <c r="CJ63" s="153" t="str">
        <f>IF($B63=0,"",SUMIFS(INPUT_DATA!AJ:AJ,INPUT_DATA!$A:$A,$B63,INPUT_DATA!$C:$C,"D"))</f>
        <v/>
      </c>
      <c r="CK63" s="153" t="str">
        <f>IF($B63=0,"",SUMIFS(INPUT_DATA!AK:AK,INPUT_DATA!$A:$A,$B63,INPUT_DATA!$C:$C,"D"))</f>
        <v/>
      </c>
      <c r="CL63" s="153" t="str">
        <f>IF($B63=0,"",SUMIFS(INPUT_DATA!AL:AL,INPUT_DATA!$A:$A,$B63,INPUT_DATA!$C:$C,"D"))</f>
        <v/>
      </c>
      <c r="CM63" s="153" t="str">
        <f>IF($B63=0,"",SUMIFS(INPUT_DATA!AM:AM,INPUT_DATA!$A:$A,$B63,INPUT_DATA!$C:$C,"D"))</f>
        <v/>
      </c>
      <c r="CN63" s="153" t="str">
        <f>IF($B63=0,"",SUMIFS(INPUT_DATA!AN:AN,INPUT_DATA!$A:$A,$B63,INPUT_DATA!$C:$C,"D"))</f>
        <v/>
      </c>
      <c r="CO63" s="153" t="str">
        <f>IF($B63=0,"",SUMIFS(INPUT_DATA!AO:AO,INPUT_DATA!$A:$A,$B63,INPUT_DATA!$C:$C,"D"))</f>
        <v/>
      </c>
      <c r="CP63" s="153" t="str">
        <f>IF($B63=0,"",SUMIFS(INPUT_DATA!AP:AP,INPUT_DATA!$A:$A,$B63,INPUT_DATA!$C:$C,"D"))</f>
        <v/>
      </c>
      <c r="CQ63" s="153" t="str">
        <f>IF($B63=0,"",SUMIFS(INPUT_DATA!AQ:AQ,INPUT_DATA!$A:$A,$B63,INPUT_DATA!$C:$C,"D"))</f>
        <v/>
      </c>
      <c r="CR63" s="750" t="str">
        <f t="shared" si="32"/>
        <v/>
      </c>
      <c r="CS63" s="750" t="str">
        <f t="shared" si="33"/>
        <v/>
      </c>
      <c r="CT63" s="750" t="str">
        <f t="shared" si="34"/>
        <v/>
      </c>
      <c r="CU63" s="739" t="str">
        <f>IF($B63=0,"",SUMIFS(INPUT_DATA!AR:AR,INPUT_DATA!$A:$A,$B63,INPUT_DATA!$C:$C,"D"))</f>
        <v/>
      </c>
      <c r="CV63" s="739" t="str">
        <f>IF($B63=0,"",SUMIFS(INPUT_DATA!AS:AS,INPUT_DATA!$A:$A,$B63,INPUT_DATA!$C:$C,"D"))</f>
        <v/>
      </c>
      <c r="CW63" s="739" t="str">
        <f>IF($B63=0,"",SUMIFS(INPUT_DATA!AT:AT,INPUT_DATA!$A:$A,$B63,INPUT_DATA!$C:$C,"D"))</f>
        <v/>
      </c>
      <c r="CX63" s="739" t="str">
        <f t="shared" si="35"/>
        <v/>
      </c>
      <c r="CY63" s="750" t="str">
        <f t="shared" si="36"/>
        <v/>
      </c>
      <c r="CZ63" s="761" t="str">
        <f t="shared" si="37"/>
        <v/>
      </c>
      <c r="DA63" s="150"/>
    </row>
    <row r="64" spans="1:105" ht="13" x14ac:dyDescent="0.25">
      <c r="A64" s="172">
        <f t="shared" si="40"/>
        <v>-17</v>
      </c>
      <c r="B64" s="733">
        <f>INPUT_DATA!BQ51</f>
        <v>0</v>
      </c>
      <c r="C64" s="738" t="str">
        <f>IF($B64=0,"",SUMIFS(INPUT_DATA!D:D,INPUT_DATA!$A:$A,$B64,INPUT_DATA!$C:$C,"S"))</f>
        <v/>
      </c>
      <c r="D64" s="739" t="str">
        <f>IF($B64=0,"",SUMIFS(INPUT_DATA!E:E,INPUT_DATA!$A:$A,$B64,INPUT_DATA!$C:$C,"S"))</f>
        <v/>
      </c>
      <c r="E64" s="740" t="str">
        <f>IF($B64=0,"",SUMIFS(INPUT_DATA!F:F,INPUT_DATA!$A:$A,$B64,INPUT_DATA!$C:$C,"S"))</f>
        <v/>
      </c>
      <c r="F64" s="740" t="str">
        <f>IF($B64=0,"",SUMIFS(INPUT_DATA!G:G,INPUT_DATA!$A:$A,$B64,INPUT_DATA!$C:$C,"S"))</f>
        <v/>
      </c>
      <c r="G64" s="740" t="str">
        <f>IF($B64=0,"",SUMIFS(INPUT_DATA!H:H,INPUT_DATA!$A:$A,$B64,INPUT_DATA!$C:$C,"S"))</f>
        <v/>
      </c>
      <c r="H64" s="740" t="str">
        <f>IF($B64=0,"",SUMIFS(INPUT_DATA!I:I,INPUT_DATA!$A:$A,$B64,INPUT_DATA!$C:$C,"S"))</f>
        <v/>
      </c>
      <c r="I64" s="740" t="str">
        <f>IF($B64=0,"",SUMIFS(INPUT_DATA!J:J,INPUT_DATA!$A:$A,$B64,INPUT_DATA!$C:$C,"S"))</f>
        <v/>
      </c>
      <c r="J64" s="740" t="str">
        <f>IF($B64=0,"",SUMIFS(INPUT_DATA!K:K,INPUT_DATA!$A:$A,$B64,INPUT_DATA!$C:$C,"S"))</f>
        <v/>
      </c>
      <c r="K64" s="740" t="str">
        <f>IF($B64=0,"",SUMIFS(INPUT_DATA!L:L,INPUT_DATA!$A:$A,$B64,INPUT_DATA!$C:$C,"S"))</f>
        <v/>
      </c>
      <c r="L64" s="740" t="str">
        <f>IF($B64=0,"",SUMIFS(INPUT_DATA!M:M,INPUT_DATA!$A:$A,$B64,INPUT_DATA!$C:$C,"S"))</f>
        <v/>
      </c>
      <c r="M64" s="740" t="str">
        <f>IF($B64=0,"",SUMIFS(INPUT_DATA!N:N,INPUT_DATA!$A:$A,$B64,INPUT_DATA!$C:$C,"S"))</f>
        <v/>
      </c>
      <c r="N64" s="740" t="str">
        <f>IF($B64=0,"",SUMIFS(INPUT_DATA!O:O,INPUT_DATA!$A:$A,$B64,INPUT_DATA!$C:$C,"S"))</f>
        <v/>
      </c>
      <c r="O64" s="741" t="str">
        <f t="shared" si="38"/>
        <v/>
      </c>
      <c r="P64" s="742" t="str">
        <f>IF($B64=0,"",SUMIFS(INPUT_DATA!P:P,INPUT_DATA!$A:$A,$B64,INPUT_DATA!$C:$C,"S"))</f>
        <v/>
      </c>
      <c r="Q64" s="742" t="str">
        <f t="shared" si="39"/>
        <v/>
      </c>
      <c r="R64" s="748" t="str">
        <f>IF($B64=0,"",SUMIFS(INPUT_DATA!Q:Q,INPUT_DATA!$A:$A,$B64,INPUT_DATA!$C:$C,"S"))</f>
        <v/>
      </c>
      <c r="S64" s="748" t="str">
        <f>IF($B64=0,"",SUMIFS(INPUT_DATA!R:R,INPUT_DATA!$A:$A,$B64,INPUT_DATA!$C:$C,"S"))</f>
        <v/>
      </c>
      <c r="T64" s="748" t="str">
        <f>IF($B64=0,"",SUMIFS(INPUT_DATA!S:S,INPUT_DATA!$A:$A,$B64,INPUT_DATA!$C:$C,"S"))</f>
        <v/>
      </c>
      <c r="U64" s="313" t="str">
        <f>IF($B64=0,"",SUMIFS(INPUT_DATA!T:T,INPUT_DATA!$A:$A,$B64,INPUT_DATA!$C:$C,"S"))</f>
        <v/>
      </c>
      <c r="V64" s="313" t="str">
        <f>IF($B64=0,"",SUMIFS(INPUT_DATA!U:U,INPUT_DATA!$A:$A,$B64,INPUT_DATA!$C:$C,"S"))</f>
        <v/>
      </c>
      <c r="W64" s="313" t="str">
        <f>IF($B64=0,"",SUMIFS(INPUT_DATA!V:V,INPUT_DATA!$A:$A,$B64,INPUT_DATA!$C:$C,"S"))</f>
        <v/>
      </c>
      <c r="X64" s="313" t="str">
        <f>IF($B64=0,"",SUMIFS(INPUT_DATA!W:W,INPUT_DATA!$A:$A,$B64,INPUT_DATA!$C:$C,"S"))</f>
        <v/>
      </c>
      <c r="Y64" s="313" t="str">
        <f>IF($B64=0,"",SUMIFS(INPUT_DATA!X:X,INPUT_DATA!$A:$A,$B64,INPUT_DATA!$C:$C,"S"))</f>
        <v/>
      </c>
      <c r="Z64" s="313" t="str">
        <f>IF($B64=0,"",SUMIFS(INPUT_DATA!Y:Y,INPUT_DATA!$A:$A,$B64,INPUT_DATA!$C:$C,"S"))</f>
        <v/>
      </c>
      <c r="AA64" s="313" t="str">
        <f>IF($B64=0,"",SUMIFS(INPUT_DATA!Z:Z,INPUT_DATA!$A:$A,$B64,INPUT_DATA!$C:$C,"S"))</f>
        <v/>
      </c>
      <c r="AB64" s="313" t="str">
        <f>IF($B64=0,"",SUMIFS(INPUT_DATA!AA:AA,INPUT_DATA!$A:$A,$B64,INPUT_DATA!$C:$C,"S"))</f>
        <v/>
      </c>
      <c r="AC64" s="313" t="str">
        <f>IF($B64=0,"",SUMIFS(INPUT_DATA!AB:AB,INPUT_DATA!$A:$A,$B64,INPUT_DATA!$C:$C,"S"))</f>
        <v/>
      </c>
      <c r="AD64" s="313" t="str">
        <f>IF($B64=0,"",SUMIFS(INPUT_DATA!AC:AC,INPUT_DATA!$A:$A,$B64,INPUT_DATA!$C:$C,"S"))</f>
        <v/>
      </c>
      <c r="AE64" s="313" t="str">
        <f>IF($B64=0,"",SUMIFS(INPUT_DATA!AD:AD,INPUT_DATA!$A:$A,$B64,INPUT_DATA!$C:$C,"S"))</f>
        <v/>
      </c>
      <c r="AF64" s="313" t="str">
        <f>IF($B64=0,"",SUMIFS(INPUT_DATA!AE:AE,INPUT_DATA!$A:$A,$B64,INPUT_DATA!$C:$C,"S"))</f>
        <v/>
      </c>
      <c r="AG64" s="313" t="str">
        <f>IF($B64=0,"",SUMIFS(INPUT_DATA!AF:AF,INPUT_DATA!$A:$A,$B64,INPUT_DATA!$C:$C,"S"))</f>
        <v/>
      </c>
      <c r="AH64" s="313" t="str">
        <f>IF($B64=0,"",SUMIFS(INPUT_DATA!AG:AG,INPUT_DATA!$A:$A,$B64,INPUT_DATA!$C:$C,"S"))</f>
        <v/>
      </c>
      <c r="AI64" s="313" t="str">
        <f>IF($B64=0,"",SUMIFS(INPUT_DATA!AH:AH,INPUT_DATA!$A:$A,$B64,INPUT_DATA!$C:$C,"S"))</f>
        <v/>
      </c>
      <c r="AJ64" s="313" t="str">
        <f>IF($B64=0,"",SUMIFS(INPUT_DATA!AI:AI,INPUT_DATA!$A:$A,$B64,INPUT_DATA!$C:$C,"S"))</f>
        <v/>
      </c>
      <c r="AK64" s="313" t="str">
        <f>IF($B64=0,"",SUMIFS(INPUT_DATA!AJ:AJ,INPUT_DATA!$A:$A,$B64,INPUT_DATA!$C:$C,"S"))</f>
        <v/>
      </c>
      <c r="AL64" s="313" t="str">
        <f>IF($B64=0,"",SUMIFS(INPUT_DATA!AK:AK,INPUT_DATA!$A:$A,$B64,INPUT_DATA!$C:$C,"S"))</f>
        <v/>
      </c>
      <c r="AM64" s="313" t="str">
        <f>IF($B64=0,"",SUMIFS(INPUT_DATA!AL:AL,INPUT_DATA!$A:$A,$B64,INPUT_DATA!$C:$C,"S"))</f>
        <v/>
      </c>
      <c r="AN64" s="313" t="str">
        <f>IF($B64=0,"",SUMIFS(INPUT_DATA!AM:AM,INPUT_DATA!$A:$A,$B64,INPUT_DATA!$C:$C,"S"))</f>
        <v/>
      </c>
      <c r="AO64" s="313" t="str">
        <f>IF($B64=0,"",SUMIFS(INPUT_DATA!AN:AN,INPUT_DATA!$A:$A,$B64,INPUT_DATA!$C:$C,"S"))</f>
        <v/>
      </c>
      <c r="AP64" s="313" t="str">
        <f>IF($B64=0,"",SUMIFS(INPUT_DATA!AO:AO,INPUT_DATA!$A:$A,$B64,INPUT_DATA!$C:$C,"S"))</f>
        <v/>
      </c>
      <c r="AQ64" s="313" t="str">
        <f>IF($B64=0,"",SUMIFS(INPUT_DATA!AP:AP,INPUT_DATA!$A:$A,$B64,INPUT_DATA!$C:$C,"S"))</f>
        <v/>
      </c>
      <c r="AR64" s="313" t="str">
        <f>IF($B64=0,"",SUMIFS(INPUT_DATA!AQ:AQ,INPUT_DATA!$A:$A,$B64,INPUT_DATA!$C:$C,"S"))</f>
        <v/>
      </c>
      <c r="AS64" s="749" t="str">
        <f t="shared" si="29"/>
        <v/>
      </c>
      <c r="AT64" s="750" t="str">
        <f t="shared" si="30"/>
        <v/>
      </c>
      <c r="AU64" s="751" t="str">
        <f t="shared" si="31"/>
        <v/>
      </c>
      <c r="AV64" s="749" t="str">
        <f>IF($B64=0,"",SUMIFS(INPUT_DATA!AR:AR,INPUT_DATA!$A:$A,$B64,INPUT_DATA!$C:$C,"S"))</f>
        <v/>
      </c>
      <c r="AW64" s="750" t="str">
        <f>IF($B64=0,"",SUMIFS(INPUT_DATA!AS:AS,INPUT_DATA!$A:$A,$B64,INPUT_DATA!$C:$C,"S"))</f>
        <v/>
      </c>
      <c r="AX64" s="751" t="str">
        <f>IF($B64=0,"",SUMIFS(INPUT_DATA!AT:AT,INPUT_DATA!$A:$A,$B64,INPUT_DATA!$C:$C,"S"))</f>
        <v/>
      </c>
      <c r="AY64" s="749" t="str">
        <f t="shared" si="15"/>
        <v/>
      </c>
      <c r="AZ64" s="750" t="str">
        <f t="shared" si="16"/>
        <v/>
      </c>
      <c r="BA64" s="751" t="str">
        <f t="shared" si="17"/>
        <v/>
      </c>
      <c r="BB64" s="150"/>
      <c r="BC64" s="738" t="str">
        <f>IF($B64=0,"",SUMIFS(INPUT_DATA!D:D,INPUT_DATA!$A:$A,$B64,INPUT_DATA!$C:$C,"D"))</f>
        <v/>
      </c>
      <c r="BD64" s="312" t="str">
        <f>IF($B64=0,"",SUMIFS(INPUT_DATA!F:F,INPUT_DATA!$A:$A,$B64,INPUT_DATA!$C:$C,"D"))</f>
        <v/>
      </c>
      <c r="BE64" s="312" t="str">
        <f>IF($B64=0,"",SUMIFS(INPUT_DATA!G:G,INPUT_DATA!$A:$A,$B64,INPUT_DATA!$C:$C,"D"))</f>
        <v/>
      </c>
      <c r="BF64" s="312" t="str">
        <f>IF($B64=0,"",SUMIFS(INPUT_DATA!H:H,INPUT_DATA!$A:$A,$B64,INPUT_DATA!$C:$C,"D"))</f>
        <v/>
      </c>
      <c r="BG64" s="312" t="str">
        <f>IF($B64=0,"",SUMIFS(INPUT_DATA!I:I,INPUT_DATA!$A:$A,$B64,INPUT_DATA!$C:$C,"D"))</f>
        <v/>
      </c>
      <c r="BH64" s="312" t="str">
        <f>IF($B64=0,"",SUMIFS(INPUT_DATA!J:J,INPUT_DATA!$A:$A,$B64,INPUT_DATA!$C:$C,"D"))</f>
        <v/>
      </c>
      <c r="BI64" s="312" t="str">
        <f>IF($B64=0,"",SUMIFS(INPUT_DATA!K:K,INPUT_DATA!$A:$A,$B64,INPUT_DATA!$C:$C,"D"))</f>
        <v/>
      </c>
      <c r="BJ64" s="312" t="str">
        <f>IF($B64=0,"",SUMIFS(INPUT_DATA!L:L,INPUT_DATA!$A:$A,$B64,INPUT_DATA!$C:$C,"D"))</f>
        <v/>
      </c>
      <c r="BK64" s="312" t="str">
        <f>IF($B64=0,"",SUMIFS(INPUT_DATA!M:M,INPUT_DATA!$A:$A,$B64,INPUT_DATA!$C:$C,"D"))</f>
        <v/>
      </c>
      <c r="BL64" s="312" t="str">
        <f>IF($B64=0,"",SUMIFS(INPUT_DATA!N:N,INPUT_DATA!$A:$A,$B64,INPUT_DATA!$C:$C,"D"))</f>
        <v/>
      </c>
      <c r="BM64" s="312" t="str">
        <f>IF($B64=0,"",SUMIFS(INPUT_DATA!O:O,INPUT_DATA!$A:$A,$B64,INPUT_DATA!$C:$C,"D"))</f>
        <v/>
      </c>
      <c r="BN64" s="754" t="str">
        <f t="shared" si="18"/>
        <v/>
      </c>
      <c r="BO64" s="754" t="str">
        <f>IF($B64=0,"",SUMIFS(INPUT_DATA!O:O,INPUT_DATA!$A:$A,$B64,INPUT_DATA!$C:$C,"D"))</f>
        <v/>
      </c>
      <c r="BP64" s="754" t="str">
        <f t="shared" si="19"/>
        <v/>
      </c>
      <c r="BQ64" s="738" t="str">
        <f>IF($B64=0,"",SUMIFS(INPUT_DATA!Q:Q,INPUT_DATA!$A:$A,$B64,INPUT_DATA!$C:$C,"D"))</f>
        <v/>
      </c>
      <c r="BR64" s="760" t="str">
        <f>IF($B64=0,"",SUMIFS(INPUT_DATA!R:R,INPUT_DATA!$A:$A,$B64,INPUT_DATA!$C:$C,"D"))</f>
        <v/>
      </c>
      <c r="BS64" s="760" t="str">
        <f>IF($B64=0,"",SUMIFS(INPUT_DATA!S:S,INPUT_DATA!$A:$A,$B64,INPUT_DATA!$C:$C,"D"))</f>
        <v/>
      </c>
      <c r="BT64" s="312" t="str">
        <f>IF($B64=0,"",SUMIFS(INPUT_DATA!T:T,INPUT_DATA!$A:$A,$B64,INPUT_DATA!$C:$C,"D"))</f>
        <v/>
      </c>
      <c r="BU64" s="312" t="str">
        <f>IF($B64=0,"",SUMIFS(INPUT_DATA!U:U,INPUT_DATA!$A:$A,$B64,INPUT_DATA!$C:$C,"D"))</f>
        <v/>
      </c>
      <c r="BV64" s="312" t="str">
        <f>IF($B64=0,"",SUMIFS(INPUT_DATA!V:V,INPUT_DATA!$A:$A,$B64,INPUT_DATA!$C:$C,"D"))</f>
        <v/>
      </c>
      <c r="BW64" s="312" t="str">
        <f>IF($B64=0,"",SUMIFS(INPUT_DATA!W:W,INPUT_DATA!$A:$A,$B64,INPUT_DATA!$C:$C,"D"))</f>
        <v/>
      </c>
      <c r="BX64" s="312" t="str">
        <f>IF($B64=0,"",SUMIFS(INPUT_DATA!X:X,INPUT_DATA!$A:$A,$B64,INPUT_DATA!$C:$C,"D"))</f>
        <v/>
      </c>
      <c r="BY64" s="312" t="str">
        <f>IF($B64=0,"",SUMIFS(INPUT_DATA!Y:Y,INPUT_DATA!$A:$A,$B64,INPUT_DATA!$C:$C,"D"))</f>
        <v/>
      </c>
      <c r="BZ64" s="353" t="str">
        <f>IF($B64=0,"",SUMIFS(INPUT_DATA!Z:Z,INPUT_DATA!$A:$A,$B64,INPUT_DATA!$C:$C,"D"))</f>
        <v/>
      </c>
      <c r="CA64" s="353" t="str">
        <f>IF($B64=0,"",SUMIFS(INPUT_DATA!AA:AA,INPUT_DATA!$A:$A,$B64,INPUT_DATA!$C:$C,"D"))</f>
        <v/>
      </c>
      <c r="CB64" s="353" t="str">
        <f>IF($B64=0,"",SUMIFS(INPUT_DATA!AB:AB,INPUT_DATA!$A:$A,$B64,INPUT_DATA!$C:$C,"D"))</f>
        <v/>
      </c>
      <c r="CC64" s="312" t="str">
        <f>IF($B64=0,"",SUMIFS(INPUT_DATA!AC:AC,INPUT_DATA!$A:$A,$B64,INPUT_DATA!$C:$C,"D"))</f>
        <v/>
      </c>
      <c r="CD64" s="312" t="str">
        <f>IF($B64=0,"",SUMIFS(INPUT_DATA!AD:AD,INPUT_DATA!$A:$A,$B64,INPUT_DATA!$C:$C,"D"))</f>
        <v/>
      </c>
      <c r="CE64" s="312" t="str">
        <f>IF($B64=0,"",SUMIFS(INPUT_DATA!AE:AE,INPUT_DATA!$A:$A,$B64,INPUT_DATA!$C:$C,"D"))</f>
        <v/>
      </c>
      <c r="CF64" s="353" t="str">
        <f>IF($B64=0,"",SUMIFS(INPUT_DATA!AF:AF,INPUT_DATA!$A:$A,$B64,INPUT_DATA!$C:$C,"D"))</f>
        <v/>
      </c>
      <c r="CG64" s="353" t="str">
        <f>IF($B64=0,"",SUMIFS(INPUT_DATA!AG:AG,INPUT_DATA!$A:$A,$B64,INPUT_DATA!$C:$C,"D"))</f>
        <v/>
      </c>
      <c r="CH64" s="353" t="str">
        <f>IF($B64=0,"",SUMIFS(INPUT_DATA!AH:AH,INPUT_DATA!$A:$A,$B64,INPUT_DATA!$C:$C,"D"))</f>
        <v/>
      </c>
      <c r="CI64" s="153" t="str">
        <f>IF($B64=0,"",SUMIFS(INPUT_DATA!AI:AI,INPUT_DATA!$A:$A,$B64,INPUT_DATA!$C:$C,"D"))</f>
        <v/>
      </c>
      <c r="CJ64" s="153" t="str">
        <f>IF($B64=0,"",SUMIFS(INPUT_DATA!AJ:AJ,INPUT_DATA!$A:$A,$B64,INPUT_DATA!$C:$C,"D"))</f>
        <v/>
      </c>
      <c r="CK64" s="153" t="str">
        <f>IF($B64=0,"",SUMIFS(INPUT_DATA!AK:AK,INPUT_DATA!$A:$A,$B64,INPUT_DATA!$C:$C,"D"))</f>
        <v/>
      </c>
      <c r="CL64" s="153" t="str">
        <f>IF($B64=0,"",SUMIFS(INPUT_DATA!AL:AL,INPUT_DATA!$A:$A,$B64,INPUT_DATA!$C:$C,"D"))</f>
        <v/>
      </c>
      <c r="CM64" s="153" t="str">
        <f>IF($B64=0,"",SUMIFS(INPUT_DATA!AM:AM,INPUT_DATA!$A:$A,$B64,INPUT_DATA!$C:$C,"D"))</f>
        <v/>
      </c>
      <c r="CN64" s="153" t="str">
        <f>IF($B64=0,"",SUMIFS(INPUT_DATA!AN:AN,INPUT_DATA!$A:$A,$B64,INPUT_DATA!$C:$C,"D"))</f>
        <v/>
      </c>
      <c r="CO64" s="153" t="str">
        <f>IF($B64=0,"",SUMIFS(INPUT_DATA!AO:AO,INPUT_DATA!$A:$A,$B64,INPUT_DATA!$C:$C,"D"))</f>
        <v/>
      </c>
      <c r="CP64" s="153" t="str">
        <f>IF($B64=0,"",SUMIFS(INPUT_DATA!AP:AP,INPUT_DATA!$A:$A,$B64,INPUT_DATA!$C:$C,"D"))</f>
        <v/>
      </c>
      <c r="CQ64" s="153" t="str">
        <f>IF($B64=0,"",SUMIFS(INPUT_DATA!AQ:AQ,INPUT_DATA!$A:$A,$B64,INPUT_DATA!$C:$C,"D"))</f>
        <v/>
      </c>
      <c r="CR64" s="750" t="str">
        <f t="shared" si="32"/>
        <v/>
      </c>
      <c r="CS64" s="750" t="str">
        <f t="shared" si="33"/>
        <v/>
      </c>
      <c r="CT64" s="750" t="str">
        <f t="shared" si="34"/>
        <v/>
      </c>
      <c r="CU64" s="739" t="str">
        <f>IF($B64=0,"",SUMIFS(INPUT_DATA!AR:AR,INPUT_DATA!$A:$A,$B64,INPUT_DATA!$C:$C,"D"))</f>
        <v/>
      </c>
      <c r="CV64" s="739" t="str">
        <f>IF($B64=0,"",SUMIFS(INPUT_DATA!AS:AS,INPUT_DATA!$A:$A,$B64,INPUT_DATA!$C:$C,"D"))</f>
        <v/>
      </c>
      <c r="CW64" s="739" t="str">
        <f>IF($B64=0,"",SUMIFS(INPUT_DATA!AT:AT,INPUT_DATA!$A:$A,$B64,INPUT_DATA!$C:$C,"D"))</f>
        <v/>
      </c>
      <c r="CX64" s="739" t="str">
        <f t="shared" si="35"/>
        <v/>
      </c>
      <c r="CY64" s="750" t="str">
        <f t="shared" si="36"/>
        <v/>
      </c>
      <c r="CZ64" s="761" t="str">
        <f t="shared" si="37"/>
        <v/>
      </c>
      <c r="DA64" s="150"/>
    </row>
    <row r="65" spans="1:105" ht="13" x14ac:dyDescent="0.25">
      <c r="A65" s="172">
        <f t="shared" si="40"/>
        <v>-18</v>
      </c>
      <c r="B65" s="733">
        <f>INPUT_DATA!BQ52</f>
        <v>0</v>
      </c>
      <c r="C65" s="738" t="str">
        <f>IF($B65=0,"",SUMIFS(INPUT_DATA!D:D,INPUT_DATA!$A:$A,$B65,INPUT_DATA!$C:$C,"S"))</f>
        <v/>
      </c>
      <c r="D65" s="739" t="str">
        <f>IF($B65=0,"",SUMIFS(INPUT_DATA!E:E,INPUT_DATA!$A:$A,$B65,INPUT_DATA!$C:$C,"S"))</f>
        <v/>
      </c>
      <c r="E65" s="740" t="str">
        <f>IF($B65=0,"",SUMIFS(INPUT_DATA!F:F,INPUT_DATA!$A:$A,$B65,INPUT_DATA!$C:$C,"S"))</f>
        <v/>
      </c>
      <c r="F65" s="740" t="str">
        <f>IF($B65=0,"",SUMIFS(INPUT_DATA!G:G,INPUT_DATA!$A:$A,$B65,INPUT_DATA!$C:$C,"S"))</f>
        <v/>
      </c>
      <c r="G65" s="740" t="str">
        <f>IF($B65=0,"",SUMIFS(INPUT_DATA!H:H,INPUT_DATA!$A:$A,$B65,INPUT_DATA!$C:$C,"S"))</f>
        <v/>
      </c>
      <c r="H65" s="740" t="str">
        <f>IF($B65=0,"",SUMIFS(INPUT_DATA!I:I,INPUT_DATA!$A:$A,$B65,INPUT_DATA!$C:$C,"S"))</f>
        <v/>
      </c>
      <c r="I65" s="740" t="str">
        <f>IF($B65=0,"",SUMIFS(INPUT_DATA!J:J,INPUT_DATA!$A:$A,$B65,INPUT_DATA!$C:$C,"S"))</f>
        <v/>
      </c>
      <c r="J65" s="740" t="str">
        <f>IF($B65=0,"",SUMIFS(INPUT_DATA!K:K,INPUT_DATA!$A:$A,$B65,INPUT_DATA!$C:$C,"S"))</f>
        <v/>
      </c>
      <c r="K65" s="740" t="str">
        <f>IF($B65=0,"",SUMIFS(INPUT_DATA!L:L,INPUT_DATA!$A:$A,$B65,INPUT_DATA!$C:$C,"S"))</f>
        <v/>
      </c>
      <c r="L65" s="740" t="str">
        <f>IF($B65=0,"",SUMIFS(INPUT_DATA!M:M,INPUT_DATA!$A:$A,$B65,INPUT_DATA!$C:$C,"S"))</f>
        <v/>
      </c>
      <c r="M65" s="740" t="str">
        <f>IF($B65=0,"",SUMIFS(INPUT_DATA!N:N,INPUT_DATA!$A:$A,$B65,INPUT_DATA!$C:$C,"S"))</f>
        <v/>
      </c>
      <c r="N65" s="740" t="str">
        <f>IF($B65=0,"",SUMIFS(INPUT_DATA!O:O,INPUT_DATA!$A:$A,$B65,INPUT_DATA!$C:$C,"S"))</f>
        <v/>
      </c>
      <c r="O65" s="741" t="str">
        <f t="shared" si="38"/>
        <v/>
      </c>
      <c r="P65" s="742" t="str">
        <f>IF($B65=0,"",SUMIFS(INPUT_DATA!P:P,INPUT_DATA!$A:$A,$B65,INPUT_DATA!$C:$C,"S"))</f>
        <v/>
      </c>
      <c r="Q65" s="742" t="str">
        <f t="shared" si="39"/>
        <v/>
      </c>
      <c r="R65" s="748" t="str">
        <f>IF($B65=0,"",SUMIFS(INPUT_DATA!Q:Q,INPUT_DATA!$A:$A,$B65,INPUT_DATA!$C:$C,"S"))</f>
        <v/>
      </c>
      <c r="S65" s="748" t="str">
        <f>IF($B65=0,"",SUMIFS(INPUT_DATA!R:R,INPUT_DATA!$A:$A,$B65,INPUT_DATA!$C:$C,"S"))</f>
        <v/>
      </c>
      <c r="T65" s="748" t="str">
        <f>IF($B65=0,"",SUMIFS(INPUT_DATA!S:S,INPUT_DATA!$A:$A,$B65,INPUT_DATA!$C:$C,"S"))</f>
        <v/>
      </c>
      <c r="U65" s="313" t="str">
        <f>IF($B65=0,"",SUMIFS(INPUT_DATA!T:T,INPUT_DATA!$A:$A,$B65,INPUT_DATA!$C:$C,"S"))</f>
        <v/>
      </c>
      <c r="V65" s="313" t="str">
        <f>IF($B65=0,"",SUMIFS(INPUT_DATA!U:U,INPUT_DATA!$A:$A,$B65,INPUT_DATA!$C:$C,"S"))</f>
        <v/>
      </c>
      <c r="W65" s="313" t="str">
        <f>IF($B65=0,"",SUMIFS(INPUT_DATA!V:V,INPUT_DATA!$A:$A,$B65,INPUT_DATA!$C:$C,"S"))</f>
        <v/>
      </c>
      <c r="X65" s="313" t="str">
        <f>IF($B65=0,"",SUMIFS(INPUT_DATA!W:W,INPUT_DATA!$A:$A,$B65,INPUT_DATA!$C:$C,"S"))</f>
        <v/>
      </c>
      <c r="Y65" s="313" t="str">
        <f>IF($B65=0,"",SUMIFS(INPUT_DATA!X:X,INPUT_DATA!$A:$A,$B65,INPUT_DATA!$C:$C,"S"))</f>
        <v/>
      </c>
      <c r="Z65" s="313" t="str">
        <f>IF($B65=0,"",SUMIFS(INPUT_DATA!Y:Y,INPUT_DATA!$A:$A,$B65,INPUT_DATA!$C:$C,"S"))</f>
        <v/>
      </c>
      <c r="AA65" s="313" t="str">
        <f>IF($B65=0,"",SUMIFS(INPUT_DATA!Z:Z,INPUT_DATA!$A:$A,$B65,INPUT_DATA!$C:$C,"S"))</f>
        <v/>
      </c>
      <c r="AB65" s="313" t="str">
        <f>IF($B65=0,"",SUMIFS(INPUT_DATA!AA:AA,INPUT_DATA!$A:$A,$B65,INPUT_DATA!$C:$C,"S"))</f>
        <v/>
      </c>
      <c r="AC65" s="313" t="str">
        <f>IF($B65=0,"",SUMIFS(INPUT_DATA!AB:AB,INPUT_DATA!$A:$A,$B65,INPUT_DATA!$C:$C,"S"))</f>
        <v/>
      </c>
      <c r="AD65" s="313" t="str">
        <f>IF($B65=0,"",SUMIFS(INPUT_DATA!AC:AC,INPUT_DATA!$A:$A,$B65,INPUT_DATA!$C:$C,"S"))</f>
        <v/>
      </c>
      <c r="AE65" s="313" t="str">
        <f>IF($B65=0,"",SUMIFS(INPUT_DATA!AD:AD,INPUT_DATA!$A:$A,$B65,INPUT_DATA!$C:$C,"S"))</f>
        <v/>
      </c>
      <c r="AF65" s="313" t="str">
        <f>IF($B65=0,"",SUMIFS(INPUT_DATA!AE:AE,INPUT_DATA!$A:$A,$B65,INPUT_DATA!$C:$C,"S"))</f>
        <v/>
      </c>
      <c r="AG65" s="313" t="str">
        <f>IF($B65=0,"",SUMIFS(INPUT_DATA!AF:AF,INPUT_DATA!$A:$A,$B65,INPUT_DATA!$C:$C,"S"))</f>
        <v/>
      </c>
      <c r="AH65" s="313" t="str">
        <f>IF($B65=0,"",SUMIFS(INPUT_DATA!AG:AG,INPUT_DATA!$A:$A,$B65,INPUT_DATA!$C:$C,"S"))</f>
        <v/>
      </c>
      <c r="AI65" s="313" t="str">
        <f>IF($B65=0,"",SUMIFS(INPUT_DATA!AH:AH,INPUT_DATA!$A:$A,$B65,INPUT_DATA!$C:$C,"S"))</f>
        <v/>
      </c>
      <c r="AJ65" s="313" t="str">
        <f>IF($B65=0,"",SUMIFS(INPUT_DATA!AI:AI,INPUT_DATA!$A:$A,$B65,INPUT_DATA!$C:$C,"S"))</f>
        <v/>
      </c>
      <c r="AK65" s="313" t="str">
        <f>IF($B65=0,"",SUMIFS(INPUT_DATA!AJ:AJ,INPUT_DATA!$A:$A,$B65,INPUT_DATA!$C:$C,"S"))</f>
        <v/>
      </c>
      <c r="AL65" s="313" t="str">
        <f>IF($B65=0,"",SUMIFS(INPUT_DATA!AK:AK,INPUT_DATA!$A:$A,$B65,INPUT_DATA!$C:$C,"S"))</f>
        <v/>
      </c>
      <c r="AM65" s="313" t="str">
        <f>IF($B65=0,"",SUMIFS(INPUT_DATA!AL:AL,INPUT_DATA!$A:$A,$B65,INPUT_DATA!$C:$C,"S"))</f>
        <v/>
      </c>
      <c r="AN65" s="313" t="str">
        <f>IF($B65=0,"",SUMIFS(INPUT_DATA!AM:AM,INPUT_DATA!$A:$A,$B65,INPUT_DATA!$C:$C,"S"))</f>
        <v/>
      </c>
      <c r="AO65" s="313" t="str">
        <f>IF($B65=0,"",SUMIFS(INPUT_DATA!AN:AN,INPUT_DATA!$A:$A,$B65,INPUT_DATA!$C:$C,"S"))</f>
        <v/>
      </c>
      <c r="AP65" s="313" t="str">
        <f>IF($B65=0,"",SUMIFS(INPUT_DATA!AO:AO,INPUT_DATA!$A:$A,$B65,INPUT_DATA!$C:$C,"S"))</f>
        <v/>
      </c>
      <c r="AQ65" s="313" t="str">
        <f>IF($B65=0,"",SUMIFS(INPUT_DATA!AP:AP,INPUT_DATA!$A:$A,$B65,INPUT_DATA!$C:$C,"S"))</f>
        <v/>
      </c>
      <c r="AR65" s="313" t="str">
        <f>IF($B65=0,"",SUMIFS(INPUT_DATA!AQ:AQ,INPUT_DATA!$A:$A,$B65,INPUT_DATA!$C:$C,"S"))</f>
        <v/>
      </c>
      <c r="AS65" s="749" t="str">
        <f t="shared" si="29"/>
        <v/>
      </c>
      <c r="AT65" s="750" t="str">
        <f t="shared" si="30"/>
        <v/>
      </c>
      <c r="AU65" s="751" t="str">
        <f t="shared" si="31"/>
        <v/>
      </c>
      <c r="AV65" s="749" t="str">
        <f>IF($B65=0,"",SUMIFS(INPUT_DATA!AR:AR,INPUT_DATA!$A:$A,$B65,INPUT_DATA!$C:$C,"S"))</f>
        <v/>
      </c>
      <c r="AW65" s="750" t="str">
        <f>IF($B65=0,"",SUMIFS(INPUT_DATA!AS:AS,INPUT_DATA!$A:$A,$B65,INPUT_DATA!$C:$C,"S"))</f>
        <v/>
      </c>
      <c r="AX65" s="751" t="str">
        <f>IF($B65=0,"",SUMIFS(INPUT_DATA!AT:AT,INPUT_DATA!$A:$A,$B65,INPUT_DATA!$C:$C,"S"))</f>
        <v/>
      </c>
      <c r="AY65" s="749" t="str">
        <f t="shared" si="15"/>
        <v/>
      </c>
      <c r="AZ65" s="750" t="str">
        <f t="shared" si="16"/>
        <v/>
      </c>
      <c r="BA65" s="751" t="str">
        <f t="shared" si="17"/>
        <v/>
      </c>
      <c r="BB65" s="150"/>
      <c r="BC65" s="738" t="str">
        <f>IF($B65=0,"",SUMIFS(INPUT_DATA!D:D,INPUT_DATA!$A:$A,$B65,INPUT_DATA!$C:$C,"D"))</f>
        <v/>
      </c>
      <c r="BD65" s="312" t="str">
        <f>IF($B65=0,"",SUMIFS(INPUT_DATA!F:F,INPUT_DATA!$A:$A,$B65,INPUT_DATA!$C:$C,"D"))</f>
        <v/>
      </c>
      <c r="BE65" s="312" t="str">
        <f>IF($B65=0,"",SUMIFS(INPUT_DATA!G:G,INPUT_DATA!$A:$A,$B65,INPUT_DATA!$C:$C,"D"))</f>
        <v/>
      </c>
      <c r="BF65" s="312" t="str">
        <f>IF($B65=0,"",SUMIFS(INPUT_DATA!H:H,INPUT_DATA!$A:$A,$B65,INPUT_DATA!$C:$C,"D"))</f>
        <v/>
      </c>
      <c r="BG65" s="312" t="str">
        <f>IF($B65=0,"",SUMIFS(INPUT_DATA!I:I,INPUT_DATA!$A:$A,$B65,INPUT_DATA!$C:$C,"D"))</f>
        <v/>
      </c>
      <c r="BH65" s="312" t="str">
        <f>IF($B65=0,"",SUMIFS(INPUT_DATA!J:J,INPUT_DATA!$A:$A,$B65,INPUT_DATA!$C:$C,"D"))</f>
        <v/>
      </c>
      <c r="BI65" s="312" t="str">
        <f>IF($B65=0,"",SUMIFS(INPUT_DATA!K:K,INPUT_DATA!$A:$A,$B65,INPUT_DATA!$C:$C,"D"))</f>
        <v/>
      </c>
      <c r="BJ65" s="312" t="str">
        <f>IF($B65=0,"",SUMIFS(INPUT_DATA!L:L,INPUT_DATA!$A:$A,$B65,INPUT_DATA!$C:$C,"D"))</f>
        <v/>
      </c>
      <c r="BK65" s="312" t="str">
        <f>IF($B65=0,"",SUMIFS(INPUT_DATA!M:M,INPUT_DATA!$A:$A,$B65,INPUT_DATA!$C:$C,"D"))</f>
        <v/>
      </c>
      <c r="BL65" s="312" t="str">
        <f>IF($B65=0,"",SUMIFS(INPUT_DATA!N:N,INPUT_DATA!$A:$A,$B65,INPUT_DATA!$C:$C,"D"))</f>
        <v/>
      </c>
      <c r="BM65" s="312" t="str">
        <f>IF($B65=0,"",SUMIFS(INPUT_DATA!O:O,INPUT_DATA!$A:$A,$B65,INPUT_DATA!$C:$C,"D"))</f>
        <v/>
      </c>
      <c r="BN65" s="754" t="str">
        <f t="shared" si="18"/>
        <v/>
      </c>
      <c r="BO65" s="754" t="str">
        <f>IF($B65=0,"",SUMIFS(INPUT_DATA!O:O,INPUT_DATA!$A:$A,$B65,INPUT_DATA!$C:$C,"D"))</f>
        <v/>
      </c>
      <c r="BP65" s="754" t="str">
        <f t="shared" si="19"/>
        <v/>
      </c>
      <c r="BQ65" s="738" t="str">
        <f>IF($B65=0,"",SUMIFS(INPUT_DATA!Q:Q,INPUT_DATA!$A:$A,$B65,INPUT_DATA!$C:$C,"D"))</f>
        <v/>
      </c>
      <c r="BR65" s="760" t="str">
        <f>IF($B65=0,"",SUMIFS(INPUT_DATA!R:R,INPUT_DATA!$A:$A,$B65,INPUT_DATA!$C:$C,"D"))</f>
        <v/>
      </c>
      <c r="BS65" s="760" t="str">
        <f>IF($B65=0,"",SUMIFS(INPUT_DATA!S:S,INPUT_DATA!$A:$A,$B65,INPUT_DATA!$C:$C,"D"))</f>
        <v/>
      </c>
      <c r="BT65" s="312" t="str">
        <f>IF($B65=0,"",SUMIFS(INPUT_DATA!T:T,INPUT_DATA!$A:$A,$B65,INPUT_DATA!$C:$C,"D"))</f>
        <v/>
      </c>
      <c r="BU65" s="312" t="str">
        <f>IF($B65=0,"",SUMIFS(INPUT_DATA!U:U,INPUT_DATA!$A:$A,$B65,INPUT_DATA!$C:$C,"D"))</f>
        <v/>
      </c>
      <c r="BV65" s="312" t="str">
        <f>IF($B65=0,"",SUMIFS(INPUT_DATA!V:V,INPUT_DATA!$A:$A,$B65,INPUT_DATA!$C:$C,"D"))</f>
        <v/>
      </c>
      <c r="BW65" s="312" t="str">
        <f>IF($B65=0,"",SUMIFS(INPUT_DATA!W:W,INPUT_DATA!$A:$A,$B65,INPUT_DATA!$C:$C,"D"))</f>
        <v/>
      </c>
      <c r="BX65" s="312" t="str">
        <f>IF($B65=0,"",SUMIFS(INPUT_DATA!X:X,INPUT_DATA!$A:$A,$B65,INPUT_DATA!$C:$C,"D"))</f>
        <v/>
      </c>
      <c r="BY65" s="312" t="str">
        <f>IF($B65=0,"",SUMIFS(INPUT_DATA!Y:Y,INPUT_DATA!$A:$A,$B65,INPUT_DATA!$C:$C,"D"))</f>
        <v/>
      </c>
      <c r="BZ65" s="353" t="str">
        <f>IF($B65=0,"",SUMIFS(INPUT_DATA!Z:Z,INPUT_DATA!$A:$A,$B65,INPUT_DATA!$C:$C,"D"))</f>
        <v/>
      </c>
      <c r="CA65" s="353" t="str">
        <f>IF($B65=0,"",SUMIFS(INPUT_DATA!AA:AA,INPUT_DATA!$A:$A,$B65,INPUT_DATA!$C:$C,"D"))</f>
        <v/>
      </c>
      <c r="CB65" s="353" t="str">
        <f>IF($B65=0,"",SUMIFS(INPUT_DATA!AB:AB,INPUT_DATA!$A:$A,$B65,INPUT_DATA!$C:$C,"D"))</f>
        <v/>
      </c>
      <c r="CC65" s="312" t="str">
        <f>IF($B65=0,"",SUMIFS(INPUT_DATA!AC:AC,INPUT_DATA!$A:$A,$B65,INPUT_DATA!$C:$C,"D"))</f>
        <v/>
      </c>
      <c r="CD65" s="312" t="str">
        <f>IF($B65=0,"",SUMIFS(INPUT_DATA!AD:AD,INPUT_DATA!$A:$A,$B65,INPUT_DATA!$C:$C,"D"))</f>
        <v/>
      </c>
      <c r="CE65" s="312" t="str">
        <f>IF($B65=0,"",SUMIFS(INPUT_DATA!AE:AE,INPUT_DATA!$A:$A,$B65,INPUT_DATA!$C:$C,"D"))</f>
        <v/>
      </c>
      <c r="CF65" s="353" t="str">
        <f>IF($B65=0,"",SUMIFS(INPUT_DATA!AF:AF,INPUT_DATA!$A:$A,$B65,INPUT_DATA!$C:$C,"D"))</f>
        <v/>
      </c>
      <c r="CG65" s="353" t="str">
        <f>IF($B65=0,"",SUMIFS(INPUT_DATA!AG:AG,INPUT_DATA!$A:$A,$B65,INPUT_DATA!$C:$C,"D"))</f>
        <v/>
      </c>
      <c r="CH65" s="353" t="str">
        <f>IF($B65=0,"",SUMIFS(INPUT_DATA!AH:AH,INPUT_DATA!$A:$A,$B65,INPUT_DATA!$C:$C,"D"))</f>
        <v/>
      </c>
      <c r="CI65" s="153" t="str">
        <f>IF($B65=0,"",SUMIFS(INPUT_DATA!AI:AI,INPUT_DATA!$A:$A,$B65,INPUT_DATA!$C:$C,"D"))</f>
        <v/>
      </c>
      <c r="CJ65" s="153" t="str">
        <f>IF($B65=0,"",SUMIFS(INPUT_DATA!AJ:AJ,INPUT_DATA!$A:$A,$B65,INPUT_DATA!$C:$C,"D"))</f>
        <v/>
      </c>
      <c r="CK65" s="153" t="str">
        <f>IF($B65=0,"",SUMIFS(INPUT_DATA!AK:AK,INPUT_DATA!$A:$A,$B65,INPUT_DATA!$C:$C,"D"))</f>
        <v/>
      </c>
      <c r="CL65" s="153" t="str">
        <f>IF($B65=0,"",SUMIFS(INPUT_DATA!AL:AL,INPUT_DATA!$A:$A,$B65,INPUT_DATA!$C:$C,"D"))</f>
        <v/>
      </c>
      <c r="CM65" s="153" t="str">
        <f>IF($B65=0,"",SUMIFS(INPUT_DATA!AM:AM,INPUT_DATA!$A:$A,$B65,INPUT_DATA!$C:$C,"D"))</f>
        <v/>
      </c>
      <c r="CN65" s="153" t="str">
        <f>IF($B65=0,"",SUMIFS(INPUT_DATA!AN:AN,INPUT_DATA!$A:$A,$B65,INPUT_DATA!$C:$C,"D"))</f>
        <v/>
      </c>
      <c r="CO65" s="153" t="str">
        <f>IF($B65=0,"",SUMIFS(INPUT_DATA!AO:AO,INPUT_DATA!$A:$A,$B65,INPUT_DATA!$C:$C,"D"))</f>
        <v/>
      </c>
      <c r="CP65" s="153" t="str">
        <f>IF($B65=0,"",SUMIFS(INPUT_DATA!AP:AP,INPUT_DATA!$A:$A,$B65,INPUT_DATA!$C:$C,"D"))</f>
        <v/>
      </c>
      <c r="CQ65" s="153" t="str">
        <f>IF($B65=0,"",SUMIFS(INPUT_DATA!AQ:AQ,INPUT_DATA!$A:$A,$B65,INPUT_DATA!$C:$C,"D"))</f>
        <v/>
      </c>
      <c r="CR65" s="750" t="str">
        <f t="shared" si="32"/>
        <v/>
      </c>
      <c r="CS65" s="750" t="str">
        <f t="shared" si="33"/>
        <v/>
      </c>
      <c r="CT65" s="750" t="str">
        <f t="shared" si="34"/>
        <v/>
      </c>
      <c r="CU65" s="739" t="str">
        <f>IF($B65=0,"",SUMIFS(INPUT_DATA!AR:AR,INPUT_DATA!$A:$A,$B65,INPUT_DATA!$C:$C,"D"))</f>
        <v/>
      </c>
      <c r="CV65" s="739" t="str">
        <f>IF($B65=0,"",SUMIFS(INPUT_DATA!AS:AS,INPUT_DATA!$A:$A,$B65,INPUT_DATA!$C:$C,"D"))</f>
        <v/>
      </c>
      <c r="CW65" s="739" t="str">
        <f>IF($B65=0,"",SUMIFS(INPUT_DATA!AT:AT,INPUT_DATA!$A:$A,$B65,INPUT_DATA!$C:$C,"D"))</f>
        <v/>
      </c>
      <c r="CX65" s="739" t="str">
        <f t="shared" si="35"/>
        <v/>
      </c>
      <c r="CY65" s="750" t="str">
        <f t="shared" si="36"/>
        <v/>
      </c>
      <c r="CZ65" s="761" t="str">
        <f t="shared" si="37"/>
        <v/>
      </c>
      <c r="DA65" s="150"/>
    </row>
    <row r="66" spans="1:105" ht="13" x14ac:dyDescent="0.25">
      <c r="A66" s="172">
        <f t="shared" si="40"/>
        <v>-19</v>
      </c>
      <c r="B66" s="733">
        <f>INPUT_DATA!BQ53</f>
        <v>0</v>
      </c>
      <c r="C66" s="738" t="str">
        <f>IF($B66=0,"",SUMIFS(INPUT_DATA!D:D,INPUT_DATA!$A:$A,$B66,INPUT_DATA!$C:$C,"S"))</f>
        <v/>
      </c>
      <c r="D66" s="739" t="str">
        <f>IF($B66=0,"",SUMIFS(INPUT_DATA!E:E,INPUT_DATA!$A:$A,$B66,INPUT_DATA!$C:$C,"S"))</f>
        <v/>
      </c>
      <c r="E66" s="740" t="str">
        <f>IF($B66=0,"",SUMIFS(INPUT_DATA!F:F,INPUT_DATA!$A:$A,$B66,INPUT_DATA!$C:$C,"S"))</f>
        <v/>
      </c>
      <c r="F66" s="740" t="str">
        <f>IF($B66=0,"",SUMIFS(INPUT_DATA!G:G,INPUT_DATA!$A:$A,$B66,INPUT_DATA!$C:$C,"S"))</f>
        <v/>
      </c>
      <c r="G66" s="740" t="str">
        <f>IF($B66=0,"",SUMIFS(INPUT_DATA!H:H,INPUT_DATA!$A:$A,$B66,INPUT_DATA!$C:$C,"S"))</f>
        <v/>
      </c>
      <c r="H66" s="740" t="str">
        <f>IF($B66=0,"",SUMIFS(INPUT_DATA!I:I,INPUT_DATA!$A:$A,$B66,INPUT_DATA!$C:$C,"S"))</f>
        <v/>
      </c>
      <c r="I66" s="740" t="str">
        <f>IF($B66=0,"",SUMIFS(INPUT_DATA!J:J,INPUT_DATA!$A:$A,$B66,INPUT_DATA!$C:$C,"S"))</f>
        <v/>
      </c>
      <c r="J66" s="740" t="str">
        <f>IF($B66=0,"",SUMIFS(INPUT_DATA!K:K,INPUT_DATA!$A:$A,$B66,INPUT_DATA!$C:$C,"S"))</f>
        <v/>
      </c>
      <c r="K66" s="740" t="str">
        <f>IF($B66=0,"",SUMIFS(INPUT_DATA!L:L,INPUT_DATA!$A:$A,$B66,INPUT_DATA!$C:$C,"S"))</f>
        <v/>
      </c>
      <c r="L66" s="740" t="str">
        <f>IF($B66=0,"",SUMIFS(INPUT_DATA!M:M,INPUT_DATA!$A:$A,$B66,INPUT_DATA!$C:$C,"S"))</f>
        <v/>
      </c>
      <c r="M66" s="740" t="str">
        <f>IF($B66=0,"",SUMIFS(INPUT_DATA!N:N,INPUT_DATA!$A:$A,$B66,INPUT_DATA!$C:$C,"S"))</f>
        <v/>
      </c>
      <c r="N66" s="740" t="str">
        <f>IF($B66=0,"",SUMIFS(INPUT_DATA!O:O,INPUT_DATA!$A:$A,$B66,INPUT_DATA!$C:$C,"S"))</f>
        <v/>
      </c>
      <c r="O66" s="741" t="str">
        <f t="shared" si="38"/>
        <v/>
      </c>
      <c r="P66" s="742" t="str">
        <f>IF($B66=0,"",SUMIFS(INPUT_DATA!P:P,INPUT_DATA!$A:$A,$B66,INPUT_DATA!$C:$C,"S"))</f>
        <v/>
      </c>
      <c r="Q66" s="742" t="str">
        <f t="shared" si="39"/>
        <v/>
      </c>
      <c r="R66" s="748" t="str">
        <f>IF($B66=0,"",SUMIFS(INPUT_DATA!Q:Q,INPUT_DATA!$A:$A,$B66,INPUT_DATA!$C:$C,"S"))</f>
        <v/>
      </c>
      <c r="S66" s="748" t="str">
        <f>IF($B66=0,"",SUMIFS(INPUT_DATA!R:R,INPUT_DATA!$A:$A,$B66,INPUT_DATA!$C:$C,"S"))</f>
        <v/>
      </c>
      <c r="T66" s="748" t="str">
        <f>IF($B66=0,"",SUMIFS(INPUT_DATA!S:S,INPUT_DATA!$A:$A,$B66,INPUT_DATA!$C:$C,"S"))</f>
        <v/>
      </c>
      <c r="U66" s="313" t="str">
        <f>IF($B66=0,"",SUMIFS(INPUT_DATA!T:T,INPUT_DATA!$A:$A,$B66,INPUT_DATA!$C:$C,"S"))</f>
        <v/>
      </c>
      <c r="V66" s="313" t="str">
        <f>IF($B66=0,"",SUMIFS(INPUT_DATA!U:U,INPUT_DATA!$A:$A,$B66,INPUT_DATA!$C:$C,"S"))</f>
        <v/>
      </c>
      <c r="W66" s="313" t="str">
        <f>IF($B66=0,"",SUMIFS(INPUT_DATA!V:V,INPUT_DATA!$A:$A,$B66,INPUT_DATA!$C:$C,"S"))</f>
        <v/>
      </c>
      <c r="X66" s="313" t="str">
        <f>IF($B66=0,"",SUMIFS(INPUT_DATA!W:W,INPUT_DATA!$A:$A,$B66,INPUT_DATA!$C:$C,"S"))</f>
        <v/>
      </c>
      <c r="Y66" s="313" t="str">
        <f>IF($B66=0,"",SUMIFS(INPUT_DATA!X:X,INPUT_DATA!$A:$A,$B66,INPUT_DATA!$C:$C,"S"))</f>
        <v/>
      </c>
      <c r="Z66" s="313" t="str">
        <f>IF($B66=0,"",SUMIFS(INPUT_DATA!Y:Y,INPUT_DATA!$A:$A,$B66,INPUT_DATA!$C:$C,"S"))</f>
        <v/>
      </c>
      <c r="AA66" s="313" t="str">
        <f>IF($B66=0,"",SUMIFS(INPUT_DATA!Z:Z,INPUT_DATA!$A:$A,$B66,INPUT_DATA!$C:$C,"S"))</f>
        <v/>
      </c>
      <c r="AB66" s="313" t="str">
        <f>IF($B66=0,"",SUMIFS(INPUT_DATA!AA:AA,INPUT_DATA!$A:$A,$B66,INPUT_DATA!$C:$C,"S"))</f>
        <v/>
      </c>
      <c r="AC66" s="313" t="str">
        <f>IF($B66=0,"",SUMIFS(INPUT_DATA!AB:AB,INPUT_DATA!$A:$A,$B66,INPUT_DATA!$C:$C,"S"))</f>
        <v/>
      </c>
      <c r="AD66" s="313" t="str">
        <f>IF($B66=0,"",SUMIFS(INPUT_DATA!AC:AC,INPUT_DATA!$A:$A,$B66,INPUT_DATA!$C:$C,"S"))</f>
        <v/>
      </c>
      <c r="AE66" s="313" t="str">
        <f>IF($B66=0,"",SUMIFS(INPUT_DATA!AD:AD,INPUT_DATA!$A:$A,$B66,INPUT_DATA!$C:$C,"S"))</f>
        <v/>
      </c>
      <c r="AF66" s="313" t="str">
        <f>IF($B66=0,"",SUMIFS(INPUT_DATA!AE:AE,INPUT_DATA!$A:$A,$B66,INPUT_DATA!$C:$C,"S"))</f>
        <v/>
      </c>
      <c r="AG66" s="313" t="str">
        <f>IF($B66=0,"",SUMIFS(INPUT_DATA!AF:AF,INPUT_DATA!$A:$A,$B66,INPUT_DATA!$C:$C,"S"))</f>
        <v/>
      </c>
      <c r="AH66" s="313" t="str">
        <f>IF($B66=0,"",SUMIFS(INPUT_DATA!AG:AG,INPUT_DATA!$A:$A,$B66,INPUT_DATA!$C:$C,"S"))</f>
        <v/>
      </c>
      <c r="AI66" s="313" t="str">
        <f>IF($B66=0,"",SUMIFS(INPUT_DATA!AH:AH,INPUT_DATA!$A:$A,$B66,INPUT_DATA!$C:$C,"S"))</f>
        <v/>
      </c>
      <c r="AJ66" s="313" t="str">
        <f>IF($B66=0,"",SUMIFS(INPUT_DATA!AI:AI,INPUT_DATA!$A:$A,$B66,INPUT_DATA!$C:$C,"S"))</f>
        <v/>
      </c>
      <c r="AK66" s="313" t="str">
        <f>IF($B66=0,"",SUMIFS(INPUT_DATA!AJ:AJ,INPUT_DATA!$A:$A,$B66,INPUT_DATA!$C:$C,"S"))</f>
        <v/>
      </c>
      <c r="AL66" s="313" t="str">
        <f>IF($B66=0,"",SUMIFS(INPUT_DATA!AK:AK,INPUT_DATA!$A:$A,$B66,INPUT_DATA!$C:$C,"S"))</f>
        <v/>
      </c>
      <c r="AM66" s="313" t="str">
        <f>IF($B66=0,"",SUMIFS(INPUT_DATA!AL:AL,INPUT_DATA!$A:$A,$B66,INPUT_DATA!$C:$C,"S"))</f>
        <v/>
      </c>
      <c r="AN66" s="313" t="str">
        <f>IF($B66=0,"",SUMIFS(INPUT_DATA!AM:AM,INPUT_DATA!$A:$A,$B66,INPUT_DATA!$C:$C,"S"))</f>
        <v/>
      </c>
      <c r="AO66" s="313" t="str">
        <f>IF($B66=0,"",SUMIFS(INPUT_DATA!AN:AN,INPUT_DATA!$A:$A,$B66,INPUT_DATA!$C:$C,"S"))</f>
        <v/>
      </c>
      <c r="AP66" s="313" t="str">
        <f>IF($B66=0,"",SUMIFS(INPUT_DATA!AO:AO,INPUT_DATA!$A:$A,$B66,INPUT_DATA!$C:$C,"S"))</f>
        <v/>
      </c>
      <c r="AQ66" s="313" t="str">
        <f>IF($B66=0,"",SUMIFS(INPUT_DATA!AP:AP,INPUT_DATA!$A:$A,$B66,INPUT_DATA!$C:$C,"S"))</f>
        <v/>
      </c>
      <c r="AR66" s="313" t="str">
        <f>IF($B66=0,"",SUMIFS(INPUT_DATA!AQ:AQ,INPUT_DATA!$A:$A,$B66,INPUT_DATA!$C:$C,"S"))</f>
        <v/>
      </c>
      <c r="AS66" s="749" t="str">
        <f t="shared" si="29"/>
        <v/>
      </c>
      <c r="AT66" s="750" t="str">
        <f t="shared" si="30"/>
        <v/>
      </c>
      <c r="AU66" s="751" t="str">
        <f t="shared" si="31"/>
        <v/>
      </c>
      <c r="AV66" s="749" t="str">
        <f>IF($B66=0,"",SUMIFS(INPUT_DATA!AR:AR,INPUT_DATA!$A:$A,$B66,INPUT_DATA!$C:$C,"S"))</f>
        <v/>
      </c>
      <c r="AW66" s="750" t="str">
        <f>IF($B66=0,"",SUMIFS(INPUT_DATA!AS:AS,INPUT_DATA!$A:$A,$B66,INPUT_DATA!$C:$C,"S"))</f>
        <v/>
      </c>
      <c r="AX66" s="751" t="str">
        <f>IF($B66=0,"",SUMIFS(INPUT_DATA!AT:AT,INPUT_DATA!$A:$A,$B66,INPUT_DATA!$C:$C,"S"))</f>
        <v/>
      </c>
      <c r="AY66" s="749" t="str">
        <f t="shared" si="15"/>
        <v/>
      </c>
      <c r="AZ66" s="750" t="str">
        <f t="shared" si="16"/>
        <v/>
      </c>
      <c r="BA66" s="751" t="str">
        <f t="shared" si="17"/>
        <v/>
      </c>
      <c r="BB66" s="150"/>
      <c r="BC66" s="738" t="str">
        <f>IF($B66=0,"",SUMIFS(INPUT_DATA!D:D,INPUT_DATA!$A:$A,$B66,INPUT_DATA!$C:$C,"D"))</f>
        <v/>
      </c>
      <c r="BD66" s="312" t="str">
        <f>IF($B66=0,"",SUMIFS(INPUT_DATA!F:F,INPUT_DATA!$A:$A,$B66,INPUT_DATA!$C:$C,"D"))</f>
        <v/>
      </c>
      <c r="BE66" s="312" t="str">
        <f>IF($B66=0,"",SUMIFS(INPUT_DATA!G:G,INPUT_DATA!$A:$A,$B66,INPUT_DATA!$C:$C,"D"))</f>
        <v/>
      </c>
      <c r="BF66" s="312" t="str">
        <f>IF($B66=0,"",SUMIFS(INPUT_DATA!H:H,INPUT_DATA!$A:$A,$B66,INPUT_DATA!$C:$C,"D"))</f>
        <v/>
      </c>
      <c r="BG66" s="312" t="str">
        <f>IF($B66=0,"",SUMIFS(INPUT_DATA!I:I,INPUT_DATA!$A:$A,$B66,INPUT_DATA!$C:$C,"D"))</f>
        <v/>
      </c>
      <c r="BH66" s="312" t="str">
        <f>IF($B66=0,"",SUMIFS(INPUT_DATA!J:J,INPUT_DATA!$A:$A,$B66,INPUT_DATA!$C:$C,"D"))</f>
        <v/>
      </c>
      <c r="BI66" s="312" t="str">
        <f>IF($B66=0,"",SUMIFS(INPUT_DATA!K:K,INPUT_DATA!$A:$A,$B66,INPUT_DATA!$C:$C,"D"))</f>
        <v/>
      </c>
      <c r="BJ66" s="312" t="str">
        <f>IF($B66=0,"",SUMIFS(INPUT_DATA!L:L,INPUT_DATA!$A:$A,$B66,INPUT_DATA!$C:$C,"D"))</f>
        <v/>
      </c>
      <c r="BK66" s="312" t="str">
        <f>IF($B66=0,"",SUMIFS(INPUT_DATA!M:M,INPUT_DATA!$A:$A,$B66,INPUT_DATA!$C:$C,"D"))</f>
        <v/>
      </c>
      <c r="BL66" s="312" t="str">
        <f>IF($B66=0,"",SUMIFS(INPUT_DATA!N:N,INPUT_DATA!$A:$A,$B66,INPUT_DATA!$C:$C,"D"))</f>
        <v/>
      </c>
      <c r="BM66" s="312" t="str">
        <f>IF($B66=0,"",SUMIFS(INPUT_DATA!O:O,INPUT_DATA!$A:$A,$B66,INPUT_DATA!$C:$C,"D"))</f>
        <v/>
      </c>
      <c r="BN66" s="754" t="str">
        <f t="shared" si="18"/>
        <v/>
      </c>
      <c r="BO66" s="754" t="str">
        <f>IF($B66=0,"",SUMIFS(INPUT_DATA!O:O,INPUT_DATA!$A:$A,$B66,INPUT_DATA!$C:$C,"D"))</f>
        <v/>
      </c>
      <c r="BP66" s="754" t="str">
        <f t="shared" si="19"/>
        <v/>
      </c>
      <c r="BQ66" s="738" t="str">
        <f>IF($B66=0,"",SUMIFS(INPUT_DATA!Q:Q,INPUT_DATA!$A:$A,$B66,INPUT_DATA!$C:$C,"D"))</f>
        <v/>
      </c>
      <c r="BR66" s="760" t="str">
        <f>IF($B66=0,"",SUMIFS(INPUT_DATA!R:R,INPUT_DATA!$A:$A,$B66,INPUT_DATA!$C:$C,"D"))</f>
        <v/>
      </c>
      <c r="BS66" s="760" t="str">
        <f>IF($B66=0,"",SUMIFS(INPUT_DATA!S:S,INPUT_DATA!$A:$A,$B66,INPUT_DATA!$C:$C,"D"))</f>
        <v/>
      </c>
      <c r="BT66" s="312" t="str">
        <f>IF($B66=0,"",SUMIFS(INPUT_DATA!T:T,INPUT_DATA!$A:$A,$B66,INPUT_DATA!$C:$C,"D"))</f>
        <v/>
      </c>
      <c r="BU66" s="312" t="str">
        <f>IF($B66=0,"",SUMIFS(INPUT_DATA!U:U,INPUT_DATA!$A:$A,$B66,INPUT_DATA!$C:$C,"D"))</f>
        <v/>
      </c>
      <c r="BV66" s="312" t="str">
        <f>IF($B66=0,"",SUMIFS(INPUT_DATA!V:V,INPUT_DATA!$A:$A,$B66,INPUT_DATA!$C:$C,"D"))</f>
        <v/>
      </c>
      <c r="BW66" s="312" t="str">
        <f>IF($B66=0,"",SUMIFS(INPUT_DATA!W:W,INPUT_DATA!$A:$A,$B66,INPUT_DATA!$C:$C,"D"))</f>
        <v/>
      </c>
      <c r="BX66" s="312" t="str">
        <f>IF($B66=0,"",SUMIFS(INPUT_DATA!X:X,INPUT_DATA!$A:$A,$B66,INPUT_DATA!$C:$C,"D"))</f>
        <v/>
      </c>
      <c r="BY66" s="312" t="str">
        <f>IF($B66=0,"",SUMIFS(INPUT_DATA!Y:Y,INPUT_DATA!$A:$A,$B66,INPUT_DATA!$C:$C,"D"))</f>
        <v/>
      </c>
      <c r="BZ66" s="353" t="str">
        <f>IF($B66=0,"",SUMIFS(INPUT_DATA!Z:Z,INPUT_DATA!$A:$A,$B66,INPUT_DATA!$C:$C,"D"))</f>
        <v/>
      </c>
      <c r="CA66" s="353" t="str">
        <f>IF($B66=0,"",SUMIFS(INPUT_DATA!AA:AA,INPUT_DATA!$A:$A,$B66,INPUT_DATA!$C:$C,"D"))</f>
        <v/>
      </c>
      <c r="CB66" s="353" t="str">
        <f>IF($B66=0,"",SUMIFS(INPUT_DATA!AB:AB,INPUT_DATA!$A:$A,$B66,INPUT_DATA!$C:$C,"D"))</f>
        <v/>
      </c>
      <c r="CC66" s="312" t="str">
        <f>IF($B66=0,"",SUMIFS(INPUT_DATA!AC:AC,INPUT_DATA!$A:$A,$B66,INPUT_DATA!$C:$C,"D"))</f>
        <v/>
      </c>
      <c r="CD66" s="312" t="str">
        <f>IF($B66=0,"",SUMIFS(INPUT_DATA!AD:AD,INPUT_DATA!$A:$A,$B66,INPUT_DATA!$C:$C,"D"))</f>
        <v/>
      </c>
      <c r="CE66" s="312" t="str">
        <f>IF($B66=0,"",SUMIFS(INPUT_DATA!AE:AE,INPUT_DATA!$A:$A,$B66,INPUT_DATA!$C:$C,"D"))</f>
        <v/>
      </c>
      <c r="CF66" s="353" t="str">
        <f>IF($B66=0,"",SUMIFS(INPUT_DATA!AF:AF,INPUT_DATA!$A:$A,$B66,INPUT_DATA!$C:$C,"D"))</f>
        <v/>
      </c>
      <c r="CG66" s="353" t="str">
        <f>IF($B66=0,"",SUMIFS(INPUT_DATA!AG:AG,INPUT_DATA!$A:$A,$B66,INPUT_DATA!$C:$C,"D"))</f>
        <v/>
      </c>
      <c r="CH66" s="353" t="str">
        <f>IF($B66=0,"",SUMIFS(INPUT_DATA!AH:AH,INPUT_DATA!$A:$A,$B66,INPUT_DATA!$C:$C,"D"))</f>
        <v/>
      </c>
      <c r="CI66" s="153" t="str">
        <f>IF($B66=0,"",SUMIFS(INPUT_DATA!AI:AI,INPUT_DATA!$A:$A,$B66,INPUT_DATA!$C:$C,"D"))</f>
        <v/>
      </c>
      <c r="CJ66" s="153" t="str">
        <f>IF($B66=0,"",SUMIFS(INPUT_DATA!AJ:AJ,INPUT_DATA!$A:$A,$B66,INPUT_DATA!$C:$C,"D"))</f>
        <v/>
      </c>
      <c r="CK66" s="153" t="str">
        <f>IF($B66=0,"",SUMIFS(INPUT_DATA!AK:AK,INPUT_DATA!$A:$A,$B66,INPUT_DATA!$C:$C,"D"))</f>
        <v/>
      </c>
      <c r="CL66" s="153" t="str">
        <f>IF($B66=0,"",SUMIFS(INPUT_DATA!AL:AL,INPUT_DATA!$A:$A,$B66,INPUT_DATA!$C:$C,"D"))</f>
        <v/>
      </c>
      <c r="CM66" s="153" t="str">
        <f>IF($B66=0,"",SUMIFS(INPUT_DATA!AM:AM,INPUT_DATA!$A:$A,$B66,INPUT_DATA!$C:$C,"D"))</f>
        <v/>
      </c>
      <c r="CN66" s="153" t="str">
        <f>IF($B66=0,"",SUMIFS(INPUT_DATA!AN:AN,INPUT_DATA!$A:$A,$B66,INPUT_DATA!$C:$C,"D"))</f>
        <v/>
      </c>
      <c r="CO66" s="153" t="str">
        <f>IF($B66=0,"",SUMIFS(INPUT_DATA!AO:AO,INPUT_DATA!$A:$A,$B66,INPUT_DATA!$C:$C,"D"))</f>
        <v/>
      </c>
      <c r="CP66" s="153" t="str">
        <f>IF($B66=0,"",SUMIFS(INPUT_DATA!AP:AP,INPUT_DATA!$A:$A,$B66,INPUT_DATA!$C:$C,"D"))</f>
        <v/>
      </c>
      <c r="CQ66" s="153" t="str">
        <f>IF($B66=0,"",SUMIFS(INPUT_DATA!AQ:AQ,INPUT_DATA!$A:$A,$B66,INPUT_DATA!$C:$C,"D"))</f>
        <v/>
      </c>
      <c r="CR66" s="750" t="str">
        <f t="shared" si="32"/>
        <v/>
      </c>
      <c r="CS66" s="750" t="str">
        <f t="shared" si="33"/>
        <v/>
      </c>
      <c r="CT66" s="750" t="str">
        <f t="shared" si="34"/>
        <v/>
      </c>
      <c r="CU66" s="739" t="str">
        <f>IF($B66=0,"",SUMIFS(INPUT_DATA!AR:AR,INPUT_DATA!$A:$A,$B66,INPUT_DATA!$C:$C,"D"))</f>
        <v/>
      </c>
      <c r="CV66" s="739" t="str">
        <f>IF($B66=0,"",SUMIFS(INPUT_DATA!AS:AS,INPUT_DATA!$A:$A,$B66,INPUT_DATA!$C:$C,"D"))</f>
        <v/>
      </c>
      <c r="CW66" s="739" t="str">
        <f>IF($B66=0,"",SUMIFS(INPUT_DATA!AT:AT,INPUT_DATA!$A:$A,$B66,INPUT_DATA!$C:$C,"D"))</f>
        <v/>
      </c>
      <c r="CX66" s="739" t="str">
        <f t="shared" si="35"/>
        <v/>
      </c>
      <c r="CY66" s="750" t="str">
        <f t="shared" si="36"/>
        <v/>
      </c>
      <c r="CZ66" s="761" t="str">
        <f t="shared" si="37"/>
        <v/>
      </c>
      <c r="DA66" s="150"/>
    </row>
    <row r="67" spans="1:105" ht="13" x14ac:dyDescent="0.25">
      <c r="A67" s="172">
        <f t="shared" si="40"/>
        <v>-20</v>
      </c>
      <c r="B67" s="733">
        <f>INPUT_DATA!BQ54</f>
        <v>0</v>
      </c>
      <c r="C67" s="738" t="str">
        <f>IF($B67=0,"",SUMIFS(INPUT_DATA!D:D,INPUT_DATA!$A:$A,$B67,INPUT_DATA!$C:$C,"S"))</f>
        <v/>
      </c>
      <c r="D67" s="739" t="str">
        <f>IF($B67=0,"",SUMIFS(INPUT_DATA!E:E,INPUT_DATA!$A:$A,$B67,INPUT_DATA!$C:$C,"S"))</f>
        <v/>
      </c>
      <c r="E67" s="740" t="str">
        <f>IF($B67=0,"",SUMIFS(INPUT_DATA!F:F,INPUT_DATA!$A:$A,$B67,INPUT_DATA!$C:$C,"S"))</f>
        <v/>
      </c>
      <c r="F67" s="740" t="str">
        <f>IF($B67=0,"",SUMIFS(INPUT_DATA!G:G,INPUT_DATA!$A:$A,$B67,INPUT_DATA!$C:$C,"S"))</f>
        <v/>
      </c>
      <c r="G67" s="740" t="str">
        <f>IF($B67=0,"",SUMIFS(INPUT_DATA!H:H,INPUT_DATA!$A:$A,$B67,INPUT_DATA!$C:$C,"S"))</f>
        <v/>
      </c>
      <c r="H67" s="740" t="str">
        <f>IF($B67=0,"",SUMIFS(INPUT_DATA!I:I,INPUT_DATA!$A:$A,$B67,INPUT_DATA!$C:$C,"S"))</f>
        <v/>
      </c>
      <c r="I67" s="740" t="str">
        <f>IF($B67=0,"",SUMIFS(INPUT_DATA!J:J,INPUT_DATA!$A:$A,$B67,INPUT_DATA!$C:$C,"S"))</f>
        <v/>
      </c>
      <c r="J67" s="740" t="str">
        <f>IF($B67=0,"",SUMIFS(INPUT_DATA!K:K,INPUT_DATA!$A:$A,$B67,INPUT_DATA!$C:$C,"S"))</f>
        <v/>
      </c>
      <c r="K67" s="740" t="str">
        <f>IF($B67=0,"",SUMIFS(INPUT_DATA!L:L,INPUT_DATA!$A:$A,$B67,INPUT_DATA!$C:$C,"S"))</f>
        <v/>
      </c>
      <c r="L67" s="740" t="str">
        <f>IF($B67=0,"",SUMIFS(INPUT_DATA!M:M,INPUT_DATA!$A:$A,$B67,INPUT_DATA!$C:$C,"S"))</f>
        <v/>
      </c>
      <c r="M67" s="740" t="str">
        <f>IF($B67=0,"",SUMIFS(INPUT_DATA!N:N,INPUT_DATA!$A:$A,$B67,INPUT_DATA!$C:$C,"S"))</f>
        <v/>
      </c>
      <c r="N67" s="740" t="str">
        <f>IF($B67=0,"",SUMIFS(INPUT_DATA!O:O,INPUT_DATA!$A:$A,$B67,INPUT_DATA!$C:$C,"S"))</f>
        <v/>
      </c>
      <c r="O67" s="741" t="str">
        <f t="shared" si="38"/>
        <v/>
      </c>
      <c r="P67" s="742" t="str">
        <f>IF($B67=0,"",SUMIFS(INPUT_DATA!P:P,INPUT_DATA!$A:$A,$B67,INPUT_DATA!$C:$C,"S"))</f>
        <v/>
      </c>
      <c r="Q67" s="742" t="str">
        <f t="shared" si="39"/>
        <v/>
      </c>
      <c r="R67" s="748" t="str">
        <f>IF($B67=0,"",SUMIFS(INPUT_DATA!Q:Q,INPUT_DATA!$A:$A,$B67,INPUT_DATA!$C:$C,"S"))</f>
        <v/>
      </c>
      <c r="S67" s="748" t="str">
        <f>IF($B67=0,"",SUMIFS(INPUT_DATA!R:R,INPUT_DATA!$A:$A,$B67,INPUT_DATA!$C:$C,"S"))</f>
        <v/>
      </c>
      <c r="T67" s="748" t="str">
        <f>IF($B67=0,"",SUMIFS(INPUT_DATA!S:S,INPUT_DATA!$A:$A,$B67,INPUT_DATA!$C:$C,"S"))</f>
        <v/>
      </c>
      <c r="U67" s="313" t="str">
        <f>IF($B67=0,"",SUMIFS(INPUT_DATA!T:T,INPUT_DATA!$A:$A,$B67,INPUT_DATA!$C:$C,"S"))</f>
        <v/>
      </c>
      <c r="V67" s="313" t="str">
        <f>IF($B67=0,"",SUMIFS(INPUT_DATA!U:U,INPUT_DATA!$A:$A,$B67,INPUT_DATA!$C:$C,"S"))</f>
        <v/>
      </c>
      <c r="W67" s="313" t="str">
        <f>IF($B67=0,"",SUMIFS(INPUT_DATA!V:V,INPUT_DATA!$A:$A,$B67,INPUT_DATA!$C:$C,"S"))</f>
        <v/>
      </c>
      <c r="X67" s="313" t="str">
        <f>IF($B67=0,"",SUMIFS(INPUT_DATA!W:W,INPUT_DATA!$A:$A,$B67,INPUT_DATA!$C:$C,"S"))</f>
        <v/>
      </c>
      <c r="Y67" s="313" t="str">
        <f>IF($B67=0,"",SUMIFS(INPUT_DATA!X:X,INPUT_DATA!$A:$A,$B67,INPUT_DATA!$C:$C,"S"))</f>
        <v/>
      </c>
      <c r="Z67" s="313" t="str">
        <f>IF($B67=0,"",SUMIFS(INPUT_DATA!Y:Y,INPUT_DATA!$A:$A,$B67,INPUT_DATA!$C:$C,"S"))</f>
        <v/>
      </c>
      <c r="AA67" s="313" t="str">
        <f>IF($B67=0,"",SUMIFS(INPUT_DATA!Z:Z,INPUT_DATA!$A:$A,$B67,INPUT_DATA!$C:$C,"S"))</f>
        <v/>
      </c>
      <c r="AB67" s="313" t="str">
        <f>IF($B67=0,"",SUMIFS(INPUT_DATA!AA:AA,INPUT_DATA!$A:$A,$B67,INPUT_DATA!$C:$C,"S"))</f>
        <v/>
      </c>
      <c r="AC67" s="313" t="str">
        <f>IF($B67=0,"",SUMIFS(INPUT_DATA!AB:AB,INPUT_DATA!$A:$A,$B67,INPUT_DATA!$C:$C,"S"))</f>
        <v/>
      </c>
      <c r="AD67" s="313" t="str">
        <f>IF($B67=0,"",SUMIFS(INPUT_DATA!AC:AC,INPUT_DATA!$A:$A,$B67,INPUT_DATA!$C:$C,"S"))</f>
        <v/>
      </c>
      <c r="AE67" s="313" t="str">
        <f>IF($B67=0,"",SUMIFS(INPUT_DATA!AD:AD,INPUT_DATA!$A:$A,$B67,INPUT_DATA!$C:$C,"S"))</f>
        <v/>
      </c>
      <c r="AF67" s="313" t="str">
        <f>IF($B67=0,"",SUMIFS(INPUT_DATA!AE:AE,INPUT_DATA!$A:$A,$B67,INPUT_DATA!$C:$C,"S"))</f>
        <v/>
      </c>
      <c r="AG67" s="313" t="str">
        <f>IF($B67=0,"",SUMIFS(INPUT_DATA!AF:AF,INPUT_DATA!$A:$A,$B67,INPUT_DATA!$C:$C,"S"))</f>
        <v/>
      </c>
      <c r="AH67" s="313" t="str">
        <f>IF($B67=0,"",SUMIFS(INPUT_DATA!AG:AG,INPUT_DATA!$A:$A,$B67,INPUT_DATA!$C:$C,"S"))</f>
        <v/>
      </c>
      <c r="AI67" s="313" t="str">
        <f>IF($B67=0,"",SUMIFS(INPUT_DATA!AH:AH,INPUT_DATA!$A:$A,$B67,INPUT_DATA!$C:$C,"S"))</f>
        <v/>
      </c>
      <c r="AJ67" s="313" t="str">
        <f>IF($B67=0,"",SUMIFS(INPUT_DATA!AI:AI,INPUT_DATA!$A:$A,$B67,INPUT_DATA!$C:$C,"S"))</f>
        <v/>
      </c>
      <c r="AK67" s="313" t="str">
        <f>IF($B67=0,"",SUMIFS(INPUT_DATA!AJ:AJ,INPUT_DATA!$A:$A,$B67,INPUT_DATA!$C:$C,"S"))</f>
        <v/>
      </c>
      <c r="AL67" s="313" t="str">
        <f>IF($B67=0,"",SUMIFS(INPUT_DATA!AK:AK,INPUT_DATA!$A:$A,$B67,INPUT_DATA!$C:$C,"S"))</f>
        <v/>
      </c>
      <c r="AM67" s="313" t="str">
        <f>IF($B67=0,"",SUMIFS(INPUT_DATA!AL:AL,INPUT_DATA!$A:$A,$B67,INPUT_DATA!$C:$C,"S"))</f>
        <v/>
      </c>
      <c r="AN67" s="313" t="str">
        <f>IF($B67=0,"",SUMIFS(INPUT_DATA!AM:AM,INPUT_DATA!$A:$A,$B67,INPUT_DATA!$C:$C,"S"))</f>
        <v/>
      </c>
      <c r="AO67" s="313" t="str">
        <f>IF($B67=0,"",SUMIFS(INPUT_DATA!AN:AN,INPUT_DATA!$A:$A,$B67,INPUT_DATA!$C:$C,"S"))</f>
        <v/>
      </c>
      <c r="AP67" s="313" t="str">
        <f>IF($B67=0,"",SUMIFS(INPUT_DATA!AO:AO,INPUT_DATA!$A:$A,$B67,INPUT_DATA!$C:$C,"S"))</f>
        <v/>
      </c>
      <c r="AQ67" s="313" t="str">
        <f>IF($B67=0,"",SUMIFS(INPUT_DATA!AP:AP,INPUT_DATA!$A:$A,$B67,INPUT_DATA!$C:$C,"S"))</f>
        <v/>
      </c>
      <c r="AR67" s="313" t="str">
        <f>IF($B67=0,"",SUMIFS(INPUT_DATA!AQ:AQ,INPUT_DATA!$A:$A,$B67,INPUT_DATA!$C:$C,"S"))</f>
        <v/>
      </c>
      <c r="AS67" s="749" t="str">
        <f t="shared" si="29"/>
        <v/>
      </c>
      <c r="AT67" s="750" t="str">
        <f t="shared" si="30"/>
        <v/>
      </c>
      <c r="AU67" s="751" t="str">
        <f t="shared" si="31"/>
        <v/>
      </c>
      <c r="AV67" s="749" t="str">
        <f>IF($B67=0,"",SUMIFS(INPUT_DATA!AR:AR,INPUT_DATA!$A:$A,$B67,INPUT_DATA!$C:$C,"S"))</f>
        <v/>
      </c>
      <c r="AW67" s="750" t="str">
        <f>IF($B67=0,"",SUMIFS(INPUT_DATA!AS:AS,INPUT_DATA!$A:$A,$B67,INPUT_DATA!$C:$C,"S"))</f>
        <v/>
      </c>
      <c r="AX67" s="751" t="str">
        <f>IF($B67=0,"",SUMIFS(INPUT_DATA!AT:AT,INPUT_DATA!$A:$A,$B67,INPUT_DATA!$C:$C,"S"))</f>
        <v/>
      </c>
      <c r="AY67" s="749" t="str">
        <f t="shared" si="15"/>
        <v/>
      </c>
      <c r="AZ67" s="750" t="str">
        <f t="shared" si="16"/>
        <v/>
      </c>
      <c r="BA67" s="751" t="str">
        <f t="shared" si="17"/>
        <v/>
      </c>
      <c r="BB67" s="150"/>
      <c r="BC67" s="738" t="str">
        <f>IF($B67=0,"",SUMIFS(INPUT_DATA!D:D,INPUT_DATA!$A:$A,$B67,INPUT_DATA!$C:$C,"D"))</f>
        <v/>
      </c>
      <c r="BD67" s="312" t="str">
        <f>IF($B67=0,"",SUMIFS(INPUT_DATA!F:F,INPUT_DATA!$A:$A,$B67,INPUT_DATA!$C:$C,"D"))</f>
        <v/>
      </c>
      <c r="BE67" s="312" t="str">
        <f>IF($B67=0,"",SUMIFS(INPUT_DATA!G:G,INPUT_DATA!$A:$A,$B67,INPUT_DATA!$C:$C,"D"))</f>
        <v/>
      </c>
      <c r="BF67" s="312" t="str">
        <f>IF($B67=0,"",SUMIFS(INPUT_DATA!H:H,INPUT_DATA!$A:$A,$B67,INPUT_DATA!$C:$C,"D"))</f>
        <v/>
      </c>
      <c r="BG67" s="312" t="str">
        <f>IF($B67=0,"",SUMIFS(INPUT_DATA!I:I,INPUT_DATA!$A:$A,$B67,INPUT_DATA!$C:$C,"D"))</f>
        <v/>
      </c>
      <c r="BH67" s="312" t="str">
        <f>IF($B67=0,"",SUMIFS(INPUT_DATA!J:J,INPUT_DATA!$A:$A,$B67,INPUT_DATA!$C:$C,"D"))</f>
        <v/>
      </c>
      <c r="BI67" s="312" t="str">
        <f>IF($B67=0,"",SUMIFS(INPUT_DATA!K:K,INPUT_DATA!$A:$A,$B67,INPUT_DATA!$C:$C,"D"))</f>
        <v/>
      </c>
      <c r="BJ67" s="312" t="str">
        <f>IF($B67=0,"",SUMIFS(INPUT_DATA!L:L,INPUT_DATA!$A:$A,$B67,INPUT_DATA!$C:$C,"D"))</f>
        <v/>
      </c>
      <c r="BK67" s="312" t="str">
        <f>IF($B67=0,"",SUMIFS(INPUT_DATA!M:M,INPUT_DATA!$A:$A,$B67,INPUT_DATA!$C:$C,"D"))</f>
        <v/>
      </c>
      <c r="BL67" s="312" t="str">
        <f>IF($B67=0,"",SUMIFS(INPUT_DATA!N:N,INPUT_DATA!$A:$A,$B67,INPUT_DATA!$C:$C,"D"))</f>
        <v/>
      </c>
      <c r="BM67" s="312" t="str">
        <f>IF($B67=0,"",SUMIFS(INPUT_DATA!O:O,INPUT_DATA!$A:$A,$B67,INPUT_DATA!$C:$C,"D"))</f>
        <v/>
      </c>
      <c r="BN67" s="754" t="str">
        <f t="shared" si="18"/>
        <v/>
      </c>
      <c r="BO67" s="754" t="str">
        <f>IF($B67=0,"",SUMIFS(INPUT_DATA!O:O,INPUT_DATA!$A:$A,$B67,INPUT_DATA!$C:$C,"D"))</f>
        <v/>
      </c>
      <c r="BP67" s="754" t="str">
        <f t="shared" si="19"/>
        <v/>
      </c>
      <c r="BQ67" s="738" t="str">
        <f>IF($B67=0,"",SUMIFS(INPUT_DATA!Q:Q,INPUT_DATA!$A:$A,$B67,INPUT_DATA!$C:$C,"D"))</f>
        <v/>
      </c>
      <c r="BR67" s="760" t="str">
        <f>IF($B67=0,"",SUMIFS(INPUT_DATA!R:R,INPUT_DATA!$A:$A,$B67,INPUT_DATA!$C:$C,"D"))</f>
        <v/>
      </c>
      <c r="BS67" s="760" t="str">
        <f>IF($B67=0,"",SUMIFS(INPUT_DATA!S:S,INPUT_DATA!$A:$A,$B67,INPUT_DATA!$C:$C,"D"))</f>
        <v/>
      </c>
      <c r="BT67" s="312" t="str">
        <f>IF($B67=0,"",SUMIFS(INPUT_DATA!T:T,INPUT_DATA!$A:$A,$B67,INPUT_DATA!$C:$C,"D"))</f>
        <v/>
      </c>
      <c r="BU67" s="312" t="str">
        <f>IF($B67=0,"",SUMIFS(INPUT_DATA!U:U,INPUT_DATA!$A:$A,$B67,INPUT_DATA!$C:$C,"D"))</f>
        <v/>
      </c>
      <c r="BV67" s="312" t="str">
        <f>IF($B67=0,"",SUMIFS(INPUT_DATA!V:V,INPUT_DATA!$A:$A,$B67,INPUT_DATA!$C:$C,"D"))</f>
        <v/>
      </c>
      <c r="BW67" s="312" t="str">
        <f>IF($B67=0,"",SUMIFS(INPUT_DATA!W:W,INPUT_DATA!$A:$A,$B67,INPUT_DATA!$C:$C,"D"))</f>
        <v/>
      </c>
      <c r="BX67" s="312" t="str">
        <f>IF($B67=0,"",SUMIFS(INPUT_DATA!X:X,INPUT_DATA!$A:$A,$B67,INPUT_DATA!$C:$C,"D"))</f>
        <v/>
      </c>
      <c r="BY67" s="312" t="str">
        <f>IF($B67=0,"",SUMIFS(INPUT_DATA!Y:Y,INPUT_DATA!$A:$A,$B67,INPUT_DATA!$C:$C,"D"))</f>
        <v/>
      </c>
      <c r="BZ67" s="353" t="str">
        <f>IF($B67=0,"",SUMIFS(INPUT_DATA!Z:Z,INPUT_DATA!$A:$A,$B67,INPUT_DATA!$C:$C,"D"))</f>
        <v/>
      </c>
      <c r="CA67" s="353" t="str">
        <f>IF($B67=0,"",SUMIFS(INPUT_DATA!AA:AA,INPUT_DATA!$A:$A,$B67,INPUT_DATA!$C:$C,"D"))</f>
        <v/>
      </c>
      <c r="CB67" s="353" t="str">
        <f>IF($B67=0,"",SUMIFS(INPUT_DATA!AB:AB,INPUT_DATA!$A:$A,$B67,INPUT_DATA!$C:$C,"D"))</f>
        <v/>
      </c>
      <c r="CC67" s="312" t="str">
        <f>IF($B67=0,"",SUMIFS(INPUT_DATA!AC:AC,INPUT_DATA!$A:$A,$B67,INPUT_DATA!$C:$C,"D"))</f>
        <v/>
      </c>
      <c r="CD67" s="312" t="str">
        <f>IF($B67=0,"",SUMIFS(INPUT_DATA!AD:AD,INPUT_DATA!$A:$A,$B67,INPUT_DATA!$C:$C,"D"))</f>
        <v/>
      </c>
      <c r="CE67" s="312" t="str">
        <f>IF($B67=0,"",SUMIFS(INPUT_DATA!AE:AE,INPUT_DATA!$A:$A,$B67,INPUT_DATA!$C:$C,"D"))</f>
        <v/>
      </c>
      <c r="CF67" s="353" t="str">
        <f>IF($B67=0,"",SUMIFS(INPUT_DATA!AF:AF,INPUT_DATA!$A:$A,$B67,INPUT_DATA!$C:$C,"D"))</f>
        <v/>
      </c>
      <c r="CG67" s="353" t="str">
        <f>IF($B67=0,"",SUMIFS(INPUT_DATA!AG:AG,INPUT_DATA!$A:$A,$B67,INPUT_DATA!$C:$C,"D"))</f>
        <v/>
      </c>
      <c r="CH67" s="353" t="str">
        <f>IF($B67=0,"",SUMIFS(INPUT_DATA!AH:AH,INPUT_DATA!$A:$A,$B67,INPUT_DATA!$C:$C,"D"))</f>
        <v/>
      </c>
      <c r="CI67" s="153" t="str">
        <f>IF($B67=0,"",SUMIFS(INPUT_DATA!AI:AI,INPUT_DATA!$A:$A,$B67,INPUT_DATA!$C:$C,"D"))</f>
        <v/>
      </c>
      <c r="CJ67" s="153" t="str">
        <f>IF($B67=0,"",SUMIFS(INPUT_DATA!AJ:AJ,INPUT_DATA!$A:$A,$B67,INPUT_DATA!$C:$C,"D"))</f>
        <v/>
      </c>
      <c r="CK67" s="153" t="str">
        <f>IF($B67=0,"",SUMIFS(INPUT_DATA!AK:AK,INPUT_DATA!$A:$A,$B67,INPUT_DATA!$C:$C,"D"))</f>
        <v/>
      </c>
      <c r="CL67" s="153" t="str">
        <f>IF($B67=0,"",SUMIFS(INPUT_DATA!AL:AL,INPUT_DATA!$A:$A,$B67,INPUT_DATA!$C:$C,"D"))</f>
        <v/>
      </c>
      <c r="CM67" s="153" t="str">
        <f>IF($B67=0,"",SUMIFS(INPUT_DATA!AM:AM,INPUT_DATA!$A:$A,$B67,INPUT_DATA!$C:$C,"D"))</f>
        <v/>
      </c>
      <c r="CN67" s="153" t="str">
        <f>IF($B67=0,"",SUMIFS(INPUT_DATA!AN:AN,INPUT_DATA!$A:$A,$B67,INPUT_DATA!$C:$C,"D"))</f>
        <v/>
      </c>
      <c r="CO67" s="153" t="str">
        <f>IF($B67=0,"",SUMIFS(INPUT_DATA!AO:AO,INPUT_DATA!$A:$A,$B67,INPUT_DATA!$C:$C,"D"))</f>
        <v/>
      </c>
      <c r="CP67" s="153" t="str">
        <f>IF($B67=0,"",SUMIFS(INPUT_DATA!AP:AP,INPUT_DATA!$A:$A,$B67,INPUT_DATA!$C:$C,"D"))</f>
        <v/>
      </c>
      <c r="CQ67" s="153" t="str">
        <f>IF($B67=0,"",SUMIFS(INPUT_DATA!AQ:AQ,INPUT_DATA!$A:$A,$B67,INPUT_DATA!$C:$C,"D"))</f>
        <v/>
      </c>
      <c r="CR67" s="750" t="str">
        <f t="shared" si="32"/>
        <v/>
      </c>
      <c r="CS67" s="750" t="str">
        <f t="shared" si="33"/>
        <v/>
      </c>
      <c r="CT67" s="750" t="str">
        <f t="shared" si="34"/>
        <v/>
      </c>
      <c r="CU67" s="739" t="str">
        <f>IF($B67=0,"",SUMIFS(INPUT_DATA!AR:AR,INPUT_DATA!$A:$A,$B67,INPUT_DATA!$C:$C,"D"))</f>
        <v/>
      </c>
      <c r="CV67" s="739" t="str">
        <f>IF($B67=0,"",SUMIFS(INPUT_DATA!AS:AS,INPUT_DATA!$A:$A,$B67,INPUT_DATA!$C:$C,"D"))</f>
        <v/>
      </c>
      <c r="CW67" s="739" t="str">
        <f>IF($B67=0,"",SUMIFS(INPUT_DATA!AT:AT,INPUT_DATA!$A:$A,$B67,INPUT_DATA!$C:$C,"D"))</f>
        <v/>
      </c>
      <c r="CX67" s="739" t="str">
        <f t="shared" si="35"/>
        <v/>
      </c>
      <c r="CY67" s="750" t="str">
        <f t="shared" si="36"/>
        <v/>
      </c>
      <c r="CZ67" s="761" t="str">
        <f t="shared" si="37"/>
        <v/>
      </c>
      <c r="DA67" s="150"/>
    </row>
    <row r="68" spans="1:105" ht="13" x14ac:dyDescent="0.25">
      <c r="A68" s="172">
        <f t="shared" si="40"/>
        <v>-21</v>
      </c>
      <c r="B68" s="733">
        <f>INPUT_DATA!BQ55</f>
        <v>0</v>
      </c>
      <c r="C68" s="738" t="str">
        <f>IF($B68=0,"",SUMIFS(INPUT_DATA!D:D,INPUT_DATA!$A:$A,$B68,INPUT_DATA!$C:$C,"S"))</f>
        <v/>
      </c>
      <c r="D68" s="739" t="str">
        <f>IF($B68=0,"",SUMIFS(INPUT_DATA!E:E,INPUT_DATA!$A:$A,$B68,INPUT_DATA!$C:$C,"S"))</f>
        <v/>
      </c>
      <c r="E68" s="740" t="str">
        <f>IF($B68=0,"",SUMIFS(INPUT_DATA!F:F,INPUT_DATA!$A:$A,$B68,INPUT_DATA!$C:$C,"S"))</f>
        <v/>
      </c>
      <c r="F68" s="740" t="str">
        <f>IF($B68=0,"",SUMIFS(INPUT_DATA!G:G,INPUT_DATA!$A:$A,$B68,INPUT_DATA!$C:$C,"S"))</f>
        <v/>
      </c>
      <c r="G68" s="740" t="str">
        <f>IF($B68=0,"",SUMIFS(INPUT_DATA!H:H,INPUT_DATA!$A:$A,$B68,INPUT_DATA!$C:$C,"S"))</f>
        <v/>
      </c>
      <c r="H68" s="740" t="str">
        <f>IF($B68=0,"",SUMIFS(INPUT_DATA!I:I,INPUT_DATA!$A:$A,$B68,INPUT_DATA!$C:$C,"S"))</f>
        <v/>
      </c>
      <c r="I68" s="740" t="str">
        <f>IF($B68=0,"",SUMIFS(INPUT_DATA!J:J,INPUT_DATA!$A:$A,$B68,INPUT_DATA!$C:$C,"S"))</f>
        <v/>
      </c>
      <c r="J68" s="740" t="str">
        <f>IF($B68=0,"",SUMIFS(INPUT_DATA!K:K,INPUT_DATA!$A:$A,$B68,INPUT_DATA!$C:$C,"S"))</f>
        <v/>
      </c>
      <c r="K68" s="740" t="str">
        <f>IF($B68=0,"",SUMIFS(INPUT_DATA!L:L,INPUT_DATA!$A:$A,$B68,INPUT_DATA!$C:$C,"S"))</f>
        <v/>
      </c>
      <c r="L68" s="740" t="str">
        <f>IF($B68=0,"",SUMIFS(INPUT_DATA!M:M,INPUT_DATA!$A:$A,$B68,INPUT_DATA!$C:$C,"S"))</f>
        <v/>
      </c>
      <c r="M68" s="740" t="str">
        <f>IF($B68=0,"",SUMIFS(INPUT_DATA!N:N,INPUT_DATA!$A:$A,$B68,INPUT_DATA!$C:$C,"S"))</f>
        <v/>
      </c>
      <c r="N68" s="740" t="str">
        <f>IF($B68=0,"",SUMIFS(INPUT_DATA!O:O,INPUT_DATA!$A:$A,$B68,INPUT_DATA!$C:$C,"S"))</f>
        <v/>
      </c>
      <c r="O68" s="741" t="str">
        <f t="shared" si="38"/>
        <v/>
      </c>
      <c r="P68" s="742" t="str">
        <f>IF($B68=0,"",SUMIFS(INPUT_DATA!P:P,INPUT_DATA!$A:$A,$B68,INPUT_DATA!$C:$C,"S"))</f>
        <v/>
      </c>
      <c r="Q68" s="742" t="str">
        <f t="shared" si="39"/>
        <v/>
      </c>
      <c r="R68" s="748" t="str">
        <f>IF($B68=0,"",SUMIFS(INPUT_DATA!Q:Q,INPUT_DATA!$A:$A,$B68,INPUT_DATA!$C:$C,"S"))</f>
        <v/>
      </c>
      <c r="S68" s="748" t="str">
        <f>IF($B68=0,"",SUMIFS(INPUT_DATA!R:R,INPUT_DATA!$A:$A,$B68,INPUT_DATA!$C:$C,"S"))</f>
        <v/>
      </c>
      <c r="T68" s="748" t="str">
        <f>IF($B68=0,"",SUMIFS(INPUT_DATA!S:S,INPUT_DATA!$A:$A,$B68,INPUT_DATA!$C:$C,"S"))</f>
        <v/>
      </c>
      <c r="U68" s="313" t="str">
        <f>IF($B68=0,"",SUMIFS(INPUT_DATA!T:T,INPUT_DATA!$A:$A,$B68,INPUT_DATA!$C:$C,"S"))</f>
        <v/>
      </c>
      <c r="V68" s="313" t="str">
        <f>IF($B68=0,"",SUMIFS(INPUT_DATA!U:U,INPUT_DATA!$A:$A,$B68,INPUT_DATA!$C:$C,"S"))</f>
        <v/>
      </c>
      <c r="W68" s="313" t="str">
        <f>IF($B68=0,"",SUMIFS(INPUT_DATA!V:V,INPUT_DATA!$A:$A,$B68,INPUT_DATA!$C:$C,"S"))</f>
        <v/>
      </c>
      <c r="X68" s="313" t="str">
        <f>IF($B68=0,"",SUMIFS(INPUT_DATA!W:W,INPUT_DATA!$A:$A,$B68,INPUT_DATA!$C:$C,"S"))</f>
        <v/>
      </c>
      <c r="Y68" s="313" t="str">
        <f>IF($B68=0,"",SUMIFS(INPUT_DATA!X:X,INPUT_DATA!$A:$A,$B68,INPUT_DATA!$C:$C,"S"))</f>
        <v/>
      </c>
      <c r="Z68" s="313" t="str">
        <f>IF($B68=0,"",SUMIFS(INPUT_DATA!Y:Y,INPUT_DATA!$A:$A,$B68,INPUT_DATA!$C:$C,"S"))</f>
        <v/>
      </c>
      <c r="AA68" s="313" t="str">
        <f>IF($B68=0,"",SUMIFS(INPUT_DATA!Z:Z,INPUT_DATA!$A:$A,$B68,INPUT_DATA!$C:$C,"S"))</f>
        <v/>
      </c>
      <c r="AB68" s="313" t="str">
        <f>IF($B68=0,"",SUMIFS(INPUT_DATA!AA:AA,INPUT_DATA!$A:$A,$B68,INPUT_DATA!$C:$C,"S"))</f>
        <v/>
      </c>
      <c r="AC68" s="313" t="str">
        <f>IF($B68=0,"",SUMIFS(INPUT_DATA!AB:AB,INPUT_DATA!$A:$A,$B68,INPUT_DATA!$C:$C,"S"))</f>
        <v/>
      </c>
      <c r="AD68" s="313" t="str">
        <f>IF($B68=0,"",SUMIFS(INPUT_DATA!AC:AC,INPUT_DATA!$A:$A,$B68,INPUT_DATA!$C:$C,"S"))</f>
        <v/>
      </c>
      <c r="AE68" s="313" t="str">
        <f>IF($B68=0,"",SUMIFS(INPUT_DATA!AD:AD,INPUT_DATA!$A:$A,$B68,INPUT_DATA!$C:$C,"S"))</f>
        <v/>
      </c>
      <c r="AF68" s="313" t="str">
        <f>IF($B68=0,"",SUMIFS(INPUT_DATA!AE:AE,INPUT_DATA!$A:$A,$B68,INPUT_DATA!$C:$C,"S"))</f>
        <v/>
      </c>
      <c r="AG68" s="313" t="str">
        <f>IF($B68=0,"",SUMIFS(INPUT_DATA!AF:AF,INPUT_DATA!$A:$A,$B68,INPUT_DATA!$C:$C,"S"))</f>
        <v/>
      </c>
      <c r="AH68" s="313" t="str">
        <f>IF($B68=0,"",SUMIFS(INPUT_DATA!AG:AG,INPUT_DATA!$A:$A,$B68,INPUT_DATA!$C:$C,"S"))</f>
        <v/>
      </c>
      <c r="AI68" s="313" t="str">
        <f>IF($B68=0,"",SUMIFS(INPUT_DATA!AH:AH,INPUT_DATA!$A:$A,$B68,INPUT_DATA!$C:$C,"S"))</f>
        <v/>
      </c>
      <c r="AJ68" s="313" t="str">
        <f>IF($B68=0,"",SUMIFS(INPUT_DATA!AI:AI,INPUT_DATA!$A:$A,$B68,INPUT_DATA!$C:$C,"S"))</f>
        <v/>
      </c>
      <c r="AK68" s="313" t="str">
        <f>IF($B68=0,"",SUMIFS(INPUT_DATA!AJ:AJ,INPUT_DATA!$A:$A,$B68,INPUT_DATA!$C:$C,"S"))</f>
        <v/>
      </c>
      <c r="AL68" s="313" t="str">
        <f>IF($B68=0,"",SUMIFS(INPUT_DATA!AK:AK,INPUT_DATA!$A:$A,$B68,INPUT_DATA!$C:$C,"S"))</f>
        <v/>
      </c>
      <c r="AM68" s="313" t="str">
        <f>IF($B68=0,"",SUMIFS(INPUT_DATA!AL:AL,INPUT_DATA!$A:$A,$B68,INPUT_DATA!$C:$C,"S"))</f>
        <v/>
      </c>
      <c r="AN68" s="313" t="str">
        <f>IF($B68=0,"",SUMIFS(INPUT_DATA!AM:AM,INPUT_DATA!$A:$A,$B68,INPUT_DATA!$C:$C,"S"))</f>
        <v/>
      </c>
      <c r="AO68" s="313" t="str">
        <f>IF($B68=0,"",SUMIFS(INPUT_DATA!AN:AN,INPUT_DATA!$A:$A,$B68,INPUT_DATA!$C:$C,"S"))</f>
        <v/>
      </c>
      <c r="AP68" s="313" t="str">
        <f>IF($B68=0,"",SUMIFS(INPUT_DATA!AO:AO,INPUT_DATA!$A:$A,$B68,INPUT_DATA!$C:$C,"S"))</f>
        <v/>
      </c>
      <c r="AQ68" s="313" t="str">
        <f>IF($B68=0,"",SUMIFS(INPUT_DATA!AP:AP,INPUT_DATA!$A:$A,$B68,INPUT_DATA!$C:$C,"S"))</f>
        <v/>
      </c>
      <c r="AR68" s="313" t="str">
        <f>IF($B68=0,"",SUMIFS(INPUT_DATA!AQ:AQ,INPUT_DATA!$A:$A,$B68,INPUT_DATA!$C:$C,"S"))</f>
        <v/>
      </c>
      <c r="AS68" s="749" t="str">
        <f t="shared" si="29"/>
        <v/>
      </c>
      <c r="AT68" s="750" t="str">
        <f t="shared" si="30"/>
        <v/>
      </c>
      <c r="AU68" s="751" t="str">
        <f t="shared" si="31"/>
        <v/>
      </c>
      <c r="AV68" s="749" t="str">
        <f>IF($B68=0,"",SUMIFS(INPUT_DATA!AR:AR,INPUT_DATA!$A:$A,$B68,INPUT_DATA!$C:$C,"S"))</f>
        <v/>
      </c>
      <c r="AW68" s="750" t="str">
        <f>IF($B68=0,"",SUMIFS(INPUT_DATA!AS:AS,INPUT_DATA!$A:$A,$B68,INPUT_DATA!$C:$C,"S"))</f>
        <v/>
      </c>
      <c r="AX68" s="751" t="str">
        <f>IF($B68=0,"",SUMIFS(INPUT_DATA!AT:AT,INPUT_DATA!$A:$A,$B68,INPUT_DATA!$C:$C,"S"))</f>
        <v/>
      </c>
      <c r="AY68" s="749" t="str">
        <f t="shared" si="15"/>
        <v/>
      </c>
      <c r="AZ68" s="750" t="str">
        <f t="shared" si="16"/>
        <v/>
      </c>
      <c r="BA68" s="751" t="str">
        <f t="shared" si="17"/>
        <v/>
      </c>
      <c r="BB68" s="150"/>
      <c r="BC68" s="738" t="str">
        <f>IF($B68=0,"",SUMIFS(INPUT_DATA!D:D,INPUT_DATA!$A:$A,$B68,INPUT_DATA!$C:$C,"D"))</f>
        <v/>
      </c>
      <c r="BD68" s="312" t="str">
        <f>IF($B68=0,"",SUMIFS(INPUT_DATA!F:F,INPUT_DATA!$A:$A,$B68,INPUT_DATA!$C:$C,"D"))</f>
        <v/>
      </c>
      <c r="BE68" s="312" t="str">
        <f>IF($B68=0,"",SUMIFS(INPUT_DATA!G:G,INPUT_DATA!$A:$A,$B68,INPUT_DATA!$C:$C,"D"))</f>
        <v/>
      </c>
      <c r="BF68" s="312" t="str">
        <f>IF($B68=0,"",SUMIFS(INPUT_DATA!H:H,INPUT_DATA!$A:$A,$B68,INPUT_DATA!$C:$C,"D"))</f>
        <v/>
      </c>
      <c r="BG68" s="312" t="str">
        <f>IF($B68=0,"",SUMIFS(INPUT_DATA!I:I,INPUT_DATA!$A:$A,$B68,INPUT_DATA!$C:$C,"D"))</f>
        <v/>
      </c>
      <c r="BH68" s="312" t="str">
        <f>IF($B68=0,"",SUMIFS(INPUT_DATA!J:J,INPUT_DATA!$A:$A,$B68,INPUT_DATA!$C:$C,"D"))</f>
        <v/>
      </c>
      <c r="BI68" s="312" t="str">
        <f>IF($B68=0,"",SUMIFS(INPUT_DATA!K:K,INPUT_DATA!$A:$A,$B68,INPUT_DATA!$C:$C,"D"))</f>
        <v/>
      </c>
      <c r="BJ68" s="312" t="str">
        <f>IF($B68=0,"",SUMIFS(INPUT_DATA!L:L,INPUT_DATA!$A:$A,$B68,INPUT_DATA!$C:$C,"D"))</f>
        <v/>
      </c>
      <c r="BK68" s="312" t="str">
        <f>IF($B68=0,"",SUMIFS(INPUT_DATA!M:M,INPUT_DATA!$A:$A,$B68,INPUT_DATA!$C:$C,"D"))</f>
        <v/>
      </c>
      <c r="BL68" s="312" t="str">
        <f>IF($B68=0,"",SUMIFS(INPUT_DATA!N:N,INPUT_DATA!$A:$A,$B68,INPUT_DATA!$C:$C,"D"))</f>
        <v/>
      </c>
      <c r="BM68" s="312" t="str">
        <f>IF($B68=0,"",SUMIFS(INPUT_DATA!O:O,INPUT_DATA!$A:$A,$B68,INPUT_DATA!$C:$C,"D"))</f>
        <v/>
      </c>
      <c r="BN68" s="754" t="str">
        <f t="shared" si="18"/>
        <v/>
      </c>
      <c r="BO68" s="754" t="str">
        <f>IF($B68=0,"",SUMIFS(INPUT_DATA!O:O,INPUT_DATA!$A:$A,$B68,INPUT_DATA!$C:$C,"D"))</f>
        <v/>
      </c>
      <c r="BP68" s="754" t="str">
        <f t="shared" si="19"/>
        <v/>
      </c>
      <c r="BQ68" s="738" t="str">
        <f>IF($B68=0,"",SUMIFS(INPUT_DATA!Q:Q,INPUT_DATA!$A:$A,$B68,INPUT_DATA!$C:$C,"D"))</f>
        <v/>
      </c>
      <c r="BR68" s="760" t="str">
        <f>IF($B68=0,"",SUMIFS(INPUT_DATA!R:R,INPUT_DATA!$A:$A,$B68,INPUT_DATA!$C:$C,"D"))</f>
        <v/>
      </c>
      <c r="BS68" s="760" t="str">
        <f>IF($B68=0,"",SUMIFS(INPUT_DATA!S:S,INPUT_DATA!$A:$A,$B68,INPUT_DATA!$C:$C,"D"))</f>
        <v/>
      </c>
      <c r="BT68" s="312" t="str">
        <f>IF($B68=0,"",SUMIFS(INPUT_DATA!T:T,INPUT_DATA!$A:$A,$B68,INPUT_DATA!$C:$C,"D"))</f>
        <v/>
      </c>
      <c r="BU68" s="312" t="str">
        <f>IF($B68=0,"",SUMIFS(INPUT_DATA!U:U,INPUT_DATA!$A:$A,$B68,INPUT_DATA!$C:$C,"D"))</f>
        <v/>
      </c>
      <c r="BV68" s="312" t="str">
        <f>IF($B68=0,"",SUMIFS(INPUT_DATA!V:V,INPUT_DATA!$A:$A,$B68,INPUT_DATA!$C:$C,"D"))</f>
        <v/>
      </c>
      <c r="BW68" s="312" t="str">
        <f>IF($B68=0,"",SUMIFS(INPUT_DATA!W:W,INPUT_DATA!$A:$A,$B68,INPUT_DATA!$C:$C,"D"))</f>
        <v/>
      </c>
      <c r="BX68" s="312" t="str">
        <f>IF($B68=0,"",SUMIFS(INPUT_DATA!X:X,INPUT_DATA!$A:$A,$B68,INPUT_DATA!$C:$C,"D"))</f>
        <v/>
      </c>
      <c r="BY68" s="312" t="str">
        <f>IF($B68=0,"",SUMIFS(INPUT_DATA!Y:Y,INPUT_DATA!$A:$A,$B68,INPUT_DATA!$C:$C,"D"))</f>
        <v/>
      </c>
      <c r="BZ68" s="353" t="str">
        <f>IF($B68=0,"",SUMIFS(INPUT_DATA!Z:Z,INPUT_DATA!$A:$A,$B68,INPUT_DATA!$C:$C,"D"))</f>
        <v/>
      </c>
      <c r="CA68" s="353" t="str">
        <f>IF($B68=0,"",SUMIFS(INPUT_DATA!AA:AA,INPUT_DATA!$A:$A,$B68,INPUT_DATA!$C:$C,"D"))</f>
        <v/>
      </c>
      <c r="CB68" s="353" t="str">
        <f>IF($B68=0,"",SUMIFS(INPUT_DATA!AB:AB,INPUT_DATA!$A:$A,$B68,INPUT_DATA!$C:$C,"D"))</f>
        <v/>
      </c>
      <c r="CC68" s="312" t="str">
        <f>IF($B68=0,"",SUMIFS(INPUT_DATA!AC:AC,INPUT_DATA!$A:$A,$B68,INPUT_DATA!$C:$C,"D"))</f>
        <v/>
      </c>
      <c r="CD68" s="312" t="str">
        <f>IF($B68=0,"",SUMIFS(INPUT_DATA!AD:AD,INPUT_DATA!$A:$A,$B68,INPUT_DATA!$C:$C,"D"))</f>
        <v/>
      </c>
      <c r="CE68" s="312" t="str">
        <f>IF($B68=0,"",SUMIFS(INPUT_DATA!AE:AE,INPUT_DATA!$A:$A,$B68,INPUT_DATA!$C:$C,"D"))</f>
        <v/>
      </c>
      <c r="CF68" s="353" t="str">
        <f>IF($B68=0,"",SUMIFS(INPUT_DATA!AF:AF,INPUT_DATA!$A:$A,$B68,INPUT_DATA!$C:$C,"D"))</f>
        <v/>
      </c>
      <c r="CG68" s="353" t="str">
        <f>IF($B68=0,"",SUMIFS(INPUT_DATA!AG:AG,INPUT_DATA!$A:$A,$B68,INPUT_DATA!$C:$C,"D"))</f>
        <v/>
      </c>
      <c r="CH68" s="353" t="str">
        <f>IF($B68=0,"",SUMIFS(INPUT_DATA!AH:AH,INPUT_DATA!$A:$A,$B68,INPUT_DATA!$C:$C,"D"))</f>
        <v/>
      </c>
      <c r="CI68" s="153" t="str">
        <f>IF($B68=0,"",SUMIFS(INPUT_DATA!AI:AI,INPUT_DATA!$A:$A,$B68,INPUT_DATA!$C:$C,"D"))</f>
        <v/>
      </c>
      <c r="CJ68" s="153" t="str">
        <f>IF($B68=0,"",SUMIFS(INPUT_DATA!AJ:AJ,INPUT_DATA!$A:$A,$B68,INPUT_DATA!$C:$C,"D"))</f>
        <v/>
      </c>
      <c r="CK68" s="153" t="str">
        <f>IF($B68=0,"",SUMIFS(INPUT_DATA!AK:AK,INPUT_DATA!$A:$A,$B68,INPUT_DATA!$C:$C,"D"))</f>
        <v/>
      </c>
      <c r="CL68" s="153" t="str">
        <f>IF($B68=0,"",SUMIFS(INPUT_DATA!AL:AL,INPUT_DATA!$A:$A,$B68,INPUT_DATA!$C:$C,"D"))</f>
        <v/>
      </c>
      <c r="CM68" s="153" t="str">
        <f>IF($B68=0,"",SUMIFS(INPUT_DATA!AM:AM,INPUT_DATA!$A:$A,$B68,INPUT_DATA!$C:$C,"D"))</f>
        <v/>
      </c>
      <c r="CN68" s="153" t="str">
        <f>IF($B68=0,"",SUMIFS(INPUT_DATA!AN:AN,INPUT_DATA!$A:$A,$B68,INPUT_DATA!$C:$C,"D"))</f>
        <v/>
      </c>
      <c r="CO68" s="153" t="str">
        <f>IF($B68=0,"",SUMIFS(INPUT_DATA!AO:AO,INPUT_DATA!$A:$A,$B68,INPUT_DATA!$C:$C,"D"))</f>
        <v/>
      </c>
      <c r="CP68" s="153" t="str">
        <f>IF($B68=0,"",SUMIFS(INPUT_DATA!AP:AP,INPUT_DATA!$A:$A,$B68,INPUT_DATA!$C:$C,"D"))</f>
        <v/>
      </c>
      <c r="CQ68" s="153" t="str">
        <f>IF($B68=0,"",SUMIFS(INPUT_DATA!AQ:AQ,INPUT_DATA!$A:$A,$B68,INPUT_DATA!$C:$C,"D"))</f>
        <v/>
      </c>
      <c r="CR68" s="750" t="str">
        <f t="shared" si="32"/>
        <v/>
      </c>
      <c r="CS68" s="750" t="str">
        <f t="shared" si="33"/>
        <v/>
      </c>
      <c r="CT68" s="750" t="str">
        <f t="shared" si="34"/>
        <v/>
      </c>
      <c r="CU68" s="739" t="str">
        <f>IF($B68=0,"",SUMIFS(INPUT_DATA!AR:AR,INPUT_DATA!$A:$A,$B68,INPUT_DATA!$C:$C,"D"))</f>
        <v/>
      </c>
      <c r="CV68" s="739" t="str">
        <f>IF($B68=0,"",SUMIFS(INPUT_DATA!AS:AS,INPUT_DATA!$A:$A,$B68,INPUT_DATA!$C:$C,"D"))</f>
        <v/>
      </c>
      <c r="CW68" s="739" t="str">
        <f>IF($B68=0,"",SUMIFS(INPUT_DATA!AT:AT,INPUT_DATA!$A:$A,$B68,INPUT_DATA!$C:$C,"D"))</f>
        <v/>
      </c>
      <c r="CX68" s="739" t="str">
        <f t="shared" si="35"/>
        <v/>
      </c>
      <c r="CY68" s="750" t="str">
        <f t="shared" si="36"/>
        <v/>
      </c>
      <c r="CZ68" s="761" t="str">
        <f t="shared" si="37"/>
        <v/>
      </c>
      <c r="DA68" s="150"/>
    </row>
    <row r="69" spans="1:105" ht="13" x14ac:dyDescent="0.25">
      <c r="A69" s="172">
        <f t="shared" si="40"/>
        <v>-22</v>
      </c>
      <c r="B69" s="733">
        <f>INPUT_DATA!BQ56</f>
        <v>0</v>
      </c>
      <c r="C69" s="738" t="str">
        <f>IF($B69=0,"",SUMIFS(INPUT_DATA!D:D,INPUT_DATA!$A:$A,$B69,INPUT_DATA!$C:$C,"S"))</f>
        <v/>
      </c>
      <c r="D69" s="739" t="str">
        <f>IF($B69=0,"",SUMIFS(INPUT_DATA!E:E,INPUT_DATA!$A:$A,$B69,INPUT_DATA!$C:$C,"S"))</f>
        <v/>
      </c>
      <c r="E69" s="740" t="str">
        <f>IF($B69=0,"",SUMIFS(INPUT_DATA!F:F,INPUT_DATA!$A:$A,$B69,INPUT_DATA!$C:$C,"S"))</f>
        <v/>
      </c>
      <c r="F69" s="740" t="str">
        <f>IF($B69=0,"",SUMIFS(INPUT_DATA!G:G,INPUT_DATA!$A:$A,$B69,INPUT_DATA!$C:$C,"S"))</f>
        <v/>
      </c>
      <c r="G69" s="740" t="str">
        <f>IF($B69=0,"",SUMIFS(INPUT_DATA!H:H,INPUT_DATA!$A:$A,$B69,INPUT_DATA!$C:$C,"S"))</f>
        <v/>
      </c>
      <c r="H69" s="740" t="str">
        <f>IF($B69=0,"",SUMIFS(INPUT_DATA!I:I,INPUT_DATA!$A:$A,$B69,INPUT_DATA!$C:$C,"S"))</f>
        <v/>
      </c>
      <c r="I69" s="740" t="str">
        <f>IF($B69=0,"",SUMIFS(INPUT_DATA!J:J,INPUT_DATA!$A:$A,$B69,INPUT_DATA!$C:$C,"S"))</f>
        <v/>
      </c>
      <c r="J69" s="740" t="str">
        <f>IF($B69=0,"",SUMIFS(INPUT_DATA!K:K,INPUT_DATA!$A:$A,$B69,INPUT_DATA!$C:$C,"S"))</f>
        <v/>
      </c>
      <c r="K69" s="740" t="str">
        <f>IF($B69=0,"",SUMIFS(INPUT_DATA!L:L,INPUT_DATA!$A:$A,$B69,INPUT_DATA!$C:$C,"S"))</f>
        <v/>
      </c>
      <c r="L69" s="740" t="str">
        <f>IF($B69=0,"",SUMIFS(INPUT_DATA!M:M,INPUT_DATA!$A:$A,$B69,INPUT_DATA!$C:$C,"S"))</f>
        <v/>
      </c>
      <c r="M69" s="740" t="str">
        <f>IF($B69=0,"",SUMIFS(INPUT_DATA!N:N,INPUT_DATA!$A:$A,$B69,INPUT_DATA!$C:$C,"S"))</f>
        <v/>
      </c>
      <c r="N69" s="740" t="str">
        <f>IF($B69=0,"",SUMIFS(INPUT_DATA!O:O,INPUT_DATA!$A:$A,$B69,INPUT_DATA!$C:$C,"S"))</f>
        <v/>
      </c>
      <c r="O69" s="741" t="str">
        <f t="shared" si="38"/>
        <v/>
      </c>
      <c r="P69" s="742" t="str">
        <f>IF($B69=0,"",SUMIFS(INPUT_DATA!P:P,INPUT_DATA!$A:$A,$B69,INPUT_DATA!$C:$C,"S"))</f>
        <v/>
      </c>
      <c r="Q69" s="742" t="str">
        <f t="shared" si="39"/>
        <v/>
      </c>
      <c r="R69" s="748" t="str">
        <f>IF($B69=0,"",SUMIFS(INPUT_DATA!Q:Q,INPUT_DATA!$A:$A,$B69,INPUT_DATA!$C:$C,"S"))</f>
        <v/>
      </c>
      <c r="S69" s="748" t="str">
        <f>IF($B69=0,"",SUMIFS(INPUT_DATA!R:R,INPUT_DATA!$A:$A,$B69,INPUT_DATA!$C:$C,"S"))</f>
        <v/>
      </c>
      <c r="T69" s="748" t="str">
        <f>IF($B69=0,"",SUMIFS(INPUT_DATA!S:S,INPUT_DATA!$A:$A,$B69,INPUT_DATA!$C:$C,"S"))</f>
        <v/>
      </c>
      <c r="U69" s="313" t="str">
        <f>IF($B69=0,"",SUMIFS(INPUT_DATA!T:T,INPUT_DATA!$A:$A,$B69,INPUT_DATA!$C:$C,"S"))</f>
        <v/>
      </c>
      <c r="V69" s="313" t="str">
        <f>IF($B69=0,"",SUMIFS(INPUT_DATA!U:U,INPUT_DATA!$A:$A,$B69,INPUT_DATA!$C:$C,"S"))</f>
        <v/>
      </c>
      <c r="W69" s="313" t="str">
        <f>IF($B69=0,"",SUMIFS(INPUT_DATA!V:V,INPUT_DATA!$A:$A,$B69,INPUT_DATA!$C:$C,"S"))</f>
        <v/>
      </c>
      <c r="X69" s="313" t="str">
        <f>IF($B69=0,"",SUMIFS(INPUT_DATA!W:W,INPUT_DATA!$A:$A,$B69,INPUT_DATA!$C:$C,"S"))</f>
        <v/>
      </c>
      <c r="Y69" s="313" t="str">
        <f>IF($B69=0,"",SUMIFS(INPUT_DATA!X:X,INPUT_DATA!$A:$A,$B69,INPUT_DATA!$C:$C,"S"))</f>
        <v/>
      </c>
      <c r="Z69" s="313" t="str">
        <f>IF($B69=0,"",SUMIFS(INPUT_DATA!Y:Y,INPUT_DATA!$A:$A,$B69,INPUT_DATA!$C:$C,"S"))</f>
        <v/>
      </c>
      <c r="AA69" s="313" t="str">
        <f>IF($B69=0,"",SUMIFS(INPUT_DATA!Z:Z,INPUT_DATA!$A:$A,$B69,INPUT_DATA!$C:$C,"S"))</f>
        <v/>
      </c>
      <c r="AB69" s="313" t="str">
        <f>IF($B69=0,"",SUMIFS(INPUT_DATA!AA:AA,INPUT_DATA!$A:$A,$B69,INPUT_DATA!$C:$C,"S"))</f>
        <v/>
      </c>
      <c r="AC69" s="313" t="str">
        <f>IF($B69=0,"",SUMIFS(INPUT_DATA!AB:AB,INPUT_DATA!$A:$A,$B69,INPUT_DATA!$C:$C,"S"))</f>
        <v/>
      </c>
      <c r="AD69" s="313" t="str">
        <f>IF($B69=0,"",SUMIFS(INPUT_DATA!AC:AC,INPUT_DATA!$A:$A,$B69,INPUT_DATA!$C:$C,"S"))</f>
        <v/>
      </c>
      <c r="AE69" s="313" t="str">
        <f>IF($B69=0,"",SUMIFS(INPUT_DATA!AD:AD,INPUT_DATA!$A:$A,$B69,INPUT_DATA!$C:$C,"S"))</f>
        <v/>
      </c>
      <c r="AF69" s="313" t="str">
        <f>IF($B69=0,"",SUMIFS(INPUT_DATA!AE:AE,INPUT_DATA!$A:$A,$B69,INPUT_DATA!$C:$C,"S"))</f>
        <v/>
      </c>
      <c r="AG69" s="313" t="str">
        <f>IF($B69=0,"",SUMIFS(INPUT_DATA!AF:AF,INPUT_DATA!$A:$A,$B69,INPUT_DATA!$C:$C,"S"))</f>
        <v/>
      </c>
      <c r="AH69" s="313" t="str">
        <f>IF($B69=0,"",SUMIFS(INPUT_DATA!AG:AG,INPUT_DATA!$A:$A,$B69,INPUT_DATA!$C:$C,"S"))</f>
        <v/>
      </c>
      <c r="AI69" s="313" t="str">
        <f>IF($B69=0,"",SUMIFS(INPUT_DATA!AH:AH,INPUT_DATA!$A:$A,$B69,INPUT_DATA!$C:$C,"S"))</f>
        <v/>
      </c>
      <c r="AJ69" s="313" t="str">
        <f>IF($B69=0,"",SUMIFS(INPUT_DATA!AI:AI,INPUT_DATA!$A:$A,$B69,INPUT_DATA!$C:$C,"S"))</f>
        <v/>
      </c>
      <c r="AK69" s="313" t="str">
        <f>IF($B69=0,"",SUMIFS(INPUT_DATA!AJ:AJ,INPUT_DATA!$A:$A,$B69,INPUT_DATA!$C:$C,"S"))</f>
        <v/>
      </c>
      <c r="AL69" s="313" t="str">
        <f>IF($B69=0,"",SUMIFS(INPUT_DATA!AK:AK,INPUT_DATA!$A:$A,$B69,INPUT_DATA!$C:$C,"S"))</f>
        <v/>
      </c>
      <c r="AM69" s="313" t="str">
        <f>IF($B69=0,"",SUMIFS(INPUT_DATA!AL:AL,INPUT_DATA!$A:$A,$B69,INPUT_DATA!$C:$C,"S"))</f>
        <v/>
      </c>
      <c r="AN69" s="313" t="str">
        <f>IF($B69=0,"",SUMIFS(INPUT_DATA!AM:AM,INPUT_DATA!$A:$A,$B69,INPUT_DATA!$C:$C,"S"))</f>
        <v/>
      </c>
      <c r="AO69" s="313" t="str">
        <f>IF($B69=0,"",SUMIFS(INPUT_DATA!AN:AN,INPUT_DATA!$A:$A,$B69,INPUT_DATA!$C:$C,"S"))</f>
        <v/>
      </c>
      <c r="AP69" s="313" t="str">
        <f>IF($B69=0,"",SUMIFS(INPUT_DATA!AO:AO,INPUT_DATA!$A:$A,$B69,INPUT_DATA!$C:$C,"S"))</f>
        <v/>
      </c>
      <c r="AQ69" s="313" t="str">
        <f>IF($B69=0,"",SUMIFS(INPUT_DATA!AP:AP,INPUT_DATA!$A:$A,$B69,INPUT_DATA!$C:$C,"S"))</f>
        <v/>
      </c>
      <c r="AR69" s="313" t="str">
        <f>IF($B69=0,"",SUMIFS(INPUT_DATA!AQ:AQ,INPUT_DATA!$A:$A,$B69,INPUT_DATA!$C:$C,"S"))</f>
        <v/>
      </c>
      <c r="AS69" s="749" t="str">
        <f t="shared" si="29"/>
        <v/>
      </c>
      <c r="AT69" s="750" t="str">
        <f t="shared" si="30"/>
        <v/>
      </c>
      <c r="AU69" s="751" t="str">
        <f t="shared" si="31"/>
        <v/>
      </c>
      <c r="AV69" s="749" t="str">
        <f>IF($B69=0,"",SUMIFS(INPUT_DATA!AR:AR,INPUT_DATA!$A:$A,$B69,INPUT_DATA!$C:$C,"S"))</f>
        <v/>
      </c>
      <c r="AW69" s="750" t="str">
        <f>IF($B69=0,"",SUMIFS(INPUT_DATA!AS:AS,INPUT_DATA!$A:$A,$B69,INPUT_DATA!$C:$C,"S"))</f>
        <v/>
      </c>
      <c r="AX69" s="751" t="str">
        <f>IF($B69=0,"",SUMIFS(INPUT_DATA!AT:AT,INPUT_DATA!$A:$A,$B69,INPUT_DATA!$C:$C,"S"))</f>
        <v/>
      </c>
      <c r="AY69" s="749" t="str">
        <f t="shared" si="15"/>
        <v/>
      </c>
      <c r="AZ69" s="750" t="str">
        <f t="shared" si="16"/>
        <v/>
      </c>
      <c r="BA69" s="751" t="str">
        <f t="shared" si="17"/>
        <v/>
      </c>
      <c r="BB69" s="150"/>
      <c r="BC69" s="738" t="str">
        <f>IF($B69=0,"",SUMIFS(INPUT_DATA!D:D,INPUT_DATA!$A:$A,$B69,INPUT_DATA!$C:$C,"D"))</f>
        <v/>
      </c>
      <c r="BD69" s="312" t="str">
        <f>IF($B69=0,"",SUMIFS(INPUT_DATA!F:F,INPUT_DATA!$A:$A,$B69,INPUT_DATA!$C:$C,"D"))</f>
        <v/>
      </c>
      <c r="BE69" s="312" t="str">
        <f>IF($B69=0,"",SUMIFS(INPUT_DATA!G:G,INPUT_DATA!$A:$A,$B69,INPUT_DATA!$C:$C,"D"))</f>
        <v/>
      </c>
      <c r="BF69" s="312" t="str">
        <f>IF($B69=0,"",SUMIFS(INPUT_DATA!H:H,INPUT_DATA!$A:$A,$B69,INPUT_DATA!$C:$C,"D"))</f>
        <v/>
      </c>
      <c r="BG69" s="312" t="str">
        <f>IF($B69=0,"",SUMIFS(INPUT_DATA!I:I,INPUT_DATA!$A:$A,$B69,INPUT_DATA!$C:$C,"D"))</f>
        <v/>
      </c>
      <c r="BH69" s="312" t="str">
        <f>IF($B69=0,"",SUMIFS(INPUT_DATA!J:J,INPUT_DATA!$A:$A,$B69,INPUT_DATA!$C:$C,"D"))</f>
        <v/>
      </c>
      <c r="BI69" s="312" t="str">
        <f>IF($B69=0,"",SUMIFS(INPUT_DATA!K:K,INPUT_DATA!$A:$A,$B69,INPUT_DATA!$C:$C,"D"))</f>
        <v/>
      </c>
      <c r="BJ69" s="312" t="str">
        <f>IF($B69=0,"",SUMIFS(INPUT_DATA!L:L,INPUT_DATA!$A:$A,$B69,INPUT_DATA!$C:$C,"D"))</f>
        <v/>
      </c>
      <c r="BK69" s="312" t="str">
        <f>IF($B69=0,"",SUMIFS(INPUT_DATA!M:M,INPUT_DATA!$A:$A,$B69,INPUT_DATA!$C:$C,"D"))</f>
        <v/>
      </c>
      <c r="BL69" s="312" t="str">
        <f>IF($B69=0,"",SUMIFS(INPUT_DATA!N:N,INPUT_DATA!$A:$A,$B69,INPUT_DATA!$C:$C,"D"))</f>
        <v/>
      </c>
      <c r="BM69" s="312" t="str">
        <f>IF($B69=0,"",SUMIFS(INPUT_DATA!O:O,INPUT_DATA!$A:$A,$B69,INPUT_DATA!$C:$C,"D"))</f>
        <v/>
      </c>
      <c r="BN69" s="754" t="str">
        <f t="shared" si="18"/>
        <v/>
      </c>
      <c r="BO69" s="754" t="str">
        <f>IF($B69=0,"",SUMIFS(INPUT_DATA!O:O,INPUT_DATA!$A:$A,$B69,INPUT_DATA!$C:$C,"D"))</f>
        <v/>
      </c>
      <c r="BP69" s="754" t="str">
        <f t="shared" si="19"/>
        <v/>
      </c>
      <c r="BQ69" s="738" t="str">
        <f>IF($B69=0,"",SUMIFS(INPUT_DATA!Q:Q,INPUT_DATA!$A:$A,$B69,INPUT_DATA!$C:$C,"D"))</f>
        <v/>
      </c>
      <c r="BR69" s="760" t="str">
        <f>IF($B69=0,"",SUMIFS(INPUT_DATA!R:R,INPUT_DATA!$A:$A,$B69,INPUT_DATA!$C:$C,"D"))</f>
        <v/>
      </c>
      <c r="BS69" s="760" t="str">
        <f>IF($B69=0,"",SUMIFS(INPUT_DATA!S:S,INPUT_DATA!$A:$A,$B69,INPUT_DATA!$C:$C,"D"))</f>
        <v/>
      </c>
      <c r="BT69" s="312" t="str">
        <f>IF($B69=0,"",SUMIFS(INPUT_DATA!T:T,INPUT_DATA!$A:$A,$B69,INPUT_DATA!$C:$C,"D"))</f>
        <v/>
      </c>
      <c r="BU69" s="312" t="str">
        <f>IF($B69=0,"",SUMIFS(INPUT_DATA!U:U,INPUT_DATA!$A:$A,$B69,INPUT_DATA!$C:$C,"D"))</f>
        <v/>
      </c>
      <c r="BV69" s="312" t="str">
        <f>IF($B69=0,"",SUMIFS(INPUT_DATA!V:V,INPUT_DATA!$A:$A,$B69,INPUT_DATA!$C:$C,"D"))</f>
        <v/>
      </c>
      <c r="BW69" s="312" t="str">
        <f>IF($B69=0,"",SUMIFS(INPUT_DATA!W:W,INPUT_DATA!$A:$A,$B69,INPUT_DATA!$C:$C,"D"))</f>
        <v/>
      </c>
      <c r="BX69" s="312" t="str">
        <f>IF($B69=0,"",SUMIFS(INPUT_DATA!X:X,INPUT_DATA!$A:$A,$B69,INPUT_DATA!$C:$C,"D"))</f>
        <v/>
      </c>
      <c r="BY69" s="312" t="str">
        <f>IF($B69=0,"",SUMIFS(INPUT_DATA!Y:Y,INPUT_DATA!$A:$A,$B69,INPUT_DATA!$C:$C,"D"))</f>
        <v/>
      </c>
      <c r="BZ69" s="353" t="str">
        <f>IF($B69=0,"",SUMIFS(INPUT_DATA!Z:Z,INPUT_DATA!$A:$A,$B69,INPUT_DATA!$C:$C,"D"))</f>
        <v/>
      </c>
      <c r="CA69" s="353" t="str">
        <f>IF($B69=0,"",SUMIFS(INPUT_DATA!AA:AA,INPUT_DATA!$A:$A,$B69,INPUT_DATA!$C:$C,"D"))</f>
        <v/>
      </c>
      <c r="CB69" s="353" t="str">
        <f>IF($B69=0,"",SUMIFS(INPUT_DATA!AB:AB,INPUT_DATA!$A:$A,$B69,INPUT_DATA!$C:$C,"D"))</f>
        <v/>
      </c>
      <c r="CC69" s="312" t="str">
        <f>IF($B69=0,"",SUMIFS(INPUT_DATA!AC:AC,INPUT_DATA!$A:$A,$B69,INPUT_DATA!$C:$C,"D"))</f>
        <v/>
      </c>
      <c r="CD69" s="312" t="str">
        <f>IF($B69=0,"",SUMIFS(INPUT_DATA!AD:AD,INPUT_DATA!$A:$A,$B69,INPUT_DATA!$C:$C,"D"))</f>
        <v/>
      </c>
      <c r="CE69" s="312" t="str">
        <f>IF($B69=0,"",SUMIFS(INPUT_DATA!AE:AE,INPUT_DATA!$A:$A,$B69,INPUT_DATA!$C:$C,"D"))</f>
        <v/>
      </c>
      <c r="CF69" s="353" t="str">
        <f>IF($B69=0,"",SUMIFS(INPUT_DATA!AF:AF,INPUT_DATA!$A:$A,$B69,INPUT_DATA!$C:$C,"D"))</f>
        <v/>
      </c>
      <c r="CG69" s="353" t="str">
        <f>IF($B69=0,"",SUMIFS(INPUT_DATA!AG:AG,INPUT_DATA!$A:$A,$B69,INPUT_DATA!$C:$C,"D"))</f>
        <v/>
      </c>
      <c r="CH69" s="353" t="str">
        <f>IF($B69=0,"",SUMIFS(INPUT_DATA!AH:AH,INPUT_DATA!$A:$A,$B69,INPUT_DATA!$C:$C,"D"))</f>
        <v/>
      </c>
      <c r="CI69" s="153" t="str">
        <f>IF($B69=0,"",SUMIFS(INPUT_DATA!AI:AI,INPUT_DATA!$A:$A,$B69,INPUT_DATA!$C:$C,"D"))</f>
        <v/>
      </c>
      <c r="CJ69" s="153" t="str">
        <f>IF($B69=0,"",SUMIFS(INPUT_DATA!AJ:AJ,INPUT_DATA!$A:$A,$B69,INPUT_DATA!$C:$C,"D"))</f>
        <v/>
      </c>
      <c r="CK69" s="153" t="str">
        <f>IF($B69=0,"",SUMIFS(INPUT_DATA!AK:AK,INPUT_DATA!$A:$A,$B69,INPUT_DATA!$C:$C,"D"))</f>
        <v/>
      </c>
      <c r="CL69" s="153" t="str">
        <f>IF($B69=0,"",SUMIFS(INPUT_DATA!AL:AL,INPUT_DATA!$A:$A,$B69,INPUT_DATA!$C:$C,"D"))</f>
        <v/>
      </c>
      <c r="CM69" s="153" t="str">
        <f>IF($B69=0,"",SUMIFS(INPUT_DATA!AM:AM,INPUT_DATA!$A:$A,$B69,INPUT_DATA!$C:$C,"D"))</f>
        <v/>
      </c>
      <c r="CN69" s="153" t="str">
        <f>IF($B69=0,"",SUMIFS(INPUT_DATA!AN:AN,INPUT_DATA!$A:$A,$B69,INPUT_DATA!$C:$C,"D"))</f>
        <v/>
      </c>
      <c r="CO69" s="153" t="str">
        <f>IF($B69=0,"",SUMIFS(INPUT_DATA!AO:AO,INPUT_DATA!$A:$A,$B69,INPUT_DATA!$C:$C,"D"))</f>
        <v/>
      </c>
      <c r="CP69" s="153" t="str">
        <f>IF($B69=0,"",SUMIFS(INPUT_DATA!AP:AP,INPUT_DATA!$A:$A,$B69,INPUT_DATA!$C:$C,"D"))</f>
        <v/>
      </c>
      <c r="CQ69" s="153" t="str">
        <f>IF($B69=0,"",SUMIFS(INPUT_DATA!AQ:AQ,INPUT_DATA!$A:$A,$B69,INPUT_DATA!$C:$C,"D"))</f>
        <v/>
      </c>
      <c r="CR69" s="750" t="str">
        <f t="shared" si="32"/>
        <v/>
      </c>
      <c r="CS69" s="750" t="str">
        <f t="shared" si="33"/>
        <v/>
      </c>
      <c r="CT69" s="750" t="str">
        <f t="shared" si="34"/>
        <v/>
      </c>
      <c r="CU69" s="739" t="str">
        <f>IF($B69=0,"",SUMIFS(INPUT_DATA!AR:AR,INPUT_DATA!$A:$A,$B69,INPUT_DATA!$C:$C,"D"))</f>
        <v/>
      </c>
      <c r="CV69" s="739" t="str">
        <f>IF($B69=0,"",SUMIFS(INPUT_DATA!AS:AS,INPUT_DATA!$A:$A,$B69,INPUT_DATA!$C:$C,"D"))</f>
        <v/>
      </c>
      <c r="CW69" s="739" t="str">
        <f>IF($B69=0,"",SUMIFS(INPUT_DATA!AT:AT,INPUT_DATA!$A:$A,$B69,INPUT_DATA!$C:$C,"D"))</f>
        <v/>
      </c>
      <c r="CX69" s="739" t="str">
        <f t="shared" si="35"/>
        <v/>
      </c>
      <c r="CY69" s="750" t="str">
        <f t="shared" si="36"/>
        <v/>
      </c>
      <c r="CZ69" s="761" t="str">
        <f t="shared" si="37"/>
        <v/>
      </c>
      <c r="DA69" s="150"/>
    </row>
    <row r="70" spans="1:105" ht="13" x14ac:dyDescent="0.25">
      <c r="A70" s="172">
        <f t="shared" si="40"/>
        <v>-23</v>
      </c>
      <c r="B70" s="733">
        <f>INPUT_DATA!BQ57</f>
        <v>0</v>
      </c>
      <c r="C70" s="738" t="str">
        <f>IF($B70=0,"",SUMIFS(INPUT_DATA!D:D,INPUT_DATA!$A:$A,$B70,INPUT_DATA!$C:$C,"S"))</f>
        <v/>
      </c>
      <c r="D70" s="739" t="str">
        <f>IF($B70=0,"",SUMIFS(INPUT_DATA!E:E,INPUT_DATA!$A:$A,$B70,INPUT_DATA!$C:$C,"S"))</f>
        <v/>
      </c>
      <c r="E70" s="740" t="str">
        <f>IF($B70=0,"",SUMIFS(INPUT_DATA!F:F,INPUT_DATA!$A:$A,$B70,INPUT_DATA!$C:$C,"S"))</f>
        <v/>
      </c>
      <c r="F70" s="740" t="str">
        <f>IF($B70=0,"",SUMIFS(INPUT_DATA!G:G,INPUT_DATA!$A:$A,$B70,INPUT_DATA!$C:$C,"S"))</f>
        <v/>
      </c>
      <c r="G70" s="740" t="str">
        <f>IF($B70=0,"",SUMIFS(INPUT_DATA!H:H,INPUT_DATA!$A:$A,$B70,INPUT_DATA!$C:$C,"S"))</f>
        <v/>
      </c>
      <c r="H70" s="740" t="str">
        <f>IF($B70=0,"",SUMIFS(INPUT_DATA!I:I,INPUT_DATA!$A:$A,$B70,INPUT_DATA!$C:$C,"S"))</f>
        <v/>
      </c>
      <c r="I70" s="740" t="str">
        <f>IF($B70=0,"",SUMIFS(INPUT_DATA!J:J,INPUT_DATA!$A:$A,$B70,INPUT_DATA!$C:$C,"S"))</f>
        <v/>
      </c>
      <c r="J70" s="740" t="str">
        <f>IF($B70=0,"",SUMIFS(INPUT_DATA!K:K,INPUT_DATA!$A:$A,$B70,INPUT_DATA!$C:$C,"S"))</f>
        <v/>
      </c>
      <c r="K70" s="740" t="str">
        <f>IF($B70=0,"",SUMIFS(INPUT_DATA!L:L,INPUT_DATA!$A:$A,$B70,INPUT_DATA!$C:$C,"S"))</f>
        <v/>
      </c>
      <c r="L70" s="740" t="str">
        <f>IF($B70=0,"",SUMIFS(INPUT_DATA!M:M,INPUT_DATA!$A:$A,$B70,INPUT_DATA!$C:$C,"S"))</f>
        <v/>
      </c>
      <c r="M70" s="740" t="str">
        <f>IF($B70=0,"",SUMIFS(INPUT_DATA!N:N,INPUT_DATA!$A:$A,$B70,INPUT_DATA!$C:$C,"S"))</f>
        <v/>
      </c>
      <c r="N70" s="740" t="str">
        <f>IF($B70=0,"",SUMIFS(INPUT_DATA!O:O,INPUT_DATA!$A:$A,$B70,INPUT_DATA!$C:$C,"S"))</f>
        <v/>
      </c>
      <c r="O70" s="741" t="str">
        <f t="shared" si="38"/>
        <v/>
      </c>
      <c r="P70" s="742" t="str">
        <f>IF($B70=0,"",SUMIFS(INPUT_DATA!P:P,INPUT_DATA!$A:$A,$B70,INPUT_DATA!$C:$C,"S"))</f>
        <v/>
      </c>
      <c r="Q70" s="742" t="str">
        <f t="shared" si="39"/>
        <v/>
      </c>
      <c r="R70" s="748" t="str">
        <f>IF($B70=0,"",SUMIFS(INPUT_DATA!Q:Q,INPUT_DATA!$A:$A,$B70,INPUT_DATA!$C:$C,"S"))</f>
        <v/>
      </c>
      <c r="S70" s="748" t="str">
        <f>IF($B70=0,"",SUMIFS(INPUT_DATA!R:R,INPUT_DATA!$A:$A,$B70,INPUT_DATA!$C:$C,"S"))</f>
        <v/>
      </c>
      <c r="T70" s="748" t="str">
        <f>IF($B70=0,"",SUMIFS(INPUT_DATA!S:S,INPUT_DATA!$A:$A,$B70,INPUT_DATA!$C:$C,"S"))</f>
        <v/>
      </c>
      <c r="U70" s="313" t="str">
        <f>IF($B70=0,"",SUMIFS(INPUT_DATA!T:T,INPUT_DATA!$A:$A,$B70,INPUT_DATA!$C:$C,"S"))</f>
        <v/>
      </c>
      <c r="V70" s="313" t="str">
        <f>IF($B70=0,"",SUMIFS(INPUT_DATA!U:U,INPUT_DATA!$A:$A,$B70,INPUT_DATA!$C:$C,"S"))</f>
        <v/>
      </c>
      <c r="W70" s="313" t="str">
        <f>IF($B70=0,"",SUMIFS(INPUT_DATA!V:V,INPUT_DATA!$A:$A,$B70,INPUT_DATA!$C:$C,"S"))</f>
        <v/>
      </c>
      <c r="X70" s="313" t="str">
        <f>IF($B70=0,"",SUMIFS(INPUT_DATA!W:W,INPUT_DATA!$A:$A,$B70,INPUT_DATA!$C:$C,"S"))</f>
        <v/>
      </c>
      <c r="Y70" s="313" t="str">
        <f>IF($B70=0,"",SUMIFS(INPUT_DATA!X:X,INPUT_DATA!$A:$A,$B70,INPUT_DATA!$C:$C,"S"))</f>
        <v/>
      </c>
      <c r="Z70" s="313" t="str">
        <f>IF($B70=0,"",SUMIFS(INPUT_DATA!Y:Y,INPUT_DATA!$A:$A,$B70,INPUT_DATA!$C:$C,"S"))</f>
        <v/>
      </c>
      <c r="AA70" s="313" t="str">
        <f>IF($B70=0,"",SUMIFS(INPUT_DATA!Z:Z,INPUT_DATA!$A:$A,$B70,INPUT_DATA!$C:$C,"S"))</f>
        <v/>
      </c>
      <c r="AB70" s="313" t="str">
        <f>IF($B70=0,"",SUMIFS(INPUT_DATA!AA:AA,INPUT_DATA!$A:$A,$B70,INPUT_DATA!$C:$C,"S"))</f>
        <v/>
      </c>
      <c r="AC70" s="313" t="str">
        <f>IF($B70=0,"",SUMIFS(INPUT_DATA!AB:AB,INPUT_DATA!$A:$A,$B70,INPUT_DATA!$C:$C,"S"))</f>
        <v/>
      </c>
      <c r="AD70" s="313" t="str">
        <f>IF($B70=0,"",SUMIFS(INPUT_DATA!AC:AC,INPUT_DATA!$A:$A,$B70,INPUT_DATA!$C:$C,"S"))</f>
        <v/>
      </c>
      <c r="AE70" s="313" t="str">
        <f>IF($B70=0,"",SUMIFS(INPUT_DATA!AD:AD,INPUT_DATA!$A:$A,$B70,INPUT_DATA!$C:$C,"S"))</f>
        <v/>
      </c>
      <c r="AF70" s="313" t="str">
        <f>IF($B70=0,"",SUMIFS(INPUT_DATA!AE:AE,INPUT_DATA!$A:$A,$B70,INPUT_DATA!$C:$C,"S"))</f>
        <v/>
      </c>
      <c r="AG70" s="313" t="str">
        <f>IF($B70=0,"",SUMIFS(INPUT_DATA!AF:AF,INPUT_DATA!$A:$A,$B70,INPUT_DATA!$C:$C,"S"))</f>
        <v/>
      </c>
      <c r="AH70" s="313" t="str">
        <f>IF($B70=0,"",SUMIFS(INPUT_DATA!AG:AG,INPUT_DATA!$A:$A,$B70,INPUT_DATA!$C:$C,"S"))</f>
        <v/>
      </c>
      <c r="AI70" s="313" t="str">
        <f>IF($B70=0,"",SUMIFS(INPUT_DATA!AH:AH,INPUT_DATA!$A:$A,$B70,INPUT_DATA!$C:$C,"S"))</f>
        <v/>
      </c>
      <c r="AJ70" s="313" t="str">
        <f>IF($B70=0,"",SUMIFS(INPUT_DATA!AI:AI,INPUT_DATA!$A:$A,$B70,INPUT_DATA!$C:$C,"S"))</f>
        <v/>
      </c>
      <c r="AK70" s="313" t="str">
        <f>IF($B70=0,"",SUMIFS(INPUT_DATA!AJ:AJ,INPUT_DATA!$A:$A,$B70,INPUT_DATA!$C:$C,"S"))</f>
        <v/>
      </c>
      <c r="AL70" s="313" t="str">
        <f>IF($B70=0,"",SUMIFS(INPUT_DATA!AK:AK,INPUT_DATA!$A:$A,$B70,INPUT_DATA!$C:$C,"S"))</f>
        <v/>
      </c>
      <c r="AM70" s="313" t="str">
        <f>IF($B70=0,"",SUMIFS(INPUT_DATA!AL:AL,INPUT_DATA!$A:$A,$B70,INPUT_DATA!$C:$C,"S"))</f>
        <v/>
      </c>
      <c r="AN70" s="313" t="str">
        <f>IF($B70=0,"",SUMIFS(INPUT_DATA!AM:AM,INPUT_DATA!$A:$A,$B70,INPUT_DATA!$C:$C,"S"))</f>
        <v/>
      </c>
      <c r="AO70" s="313" t="str">
        <f>IF($B70=0,"",SUMIFS(INPUT_DATA!AN:AN,INPUT_DATA!$A:$A,$B70,INPUT_DATA!$C:$C,"S"))</f>
        <v/>
      </c>
      <c r="AP70" s="313" t="str">
        <f>IF($B70=0,"",SUMIFS(INPUT_DATA!AO:AO,INPUT_DATA!$A:$A,$B70,INPUT_DATA!$C:$C,"S"))</f>
        <v/>
      </c>
      <c r="AQ70" s="313" t="str">
        <f>IF($B70=0,"",SUMIFS(INPUT_DATA!AP:AP,INPUT_DATA!$A:$A,$B70,INPUT_DATA!$C:$C,"S"))</f>
        <v/>
      </c>
      <c r="AR70" s="313" t="str">
        <f>IF($B70=0,"",SUMIFS(INPUT_DATA!AQ:AQ,INPUT_DATA!$A:$A,$B70,INPUT_DATA!$C:$C,"S"))</f>
        <v/>
      </c>
      <c r="AS70" s="749" t="str">
        <f t="shared" si="29"/>
        <v/>
      </c>
      <c r="AT70" s="750" t="str">
        <f t="shared" si="30"/>
        <v/>
      </c>
      <c r="AU70" s="751" t="str">
        <f t="shared" si="31"/>
        <v/>
      </c>
      <c r="AV70" s="749" t="str">
        <f>IF($B70=0,"",SUMIFS(INPUT_DATA!AR:AR,INPUT_DATA!$A:$A,$B70,INPUT_DATA!$C:$C,"S"))</f>
        <v/>
      </c>
      <c r="AW70" s="750" t="str">
        <f>IF($B70=0,"",SUMIFS(INPUT_DATA!AS:AS,INPUT_DATA!$A:$A,$B70,INPUT_DATA!$C:$C,"S"))</f>
        <v/>
      </c>
      <c r="AX70" s="751" t="str">
        <f>IF($B70=0,"",SUMIFS(INPUT_DATA!AT:AT,INPUT_DATA!$A:$A,$B70,INPUT_DATA!$C:$C,"S"))</f>
        <v/>
      </c>
      <c r="AY70" s="749" t="str">
        <f t="shared" si="15"/>
        <v/>
      </c>
      <c r="AZ70" s="750" t="str">
        <f t="shared" si="16"/>
        <v/>
      </c>
      <c r="BA70" s="751" t="str">
        <f t="shared" si="17"/>
        <v/>
      </c>
      <c r="BB70" s="150"/>
      <c r="BC70" s="738" t="str">
        <f>IF($B70=0,"",SUMIFS(INPUT_DATA!D:D,INPUT_DATA!$A:$A,$B70,INPUT_DATA!$C:$C,"D"))</f>
        <v/>
      </c>
      <c r="BD70" s="312" t="str">
        <f>IF($B70=0,"",SUMIFS(INPUT_DATA!F:F,INPUT_DATA!$A:$A,$B70,INPUT_DATA!$C:$C,"D"))</f>
        <v/>
      </c>
      <c r="BE70" s="312" t="str">
        <f>IF($B70=0,"",SUMIFS(INPUT_DATA!G:G,INPUT_DATA!$A:$A,$B70,INPUT_DATA!$C:$C,"D"))</f>
        <v/>
      </c>
      <c r="BF70" s="312" t="str">
        <f>IF($B70=0,"",SUMIFS(INPUT_DATA!H:H,INPUT_DATA!$A:$A,$B70,INPUT_DATA!$C:$C,"D"))</f>
        <v/>
      </c>
      <c r="BG70" s="312" t="str">
        <f>IF($B70=0,"",SUMIFS(INPUT_DATA!I:I,INPUT_DATA!$A:$A,$B70,INPUT_DATA!$C:$C,"D"))</f>
        <v/>
      </c>
      <c r="BH70" s="312" t="str">
        <f>IF($B70=0,"",SUMIFS(INPUT_DATA!J:J,INPUT_DATA!$A:$A,$B70,INPUT_DATA!$C:$C,"D"))</f>
        <v/>
      </c>
      <c r="BI70" s="312" t="str">
        <f>IF($B70=0,"",SUMIFS(INPUT_DATA!K:K,INPUT_DATA!$A:$A,$B70,INPUT_DATA!$C:$C,"D"))</f>
        <v/>
      </c>
      <c r="BJ70" s="312" t="str">
        <f>IF($B70=0,"",SUMIFS(INPUT_DATA!L:L,INPUT_DATA!$A:$A,$B70,INPUT_DATA!$C:$C,"D"))</f>
        <v/>
      </c>
      <c r="BK70" s="312" t="str">
        <f>IF($B70=0,"",SUMIFS(INPUT_DATA!M:M,INPUT_DATA!$A:$A,$B70,INPUT_DATA!$C:$C,"D"))</f>
        <v/>
      </c>
      <c r="BL70" s="312" t="str">
        <f>IF($B70=0,"",SUMIFS(INPUT_DATA!N:N,INPUT_DATA!$A:$A,$B70,INPUT_DATA!$C:$C,"D"))</f>
        <v/>
      </c>
      <c r="BM70" s="312" t="str">
        <f>IF($B70=0,"",SUMIFS(INPUT_DATA!O:O,INPUT_DATA!$A:$A,$B70,INPUT_DATA!$C:$C,"D"))</f>
        <v/>
      </c>
      <c r="BN70" s="754" t="str">
        <f t="shared" si="18"/>
        <v/>
      </c>
      <c r="BO70" s="754" t="str">
        <f>IF($B70=0,"",SUMIFS(INPUT_DATA!O:O,INPUT_DATA!$A:$A,$B70,INPUT_DATA!$C:$C,"D"))</f>
        <v/>
      </c>
      <c r="BP70" s="754" t="str">
        <f t="shared" si="19"/>
        <v/>
      </c>
      <c r="BQ70" s="738" t="str">
        <f>IF($B70=0,"",SUMIFS(INPUT_DATA!Q:Q,INPUT_DATA!$A:$A,$B70,INPUT_DATA!$C:$C,"D"))</f>
        <v/>
      </c>
      <c r="BR70" s="760" t="str">
        <f>IF($B70=0,"",SUMIFS(INPUT_DATA!R:R,INPUT_DATA!$A:$A,$B70,INPUT_DATA!$C:$C,"D"))</f>
        <v/>
      </c>
      <c r="BS70" s="760" t="str">
        <f>IF($B70=0,"",SUMIFS(INPUT_DATA!S:S,INPUT_DATA!$A:$A,$B70,INPUT_DATA!$C:$C,"D"))</f>
        <v/>
      </c>
      <c r="BT70" s="312" t="str">
        <f>IF($B70=0,"",SUMIFS(INPUT_DATA!T:T,INPUT_DATA!$A:$A,$B70,INPUT_DATA!$C:$C,"D"))</f>
        <v/>
      </c>
      <c r="BU70" s="312" t="str">
        <f>IF($B70=0,"",SUMIFS(INPUT_DATA!U:U,INPUT_DATA!$A:$A,$B70,INPUT_DATA!$C:$C,"D"))</f>
        <v/>
      </c>
      <c r="BV70" s="312" t="str">
        <f>IF($B70=0,"",SUMIFS(INPUT_DATA!V:V,INPUT_DATA!$A:$A,$B70,INPUT_DATA!$C:$C,"D"))</f>
        <v/>
      </c>
      <c r="BW70" s="312" t="str">
        <f>IF($B70=0,"",SUMIFS(INPUT_DATA!W:W,INPUT_DATA!$A:$A,$B70,INPUT_DATA!$C:$C,"D"))</f>
        <v/>
      </c>
      <c r="BX70" s="312" t="str">
        <f>IF($B70=0,"",SUMIFS(INPUT_DATA!X:X,INPUT_DATA!$A:$A,$B70,INPUT_DATA!$C:$C,"D"))</f>
        <v/>
      </c>
      <c r="BY70" s="312" t="str">
        <f>IF($B70=0,"",SUMIFS(INPUT_DATA!Y:Y,INPUT_DATA!$A:$A,$B70,INPUT_DATA!$C:$C,"D"))</f>
        <v/>
      </c>
      <c r="BZ70" s="353" t="str">
        <f>IF($B70=0,"",SUMIFS(INPUT_DATA!Z:Z,INPUT_DATA!$A:$A,$B70,INPUT_DATA!$C:$C,"D"))</f>
        <v/>
      </c>
      <c r="CA70" s="353" t="str">
        <f>IF($B70=0,"",SUMIFS(INPUT_DATA!AA:AA,INPUT_DATA!$A:$A,$B70,INPUT_DATA!$C:$C,"D"))</f>
        <v/>
      </c>
      <c r="CB70" s="353" t="str">
        <f>IF($B70=0,"",SUMIFS(INPUT_DATA!AB:AB,INPUT_DATA!$A:$A,$B70,INPUT_DATA!$C:$C,"D"))</f>
        <v/>
      </c>
      <c r="CC70" s="312" t="str">
        <f>IF($B70=0,"",SUMIFS(INPUT_DATA!AC:AC,INPUT_DATA!$A:$A,$B70,INPUT_DATA!$C:$C,"D"))</f>
        <v/>
      </c>
      <c r="CD70" s="312" t="str">
        <f>IF($B70=0,"",SUMIFS(INPUT_DATA!AD:AD,INPUT_DATA!$A:$A,$B70,INPUT_DATA!$C:$C,"D"))</f>
        <v/>
      </c>
      <c r="CE70" s="312" t="str">
        <f>IF($B70=0,"",SUMIFS(INPUT_DATA!AE:AE,INPUT_DATA!$A:$A,$B70,INPUT_DATA!$C:$C,"D"))</f>
        <v/>
      </c>
      <c r="CF70" s="353" t="str">
        <f>IF($B70=0,"",SUMIFS(INPUT_DATA!AF:AF,INPUT_DATA!$A:$A,$B70,INPUT_DATA!$C:$C,"D"))</f>
        <v/>
      </c>
      <c r="CG70" s="353" t="str">
        <f>IF($B70=0,"",SUMIFS(INPUT_DATA!AG:AG,INPUT_DATA!$A:$A,$B70,INPUT_DATA!$C:$C,"D"))</f>
        <v/>
      </c>
      <c r="CH70" s="353" t="str">
        <f>IF($B70=0,"",SUMIFS(INPUT_DATA!AH:AH,INPUT_DATA!$A:$A,$B70,INPUT_DATA!$C:$C,"D"))</f>
        <v/>
      </c>
      <c r="CI70" s="153" t="str">
        <f>IF($B70=0,"",SUMIFS(INPUT_DATA!AI:AI,INPUT_DATA!$A:$A,$B70,INPUT_DATA!$C:$C,"D"))</f>
        <v/>
      </c>
      <c r="CJ70" s="153" t="str">
        <f>IF($B70=0,"",SUMIFS(INPUT_DATA!AJ:AJ,INPUT_DATA!$A:$A,$B70,INPUT_DATA!$C:$C,"D"))</f>
        <v/>
      </c>
      <c r="CK70" s="153" t="str">
        <f>IF($B70=0,"",SUMIFS(INPUT_DATA!AK:AK,INPUT_DATA!$A:$A,$B70,INPUT_DATA!$C:$C,"D"))</f>
        <v/>
      </c>
      <c r="CL70" s="153" t="str">
        <f>IF($B70=0,"",SUMIFS(INPUT_DATA!AL:AL,INPUT_DATA!$A:$A,$B70,INPUT_DATA!$C:$C,"D"))</f>
        <v/>
      </c>
      <c r="CM70" s="153" t="str">
        <f>IF($B70=0,"",SUMIFS(INPUT_DATA!AM:AM,INPUT_DATA!$A:$A,$B70,INPUT_DATA!$C:$C,"D"))</f>
        <v/>
      </c>
      <c r="CN70" s="153" t="str">
        <f>IF($B70=0,"",SUMIFS(INPUT_DATA!AN:AN,INPUT_DATA!$A:$A,$B70,INPUT_DATA!$C:$C,"D"))</f>
        <v/>
      </c>
      <c r="CO70" s="153" t="str">
        <f>IF($B70=0,"",SUMIFS(INPUT_DATA!AO:AO,INPUT_DATA!$A:$A,$B70,INPUT_DATA!$C:$C,"D"))</f>
        <v/>
      </c>
      <c r="CP70" s="153" t="str">
        <f>IF($B70=0,"",SUMIFS(INPUT_DATA!AP:AP,INPUT_DATA!$A:$A,$B70,INPUT_DATA!$C:$C,"D"))</f>
        <v/>
      </c>
      <c r="CQ70" s="153" t="str">
        <f>IF($B70=0,"",SUMIFS(INPUT_DATA!AQ:AQ,INPUT_DATA!$A:$A,$B70,INPUT_DATA!$C:$C,"D"))</f>
        <v/>
      </c>
      <c r="CR70" s="750" t="str">
        <f t="shared" si="32"/>
        <v/>
      </c>
      <c r="CS70" s="750" t="str">
        <f t="shared" si="33"/>
        <v/>
      </c>
      <c r="CT70" s="750" t="str">
        <f t="shared" si="34"/>
        <v/>
      </c>
      <c r="CU70" s="739" t="str">
        <f>IF($B70=0,"",SUMIFS(INPUT_DATA!AR:AR,INPUT_DATA!$A:$A,$B70,INPUT_DATA!$C:$C,"D"))</f>
        <v/>
      </c>
      <c r="CV70" s="739" t="str">
        <f>IF($B70=0,"",SUMIFS(INPUT_DATA!AS:AS,INPUT_DATA!$A:$A,$B70,INPUT_DATA!$C:$C,"D"))</f>
        <v/>
      </c>
      <c r="CW70" s="739" t="str">
        <f>IF($B70=0,"",SUMIFS(INPUT_DATA!AT:AT,INPUT_DATA!$A:$A,$B70,INPUT_DATA!$C:$C,"D"))</f>
        <v/>
      </c>
      <c r="CX70" s="739" t="str">
        <f t="shared" si="35"/>
        <v/>
      </c>
      <c r="CY70" s="750" t="str">
        <f t="shared" si="36"/>
        <v/>
      </c>
      <c r="CZ70" s="761" t="str">
        <f t="shared" si="37"/>
        <v/>
      </c>
      <c r="DA70" s="150"/>
    </row>
    <row r="71" spans="1:105" ht="13" x14ac:dyDescent="0.25">
      <c r="A71" s="172">
        <f t="shared" si="40"/>
        <v>-24</v>
      </c>
      <c r="B71" s="733">
        <f>INPUT_DATA!BQ58</f>
        <v>0</v>
      </c>
      <c r="C71" s="738" t="str">
        <f>IF($B71=0,"",SUMIFS(INPUT_DATA!D:D,INPUT_DATA!$A:$A,$B71,INPUT_DATA!$C:$C,"S"))</f>
        <v/>
      </c>
      <c r="D71" s="739" t="str">
        <f>IF($B71=0,"",SUMIFS(INPUT_DATA!E:E,INPUT_DATA!$A:$A,$B71,INPUT_DATA!$C:$C,"S"))</f>
        <v/>
      </c>
      <c r="E71" s="740" t="str">
        <f>IF($B71=0,"",SUMIFS(INPUT_DATA!F:F,INPUT_DATA!$A:$A,$B71,INPUT_DATA!$C:$C,"S"))</f>
        <v/>
      </c>
      <c r="F71" s="740" t="str">
        <f>IF($B71=0,"",SUMIFS(INPUT_DATA!G:G,INPUT_DATA!$A:$A,$B71,INPUT_DATA!$C:$C,"S"))</f>
        <v/>
      </c>
      <c r="G71" s="740" t="str">
        <f>IF($B71=0,"",SUMIFS(INPUT_DATA!H:H,INPUT_DATA!$A:$A,$B71,INPUT_DATA!$C:$C,"S"))</f>
        <v/>
      </c>
      <c r="H71" s="740" t="str">
        <f>IF($B71=0,"",SUMIFS(INPUT_DATA!I:I,INPUT_DATA!$A:$A,$B71,INPUT_DATA!$C:$C,"S"))</f>
        <v/>
      </c>
      <c r="I71" s="740" t="str">
        <f>IF($B71=0,"",SUMIFS(INPUT_DATA!J:J,INPUT_DATA!$A:$A,$B71,INPUT_DATA!$C:$C,"S"))</f>
        <v/>
      </c>
      <c r="J71" s="740" t="str">
        <f>IF($B71=0,"",SUMIFS(INPUT_DATA!K:K,INPUT_DATA!$A:$A,$B71,INPUT_DATA!$C:$C,"S"))</f>
        <v/>
      </c>
      <c r="K71" s="740" t="str">
        <f>IF($B71=0,"",SUMIFS(INPUT_DATA!L:L,INPUT_DATA!$A:$A,$B71,INPUT_DATA!$C:$C,"S"))</f>
        <v/>
      </c>
      <c r="L71" s="740" t="str">
        <f>IF($B71=0,"",SUMIFS(INPUT_DATA!M:M,INPUT_DATA!$A:$A,$B71,INPUT_DATA!$C:$C,"S"))</f>
        <v/>
      </c>
      <c r="M71" s="740" t="str">
        <f>IF($B71=0,"",SUMIFS(INPUT_DATA!N:N,INPUT_DATA!$A:$A,$B71,INPUT_DATA!$C:$C,"S"))</f>
        <v/>
      </c>
      <c r="N71" s="740" t="str">
        <f>IF($B71=0,"",SUMIFS(INPUT_DATA!O:O,INPUT_DATA!$A:$A,$B71,INPUT_DATA!$C:$C,"S"))</f>
        <v/>
      </c>
      <c r="O71" s="741" t="str">
        <f t="shared" si="38"/>
        <v/>
      </c>
      <c r="P71" s="742" t="str">
        <f>IF($B71=0,"",SUMIFS(INPUT_DATA!P:P,INPUT_DATA!$A:$A,$B71,INPUT_DATA!$C:$C,"S"))</f>
        <v/>
      </c>
      <c r="Q71" s="742" t="str">
        <f t="shared" si="39"/>
        <v/>
      </c>
      <c r="R71" s="748" t="str">
        <f>IF($B71=0,"",SUMIFS(INPUT_DATA!Q:Q,INPUT_DATA!$A:$A,$B71,INPUT_DATA!$C:$C,"S"))</f>
        <v/>
      </c>
      <c r="S71" s="748" t="str">
        <f>IF($B71=0,"",SUMIFS(INPUT_DATA!R:R,INPUT_DATA!$A:$A,$B71,INPUT_DATA!$C:$C,"S"))</f>
        <v/>
      </c>
      <c r="T71" s="748" t="str">
        <f>IF($B71=0,"",SUMIFS(INPUT_DATA!S:S,INPUT_DATA!$A:$A,$B71,INPUT_DATA!$C:$C,"S"))</f>
        <v/>
      </c>
      <c r="U71" s="313" t="str">
        <f>IF($B71=0,"",SUMIFS(INPUT_DATA!T:T,INPUT_DATA!$A:$A,$B71,INPUT_DATA!$C:$C,"S"))</f>
        <v/>
      </c>
      <c r="V71" s="313" t="str">
        <f>IF($B71=0,"",SUMIFS(INPUT_DATA!U:U,INPUT_DATA!$A:$A,$B71,INPUT_DATA!$C:$C,"S"))</f>
        <v/>
      </c>
      <c r="W71" s="313" t="str">
        <f>IF($B71=0,"",SUMIFS(INPUT_DATA!V:V,INPUT_DATA!$A:$A,$B71,INPUT_DATA!$C:$C,"S"))</f>
        <v/>
      </c>
      <c r="X71" s="313" t="str">
        <f>IF($B71=0,"",SUMIFS(INPUT_DATA!W:W,INPUT_DATA!$A:$A,$B71,INPUT_DATA!$C:$C,"S"))</f>
        <v/>
      </c>
      <c r="Y71" s="313" t="str">
        <f>IF($B71=0,"",SUMIFS(INPUT_DATA!X:X,INPUT_DATA!$A:$A,$B71,INPUT_DATA!$C:$C,"S"))</f>
        <v/>
      </c>
      <c r="Z71" s="313" t="str">
        <f>IF($B71=0,"",SUMIFS(INPUT_DATA!Y:Y,INPUT_DATA!$A:$A,$B71,INPUT_DATA!$C:$C,"S"))</f>
        <v/>
      </c>
      <c r="AA71" s="313" t="str">
        <f>IF($B71=0,"",SUMIFS(INPUT_DATA!Z:Z,INPUT_DATA!$A:$A,$B71,INPUT_DATA!$C:$C,"S"))</f>
        <v/>
      </c>
      <c r="AB71" s="313" t="str">
        <f>IF($B71=0,"",SUMIFS(INPUT_DATA!AA:AA,INPUT_DATA!$A:$A,$B71,INPUT_DATA!$C:$C,"S"))</f>
        <v/>
      </c>
      <c r="AC71" s="313" t="str">
        <f>IF($B71=0,"",SUMIFS(INPUT_DATA!AB:AB,INPUT_DATA!$A:$A,$B71,INPUT_DATA!$C:$C,"S"))</f>
        <v/>
      </c>
      <c r="AD71" s="313" t="str">
        <f>IF($B71=0,"",SUMIFS(INPUT_DATA!AC:AC,INPUT_DATA!$A:$A,$B71,INPUT_DATA!$C:$C,"S"))</f>
        <v/>
      </c>
      <c r="AE71" s="313" t="str">
        <f>IF($B71=0,"",SUMIFS(INPUT_DATA!AD:AD,INPUT_DATA!$A:$A,$B71,INPUT_DATA!$C:$C,"S"))</f>
        <v/>
      </c>
      <c r="AF71" s="313" t="str">
        <f>IF($B71=0,"",SUMIFS(INPUT_DATA!AE:AE,INPUT_DATA!$A:$A,$B71,INPUT_DATA!$C:$C,"S"))</f>
        <v/>
      </c>
      <c r="AG71" s="313" t="str">
        <f>IF($B71=0,"",SUMIFS(INPUT_DATA!AF:AF,INPUT_DATA!$A:$A,$B71,INPUT_DATA!$C:$C,"S"))</f>
        <v/>
      </c>
      <c r="AH71" s="313" t="str">
        <f>IF($B71=0,"",SUMIFS(INPUT_DATA!AG:AG,INPUT_DATA!$A:$A,$B71,INPUT_DATA!$C:$C,"S"))</f>
        <v/>
      </c>
      <c r="AI71" s="313" t="str">
        <f>IF($B71=0,"",SUMIFS(INPUT_DATA!AH:AH,INPUT_DATA!$A:$A,$B71,INPUT_DATA!$C:$C,"S"))</f>
        <v/>
      </c>
      <c r="AJ71" s="313" t="str">
        <f>IF($B71=0,"",SUMIFS(INPUT_DATA!AI:AI,INPUT_DATA!$A:$A,$B71,INPUT_DATA!$C:$C,"S"))</f>
        <v/>
      </c>
      <c r="AK71" s="313" t="str">
        <f>IF($B71=0,"",SUMIFS(INPUT_DATA!AJ:AJ,INPUT_DATA!$A:$A,$B71,INPUT_DATA!$C:$C,"S"))</f>
        <v/>
      </c>
      <c r="AL71" s="313" t="str">
        <f>IF($B71=0,"",SUMIFS(INPUT_DATA!AK:AK,INPUT_DATA!$A:$A,$B71,INPUT_DATA!$C:$C,"S"))</f>
        <v/>
      </c>
      <c r="AM71" s="313" t="str">
        <f>IF($B71=0,"",SUMIFS(INPUT_DATA!AL:AL,INPUT_DATA!$A:$A,$B71,INPUT_DATA!$C:$C,"S"))</f>
        <v/>
      </c>
      <c r="AN71" s="313" t="str">
        <f>IF($B71=0,"",SUMIFS(INPUT_DATA!AM:AM,INPUT_DATA!$A:$A,$B71,INPUT_DATA!$C:$C,"S"))</f>
        <v/>
      </c>
      <c r="AO71" s="313" t="str">
        <f>IF($B71=0,"",SUMIFS(INPUT_DATA!AN:AN,INPUT_DATA!$A:$A,$B71,INPUT_DATA!$C:$C,"S"))</f>
        <v/>
      </c>
      <c r="AP71" s="313" t="str">
        <f>IF($B71=0,"",SUMIFS(INPUT_DATA!AO:AO,INPUT_DATA!$A:$A,$B71,INPUT_DATA!$C:$C,"S"))</f>
        <v/>
      </c>
      <c r="AQ71" s="313" t="str">
        <f>IF($B71=0,"",SUMIFS(INPUT_DATA!AP:AP,INPUT_DATA!$A:$A,$B71,INPUT_DATA!$C:$C,"S"))</f>
        <v/>
      </c>
      <c r="AR71" s="313" t="str">
        <f>IF($B71=0,"",SUMIFS(INPUT_DATA!AQ:AQ,INPUT_DATA!$A:$A,$B71,INPUT_DATA!$C:$C,"S"))</f>
        <v/>
      </c>
      <c r="AS71" s="749" t="str">
        <f t="shared" si="29"/>
        <v/>
      </c>
      <c r="AT71" s="750" t="str">
        <f t="shared" si="30"/>
        <v/>
      </c>
      <c r="AU71" s="751" t="str">
        <f t="shared" si="31"/>
        <v/>
      </c>
      <c r="AV71" s="749" t="str">
        <f>IF($B71=0,"",SUMIFS(INPUT_DATA!AR:AR,INPUT_DATA!$A:$A,$B71,INPUT_DATA!$C:$C,"S"))</f>
        <v/>
      </c>
      <c r="AW71" s="750" t="str">
        <f>IF($B71=0,"",SUMIFS(INPUT_DATA!AS:AS,INPUT_DATA!$A:$A,$B71,INPUT_DATA!$C:$C,"S"))</f>
        <v/>
      </c>
      <c r="AX71" s="751" t="str">
        <f>IF($B71=0,"",SUMIFS(INPUT_DATA!AT:AT,INPUT_DATA!$A:$A,$B71,INPUT_DATA!$C:$C,"S"))</f>
        <v/>
      </c>
      <c r="AY71" s="749" t="str">
        <f t="shared" si="15"/>
        <v/>
      </c>
      <c r="AZ71" s="750" t="str">
        <f t="shared" si="16"/>
        <v/>
      </c>
      <c r="BA71" s="751" t="str">
        <f t="shared" si="17"/>
        <v/>
      </c>
      <c r="BB71" s="150"/>
      <c r="BC71" s="738" t="str">
        <f>IF($B71=0,"",SUMIFS(INPUT_DATA!D:D,INPUT_DATA!$A:$A,$B71,INPUT_DATA!$C:$C,"D"))</f>
        <v/>
      </c>
      <c r="BD71" s="312" t="str">
        <f>IF($B71=0,"",SUMIFS(INPUT_DATA!F:F,INPUT_DATA!$A:$A,$B71,INPUT_DATA!$C:$C,"D"))</f>
        <v/>
      </c>
      <c r="BE71" s="312" t="str">
        <f>IF($B71=0,"",SUMIFS(INPUT_DATA!G:G,INPUT_DATA!$A:$A,$B71,INPUT_DATA!$C:$C,"D"))</f>
        <v/>
      </c>
      <c r="BF71" s="312" t="str">
        <f>IF($B71=0,"",SUMIFS(INPUT_DATA!H:H,INPUT_DATA!$A:$A,$B71,INPUT_DATA!$C:$C,"D"))</f>
        <v/>
      </c>
      <c r="BG71" s="312" t="str">
        <f>IF($B71=0,"",SUMIFS(INPUT_DATA!I:I,INPUT_DATA!$A:$A,$B71,INPUT_DATA!$C:$C,"D"))</f>
        <v/>
      </c>
      <c r="BH71" s="312" t="str">
        <f>IF($B71=0,"",SUMIFS(INPUT_DATA!J:J,INPUT_DATA!$A:$A,$B71,INPUT_DATA!$C:$C,"D"))</f>
        <v/>
      </c>
      <c r="BI71" s="312" t="str">
        <f>IF($B71=0,"",SUMIFS(INPUT_DATA!K:K,INPUT_DATA!$A:$A,$B71,INPUT_DATA!$C:$C,"D"))</f>
        <v/>
      </c>
      <c r="BJ71" s="312" t="str">
        <f>IF($B71=0,"",SUMIFS(INPUT_DATA!L:L,INPUT_DATA!$A:$A,$B71,INPUT_DATA!$C:$C,"D"))</f>
        <v/>
      </c>
      <c r="BK71" s="312" t="str">
        <f>IF($B71=0,"",SUMIFS(INPUT_DATA!M:M,INPUT_DATA!$A:$A,$B71,INPUT_DATA!$C:$C,"D"))</f>
        <v/>
      </c>
      <c r="BL71" s="312" t="str">
        <f>IF($B71=0,"",SUMIFS(INPUT_DATA!N:N,INPUT_DATA!$A:$A,$B71,INPUT_DATA!$C:$C,"D"))</f>
        <v/>
      </c>
      <c r="BM71" s="312" t="str">
        <f>IF($B71=0,"",SUMIFS(INPUT_DATA!O:O,INPUT_DATA!$A:$A,$B71,INPUT_DATA!$C:$C,"D"))</f>
        <v/>
      </c>
      <c r="BN71" s="754" t="str">
        <f t="shared" si="18"/>
        <v/>
      </c>
      <c r="BO71" s="754" t="str">
        <f>IF($B71=0,"",SUMIFS(INPUT_DATA!O:O,INPUT_DATA!$A:$A,$B71,INPUT_DATA!$C:$C,"D"))</f>
        <v/>
      </c>
      <c r="BP71" s="754" t="str">
        <f t="shared" si="19"/>
        <v/>
      </c>
      <c r="BQ71" s="738" t="str">
        <f>IF($B71=0,"",SUMIFS(INPUT_DATA!Q:Q,INPUT_DATA!$A:$A,$B71,INPUT_DATA!$C:$C,"D"))</f>
        <v/>
      </c>
      <c r="BR71" s="760" t="str">
        <f>IF($B71=0,"",SUMIFS(INPUT_DATA!R:R,INPUT_DATA!$A:$A,$B71,INPUT_DATA!$C:$C,"D"))</f>
        <v/>
      </c>
      <c r="BS71" s="760" t="str">
        <f>IF($B71=0,"",SUMIFS(INPUT_DATA!S:S,INPUT_DATA!$A:$A,$B71,INPUT_DATA!$C:$C,"D"))</f>
        <v/>
      </c>
      <c r="BT71" s="312" t="str">
        <f>IF($B71=0,"",SUMIFS(INPUT_DATA!T:T,INPUT_DATA!$A:$A,$B71,INPUT_DATA!$C:$C,"D"))</f>
        <v/>
      </c>
      <c r="BU71" s="312" t="str">
        <f>IF($B71=0,"",SUMIFS(INPUT_DATA!U:U,INPUT_DATA!$A:$A,$B71,INPUT_DATA!$C:$C,"D"))</f>
        <v/>
      </c>
      <c r="BV71" s="312" t="str">
        <f>IF($B71=0,"",SUMIFS(INPUT_DATA!V:V,INPUT_DATA!$A:$A,$B71,INPUT_DATA!$C:$C,"D"))</f>
        <v/>
      </c>
      <c r="BW71" s="312" t="str">
        <f>IF($B71=0,"",SUMIFS(INPUT_DATA!W:W,INPUT_DATA!$A:$A,$B71,INPUT_DATA!$C:$C,"D"))</f>
        <v/>
      </c>
      <c r="BX71" s="312" t="str">
        <f>IF($B71=0,"",SUMIFS(INPUT_DATA!X:X,INPUT_DATA!$A:$A,$B71,INPUT_DATA!$C:$C,"D"))</f>
        <v/>
      </c>
      <c r="BY71" s="312" t="str">
        <f>IF($B71=0,"",SUMIFS(INPUT_DATA!Y:Y,INPUT_DATA!$A:$A,$B71,INPUT_DATA!$C:$C,"D"))</f>
        <v/>
      </c>
      <c r="BZ71" s="353" t="str">
        <f>IF($B71=0,"",SUMIFS(INPUT_DATA!Z:Z,INPUT_DATA!$A:$A,$B71,INPUT_DATA!$C:$C,"D"))</f>
        <v/>
      </c>
      <c r="CA71" s="353" t="str">
        <f>IF($B71=0,"",SUMIFS(INPUT_DATA!AA:AA,INPUT_DATA!$A:$A,$B71,INPUT_DATA!$C:$C,"D"))</f>
        <v/>
      </c>
      <c r="CB71" s="353" t="str">
        <f>IF($B71=0,"",SUMIFS(INPUT_DATA!AB:AB,INPUT_DATA!$A:$A,$B71,INPUT_DATA!$C:$C,"D"))</f>
        <v/>
      </c>
      <c r="CC71" s="312" t="str">
        <f>IF($B71=0,"",SUMIFS(INPUT_DATA!AC:AC,INPUT_DATA!$A:$A,$B71,INPUT_DATA!$C:$C,"D"))</f>
        <v/>
      </c>
      <c r="CD71" s="312" t="str">
        <f>IF($B71=0,"",SUMIFS(INPUT_DATA!AD:AD,INPUT_DATA!$A:$A,$B71,INPUT_DATA!$C:$C,"D"))</f>
        <v/>
      </c>
      <c r="CE71" s="312" t="str">
        <f>IF($B71=0,"",SUMIFS(INPUT_DATA!AE:AE,INPUT_DATA!$A:$A,$B71,INPUT_DATA!$C:$C,"D"))</f>
        <v/>
      </c>
      <c r="CF71" s="353" t="str">
        <f>IF($B71=0,"",SUMIFS(INPUT_DATA!AF:AF,INPUT_DATA!$A:$A,$B71,INPUT_DATA!$C:$C,"D"))</f>
        <v/>
      </c>
      <c r="CG71" s="353" t="str">
        <f>IF($B71=0,"",SUMIFS(INPUT_DATA!AG:AG,INPUT_DATA!$A:$A,$B71,INPUT_DATA!$C:$C,"D"))</f>
        <v/>
      </c>
      <c r="CH71" s="353" t="str">
        <f>IF($B71=0,"",SUMIFS(INPUT_DATA!AH:AH,INPUT_DATA!$A:$A,$B71,INPUT_DATA!$C:$C,"D"))</f>
        <v/>
      </c>
      <c r="CI71" s="153" t="str">
        <f>IF($B71=0,"",SUMIFS(INPUT_DATA!AI:AI,INPUT_DATA!$A:$A,$B71,INPUT_DATA!$C:$C,"D"))</f>
        <v/>
      </c>
      <c r="CJ71" s="153" t="str">
        <f>IF($B71=0,"",SUMIFS(INPUT_DATA!AJ:AJ,INPUT_DATA!$A:$A,$B71,INPUT_DATA!$C:$C,"D"))</f>
        <v/>
      </c>
      <c r="CK71" s="153" t="str">
        <f>IF($B71=0,"",SUMIFS(INPUT_DATA!AK:AK,INPUT_DATA!$A:$A,$B71,INPUT_DATA!$C:$C,"D"))</f>
        <v/>
      </c>
      <c r="CL71" s="153" t="str">
        <f>IF($B71=0,"",SUMIFS(INPUT_DATA!AL:AL,INPUT_DATA!$A:$A,$B71,INPUT_DATA!$C:$C,"D"))</f>
        <v/>
      </c>
      <c r="CM71" s="153" t="str">
        <f>IF($B71=0,"",SUMIFS(INPUT_DATA!AM:AM,INPUT_DATA!$A:$A,$B71,INPUT_DATA!$C:$C,"D"))</f>
        <v/>
      </c>
      <c r="CN71" s="153" t="str">
        <f>IF($B71=0,"",SUMIFS(INPUT_DATA!AN:AN,INPUT_DATA!$A:$A,$B71,INPUT_DATA!$C:$C,"D"))</f>
        <v/>
      </c>
      <c r="CO71" s="153" t="str">
        <f>IF($B71=0,"",SUMIFS(INPUT_DATA!AO:AO,INPUT_DATA!$A:$A,$B71,INPUT_DATA!$C:$C,"D"))</f>
        <v/>
      </c>
      <c r="CP71" s="153" t="str">
        <f>IF($B71=0,"",SUMIFS(INPUT_DATA!AP:AP,INPUT_DATA!$A:$A,$B71,INPUT_DATA!$C:$C,"D"))</f>
        <v/>
      </c>
      <c r="CQ71" s="153" t="str">
        <f>IF($B71=0,"",SUMIFS(INPUT_DATA!AQ:AQ,INPUT_DATA!$A:$A,$B71,INPUT_DATA!$C:$C,"D"))</f>
        <v/>
      </c>
      <c r="CR71" s="750" t="str">
        <f t="shared" si="32"/>
        <v/>
      </c>
      <c r="CS71" s="750" t="str">
        <f t="shared" si="33"/>
        <v/>
      </c>
      <c r="CT71" s="750" t="str">
        <f t="shared" si="34"/>
        <v/>
      </c>
      <c r="CU71" s="739" t="str">
        <f>IF($B71=0,"",SUMIFS(INPUT_DATA!AR:AR,INPUT_DATA!$A:$A,$B71,INPUT_DATA!$C:$C,"D"))</f>
        <v/>
      </c>
      <c r="CV71" s="739" t="str">
        <f>IF($B71=0,"",SUMIFS(INPUT_DATA!AS:AS,INPUT_DATA!$A:$A,$B71,INPUT_DATA!$C:$C,"D"))</f>
        <v/>
      </c>
      <c r="CW71" s="739" t="str">
        <f>IF($B71=0,"",SUMIFS(INPUT_DATA!AT:AT,INPUT_DATA!$A:$A,$B71,INPUT_DATA!$C:$C,"D"))</f>
        <v/>
      </c>
      <c r="CX71" s="739" t="str">
        <f t="shared" si="35"/>
        <v/>
      </c>
      <c r="CY71" s="750" t="str">
        <f t="shared" si="36"/>
        <v/>
      </c>
      <c r="CZ71" s="761" t="str">
        <f t="shared" si="37"/>
        <v/>
      </c>
      <c r="DA71" s="150"/>
    </row>
    <row r="72" spans="1:105" ht="13" x14ac:dyDescent="0.25">
      <c r="A72" s="172">
        <f t="shared" si="40"/>
        <v>-25</v>
      </c>
      <c r="B72" s="733">
        <f>INPUT_DATA!BQ59</f>
        <v>0</v>
      </c>
      <c r="C72" s="738" t="str">
        <f>IF($B72=0,"",SUMIFS(INPUT_DATA!D:D,INPUT_DATA!$A:$A,$B72,INPUT_DATA!$C:$C,"S"))</f>
        <v/>
      </c>
      <c r="D72" s="739" t="str">
        <f>IF($B72=0,"",SUMIFS(INPUT_DATA!E:E,INPUT_DATA!$A:$A,$B72,INPUT_DATA!$C:$C,"S"))</f>
        <v/>
      </c>
      <c r="E72" s="740" t="str">
        <f>IF($B72=0,"",SUMIFS(INPUT_DATA!F:F,INPUT_DATA!$A:$A,$B72,INPUT_DATA!$C:$C,"S"))</f>
        <v/>
      </c>
      <c r="F72" s="740" t="str">
        <f>IF($B72=0,"",SUMIFS(INPUT_DATA!G:G,INPUT_DATA!$A:$A,$B72,INPUT_DATA!$C:$C,"S"))</f>
        <v/>
      </c>
      <c r="G72" s="740" t="str">
        <f>IF($B72=0,"",SUMIFS(INPUT_DATA!H:H,INPUT_DATA!$A:$A,$B72,INPUT_DATA!$C:$C,"S"))</f>
        <v/>
      </c>
      <c r="H72" s="740" t="str">
        <f>IF($B72=0,"",SUMIFS(INPUT_DATA!I:I,INPUT_DATA!$A:$A,$B72,INPUT_DATA!$C:$C,"S"))</f>
        <v/>
      </c>
      <c r="I72" s="740" t="str">
        <f>IF($B72=0,"",SUMIFS(INPUT_DATA!J:J,INPUT_DATA!$A:$A,$B72,INPUT_DATA!$C:$C,"S"))</f>
        <v/>
      </c>
      <c r="J72" s="740" t="str">
        <f>IF($B72=0,"",SUMIFS(INPUT_DATA!K:K,INPUT_DATA!$A:$A,$B72,INPUT_DATA!$C:$C,"S"))</f>
        <v/>
      </c>
      <c r="K72" s="740" t="str">
        <f>IF($B72=0,"",SUMIFS(INPUT_DATA!L:L,INPUT_DATA!$A:$A,$B72,INPUT_DATA!$C:$C,"S"))</f>
        <v/>
      </c>
      <c r="L72" s="740" t="str">
        <f>IF($B72=0,"",SUMIFS(INPUT_DATA!M:M,INPUT_DATA!$A:$A,$B72,INPUT_DATA!$C:$C,"S"))</f>
        <v/>
      </c>
      <c r="M72" s="740" t="str">
        <f>IF($B72=0,"",SUMIFS(INPUT_DATA!N:N,INPUT_DATA!$A:$A,$B72,INPUT_DATA!$C:$C,"S"))</f>
        <v/>
      </c>
      <c r="N72" s="740" t="str">
        <f>IF($B72=0,"",SUMIFS(INPUT_DATA!O:O,INPUT_DATA!$A:$A,$B72,INPUT_DATA!$C:$C,"S"))</f>
        <v/>
      </c>
      <c r="O72" s="741" t="str">
        <f t="shared" si="38"/>
        <v/>
      </c>
      <c r="P72" s="742" t="str">
        <f>IF($B72=0,"",SUMIFS(INPUT_DATA!P:P,INPUT_DATA!$A:$A,$B72,INPUT_DATA!$C:$C,"S"))</f>
        <v/>
      </c>
      <c r="Q72" s="742" t="str">
        <f t="shared" si="39"/>
        <v/>
      </c>
      <c r="R72" s="748" t="str">
        <f>IF($B72=0,"",SUMIFS(INPUT_DATA!Q:Q,INPUT_DATA!$A:$A,$B72,INPUT_DATA!$C:$C,"S"))</f>
        <v/>
      </c>
      <c r="S72" s="748" t="str">
        <f>IF($B72=0,"",SUMIFS(INPUT_DATA!R:R,INPUT_DATA!$A:$A,$B72,INPUT_DATA!$C:$C,"S"))</f>
        <v/>
      </c>
      <c r="T72" s="748" t="str">
        <f>IF($B72=0,"",SUMIFS(INPUT_DATA!S:S,INPUT_DATA!$A:$A,$B72,INPUT_DATA!$C:$C,"S"))</f>
        <v/>
      </c>
      <c r="U72" s="313" t="str">
        <f>IF($B72=0,"",SUMIFS(INPUT_DATA!T:T,INPUT_DATA!$A:$A,$B72,INPUT_DATA!$C:$C,"S"))</f>
        <v/>
      </c>
      <c r="V72" s="313" t="str">
        <f>IF($B72=0,"",SUMIFS(INPUT_DATA!U:U,INPUT_DATA!$A:$A,$B72,INPUT_DATA!$C:$C,"S"))</f>
        <v/>
      </c>
      <c r="W72" s="313" t="str">
        <f>IF($B72=0,"",SUMIFS(INPUT_DATA!V:V,INPUT_DATA!$A:$A,$B72,INPUT_DATA!$C:$C,"S"))</f>
        <v/>
      </c>
      <c r="X72" s="313" t="str">
        <f>IF($B72=0,"",SUMIFS(INPUT_DATA!W:W,INPUT_DATA!$A:$A,$B72,INPUT_DATA!$C:$C,"S"))</f>
        <v/>
      </c>
      <c r="Y72" s="313" t="str">
        <f>IF($B72=0,"",SUMIFS(INPUT_DATA!X:X,INPUT_DATA!$A:$A,$B72,INPUT_DATA!$C:$C,"S"))</f>
        <v/>
      </c>
      <c r="Z72" s="313" t="str">
        <f>IF($B72=0,"",SUMIFS(INPUT_DATA!Y:Y,INPUT_DATA!$A:$A,$B72,INPUT_DATA!$C:$C,"S"))</f>
        <v/>
      </c>
      <c r="AA72" s="313" t="str">
        <f>IF($B72=0,"",SUMIFS(INPUT_DATA!Z:Z,INPUT_DATA!$A:$A,$B72,INPUT_DATA!$C:$C,"S"))</f>
        <v/>
      </c>
      <c r="AB72" s="313" t="str">
        <f>IF($B72=0,"",SUMIFS(INPUT_DATA!AA:AA,INPUT_DATA!$A:$A,$B72,INPUT_DATA!$C:$C,"S"))</f>
        <v/>
      </c>
      <c r="AC72" s="313" t="str">
        <f>IF($B72=0,"",SUMIFS(INPUT_DATA!AB:AB,INPUT_DATA!$A:$A,$B72,INPUT_DATA!$C:$C,"S"))</f>
        <v/>
      </c>
      <c r="AD72" s="313" t="str">
        <f>IF($B72=0,"",SUMIFS(INPUT_DATA!AC:AC,INPUT_DATA!$A:$A,$B72,INPUT_DATA!$C:$C,"S"))</f>
        <v/>
      </c>
      <c r="AE72" s="313" t="str">
        <f>IF($B72=0,"",SUMIFS(INPUT_DATA!AD:AD,INPUT_DATA!$A:$A,$B72,INPUT_DATA!$C:$C,"S"))</f>
        <v/>
      </c>
      <c r="AF72" s="313" t="str">
        <f>IF($B72=0,"",SUMIFS(INPUT_DATA!AE:AE,INPUT_DATA!$A:$A,$B72,INPUT_DATA!$C:$C,"S"))</f>
        <v/>
      </c>
      <c r="AG72" s="313" t="str">
        <f>IF($B72=0,"",SUMIFS(INPUT_DATA!AF:AF,INPUT_DATA!$A:$A,$B72,INPUT_DATA!$C:$C,"S"))</f>
        <v/>
      </c>
      <c r="AH72" s="313" t="str">
        <f>IF($B72=0,"",SUMIFS(INPUT_DATA!AG:AG,INPUT_DATA!$A:$A,$B72,INPUT_DATA!$C:$C,"S"))</f>
        <v/>
      </c>
      <c r="AI72" s="313" t="str">
        <f>IF($B72=0,"",SUMIFS(INPUT_DATA!AH:AH,INPUT_DATA!$A:$A,$B72,INPUT_DATA!$C:$C,"S"))</f>
        <v/>
      </c>
      <c r="AJ72" s="313" t="str">
        <f>IF($B72=0,"",SUMIFS(INPUT_DATA!AI:AI,INPUT_DATA!$A:$A,$B72,INPUT_DATA!$C:$C,"S"))</f>
        <v/>
      </c>
      <c r="AK72" s="313" t="str">
        <f>IF($B72=0,"",SUMIFS(INPUT_DATA!AJ:AJ,INPUT_DATA!$A:$A,$B72,INPUT_DATA!$C:$C,"S"))</f>
        <v/>
      </c>
      <c r="AL72" s="313" t="str">
        <f>IF($B72=0,"",SUMIFS(INPUT_DATA!AK:AK,INPUT_DATA!$A:$A,$B72,INPUT_DATA!$C:$C,"S"))</f>
        <v/>
      </c>
      <c r="AM72" s="313" t="str">
        <f>IF($B72=0,"",SUMIFS(INPUT_DATA!AL:AL,INPUT_DATA!$A:$A,$B72,INPUT_DATA!$C:$C,"S"))</f>
        <v/>
      </c>
      <c r="AN72" s="313" t="str">
        <f>IF($B72=0,"",SUMIFS(INPUT_DATA!AM:AM,INPUT_DATA!$A:$A,$B72,INPUT_DATA!$C:$C,"S"))</f>
        <v/>
      </c>
      <c r="AO72" s="313" t="str">
        <f>IF($B72=0,"",SUMIFS(INPUT_DATA!AN:AN,INPUT_DATA!$A:$A,$B72,INPUT_DATA!$C:$C,"S"))</f>
        <v/>
      </c>
      <c r="AP72" s="313" t="str">
        <f>IF($B72=0,"",SUMIFS(INPUT_DATA!AO:AO,INPUT_DATA!$A:$A,$B72,INPUT_DATA!$C:$C,"S"))</f>
        <v/>
      </c>
      <c r="AQ72" s="313" t="str">
        <f>IF($B72=0,"",SUMIFS(INPUT_DATA!AP:AP,INPUT_DATA!$A:$A,$B72,INPUT_DATA!$C:$C,"S"))</f>
        <v/>
      </c>
      <c r="AR72" s="313" t="str">
        <f>IF($B72=0,"",SUMIFS(INPUT_DATA!AQ:AQ,INPUT_DATA!$A:$A,$B72,INPUT_DATA!$C:$C,"S"))</f>
        <v/>
      </c>
      <c r="AS72" s="749" t="str">
        <f t="shared" si="29"/>
        <v/>
      </c>
      <c r="AT72" s="750" t="str">
        <f t="shared" si="30"/>
        <v/>
      </c>
      <c r="AU72" s="751" t="str">
        <f t="shared" si="31"/>
        <v/>
      </c>
      <c r="AV72" s="749" t="str">
        <f>IF($B72=0,"",SUMIFS(INPUT_DATA!AR:AR,INPUT_DATA!$A:$A,$B72,INPUT_DATA!$C:$C,"S"))</f>
        <v/>
      </c>
      <c r="AW72" s="750" t="str">
        <f>IF($B72=0,"",SUMIFS(INPUT_DATA!AS:AS,INPUT_DATA!$A:$A,$B72,INPUT_DATA!$C:$C,"S"))</f>
        <v/>
      </c>
      <c r="AX72" s="751" t="str">
        <f>IF($B72=0,"",SUMIFS(INPUT_DATA!AT:AT,INPUT_DATA!$A:$A,$B72,INPUT_DATA!$C:$C,"S"))</f>
        <v/>
      </c>
      <c r="AY72" s="749" t="str">
        <f t="shared" si="15"/>
        <v/>
      </c>
      <c r="AZ72" s="750" t="str">
        <f t="shared" si="16"/>
        <v/>
      </c>
      <c r="BA72" s="751" t="str">
        <f t="shared" si="17"/>
        <v/>
      </c>
      <c r="BB72" s="150"/>
      <c r="BC72" s="738" t="str">
        <f>IF($B72=0,"",SUMIFS(INPUT_DATA!D:D,INPUT_DATA!$A:$A,$B72,INPUT_DATA!$C:$C,"D"))</f>
        <v/>
      </c>
      <c r="BD72" s="312" t="str">
        <f>IF($B72=0,"",SUMIFS(INPUT_DATA!F:F,INPUT_DATA!$A:$A,$B72,INPUT_DATA!$C:$C,"D"))</f>
        <v/>
      </c>
      <c r="BE72" s="312" t="str">
        <f>IF($B72=0,"",SUMIFS(INPUT_DATA!G:G,INPUT_DATA!$A:$A,$B72,INPUT_DATA!$C:$C,"D"))</f>
        <v/>
      </c>
      <c r="BF72" s="312" t="str">
        <f>IF($B72=0,"",SUMIFS(INPUT_DATA!H:H,INPUT_DATA!$A:$A,$B72,INPUT_DATA!$C:$C,"D"))</f>
        <v/>
      </c>
      <c r="BG72" s="312" t="str">
        <f>IF($B72=0,"",SUMIFS(INPUT_DATA!I:I,INPUT_DATA!$A:$A,$B72,INPUT_DATA!$C:$C,"D"))</f>
        <v/>
      </c>
      <c r="BH72" s="312" t="str">
        <f>IF($B72=0,"",SUMIFS(INPUT_DATA!J:J,INPUT_DATA!$A:$A,$B72,INPUT_DATA!$C:$C,"D"))</f>
        <v/>
      </c>
      <c r="BI72" s="312" t="str">
        <f>IF($B72=0,"",SUMIFS(INPUT_DATA!K:K,INPUT_DATA!$A:$A,$B72,INPUT_DATA!$C:$C,"D"))</f>
        <v/>
      </c>
      <c r="BJ72" s="312" t="str">
        <f>IF($B72=0,"",SUMIFS(INPUT_DATA!L:L,INPUT_DATA!$A:$A,$B72,INPUT_DATA!$C:$C,"D"))</f>
        <v/>
      </c>
      <c r="BK72" s="312" t="str">
        <f>IF($B72=0,"",SUMIFS(INPUT_DATA!M:M,INPUT_DATA!$A:$A,$B72,INPUT_DATA!$C:$C,"D"))</f>
        <v/>
      </c>
      <c r="BL72" s="312" t="str">
        <f>IF($B72=0,"",SUMIFS(INPUT_DATA!N:N,INPUT_DATA!$A:$A,$B72,INPUT_DATA!$C:$C,"D"))</f>
        <v/>
      </c>
      <c r="BM72" s="312" t="str">
        <f>IF($B72=0,"",SUMIFS(INPUT_DATA!O:O,INPUT_DATA!$A:$A,$B72,INPUT_DATA!$C:$C,"D"))</f>
        <v/>
      </c>
      <c r="BN72" s="754" t="str">
        <f t="shared" si="18"/>
        <v/>
      </c>
      <c r="BO72" s="754" t="str">
        <f>IF($B72=0,"",SUMIFS(INPUT_DATA!O:O,INPUT_DATA!$A:$A,$B72,INPUT_DATA!$C:$C,"D"))</f>
        <v/>
      </c>
      <c r="BP72" s="754" t="str">
        <f t="shared" si="19"/>
        <v/>
      </c>
      <c r="BQ72" s="738" t="str">
        <f>IF($B72=0,"",SUMIFS(INPUT_DATA!Q:Q,INPUT_DATA!$A:$A,$B72,INPUT_DATA!$C:$C,"D"))</f>
        <v/>
      </c>
      <c r="BR72" s="760" t="str">
        <f>IF($B72=0,"",SUMIFS(INPUT_DATA!R:R,INPUT_DATA!$A:$A,$B72,INPUT_DATA!$C:$C,"D"))</f>
        <v/>
      </c>
      <c r="BS72" s="760" t="str">
        <f>IF($B72=0,"",SUMIFS(INPUT_DATA!S:S,INPUT_DATA!$A:$A,$B72,INPUT_DATA!$C:$C,"D"))</f>
        <v/>
      </c>
      <c r="BT72" s="312" t="str">
        <f>IF($B72=0,"",SUMIFS(INPUT_DATA!T:T,INPUT_DATA!$A:$A,$B72,INPUT_DATA!$C:$C,"D"))</f>
        <v/>
      </c>
      <c r="BU72" s="312" t="str">
        <f>IF($B72=0,"",SUMIFS(INPUT_DATA!U:U,INPUT_DATA!$A:$A,$B72,INPUT_DATA!$C:$C,"D"))</f>
        <v/>
      </c>
      <c r="BV72" s="312" t="str">
        <f>IF($B72=0,"",SUMIFS(INPUT_DATA!V:V,INPUT_DATA!$A:$A,$B72,INPUT_DATA!$C:$C,"D"))</f>
        <v/>
      </c>
      <c r="BW72" s="312" t="str">
        <f>IF($B72=0,"",SUMIFS(INPUT_DATA!W:W,INPUT_DATA!$A:$A,$B72,INPUT_DATA!$C:$C,"D"))</f>
        <v/>
      </c>
      <c r="BX72" s="312" t="str">
        <f>IF($B72=0,"",SUMIFS(INPUT_DATA!X:X,INPUT_DATA!$A:$A,$B72,INPUT_DATA!$C:$C,"D"))</f>
        <v/>
      </c>
      <c r="BY72" s="312" t="str">
        <f>IF($B72=0,"",SUMIFS(INPUT_DATA!Y:Y,INPUT_DATA!$A:$A,$B72,INPUT_DATA!$C:$C,"D"))</f>
        <v/>
      </c>
      <c r="BZ72" s="353" t="str">
        <f>IF($B72=0,"",SUMIFS(INPUT_DATA!Z:Z,INPUT_DATA!$A:$A,$B72,INPUT_DATA!$C:$C,"D"))</f>
        <v/>
      </c>
      <c r="CA72" s="353" t="str">
        <f>IF($B72=0,"",SUMIFS(INPUT_DATA!AA:AA,INPUT_DATA!$A:$A,$B72,INPUT_DATA!$C:$C,"D"))</f>
        <v/>
      </c>
      <c r="CB72" s="353" t="str">
        <f>IF($B72=0,"",SUMIFS(INPUT_DATA!AB:AB,INPUT_DATA!$A:$A,$B72,INPUT_DATA!$C:$C,"D"))</f>
        <v/>
      </c>
      <c r="CC72" s="312" t="str">
        <f>IF($B72=0,"",SUMIFS(INPUT_DATA!AC:AC,INPUT_DATA!$A:$A,$B72,INPUT_DATA!$C:$C,"D"))</f>
        <v/>
      </c>
      <c r="CD72" s="312" t="str">
        <f>IF($B72=0,"",SUMIFS(INPUT_DATA!AD:AD,INPUT_DATA!$A:$A,$B72,INPUT_DATA!$C:$C,"D"))</f>
        <v/>
      </c>
      <c r="CE72" s="312" t="str">
        <f>IF($B72=0,"",SUMIFS(INPUT_DATA!AE:AE,INPUT_DATA!$A:$A,$B72,INPUT_DATA!$C:$C,"D"))</f>
        <v/>
      </c>
      <c r="CF72" s="353" t="str">
        <f>IF($B72=0,"",SUMIFS(INPUT_DATA!AF:AF,INPUT_DATA!$A:$A,$B72,INPUT_DATA!$C:$C,"D"))</f>
        <v/>
      </c>
      <c r="CG72" s="353" t="str">
        <f>IF($B72=0,"",SUMIFS(INPUT_DATA!AG:AG,INPUT_DATA!$A:$A,$B72,INPUT_DATA!$C:$C,"D"))</f>
        <v/>
      </c>
      <c r="CH72" s="353" t="str">
        <f>IF($B72=0,"",SUMIFS(INPUT_DATA!AH:AH,INPUT_DATA!$A:$A,$B72,INPUT_DATA!$C:$C,"D"))</f>
        <v/>
      </c>
      <c r="CI72" s="153" t="str">
        <f>IF($B72=0,"",SUMIFS(INPUT_DATA!AI:AI,INPUT_DATA!$A:$A,$B72,INPUT_DATA!$C:$C,"D"))</f>
        <v/>
      </c>
      <c r="CJ72" s="153" t="str">
        <f>IF($B72=0,"",SUMIFS(INPUT_DATA!AJ:AJ,INPUT_DATA!$A:$A,$B72,INPUT_DATA!$C:$C,"D"))</f>
        <v/>
      </c>
      <c r="CK72" s="153" t="str">
        <f>IF($B72=0,"",SUMIFS(INPUT_DATA!AK:AK,INPUT_DATA!$A:$A,$B72,INPUT_DATA!$C:$C,"D"))</f>
        <v/>
      </c>
      <c r="CL72" s="153" t="str">
        <f>IF($B72=0,"",SUMIFS(INPUT_DATA!AL:AL,INPUT_DATA!$A:$A,$B72,INPUT_DATA!$C:$C,"D"))</f>
        <v/>
      </c>
      <c r="CM72" s="153" t="str">
        <f>IF($B72=0,"",SUMIFS(INPUT_DATA!AM:AM,INPUT_DATA!$A:$A,$B72,INPUT_DATA!$C:$C,"D"))</f>
        <v/>
      </c>
      <c r="CN72" s="153" t="str">
        <f>IF($B72=0,"",SUMIFS(INPUT_DATA!AN:AN,INPUT_DATA!$A:$A,$B72,INPUT_DATA!$C:$C,"D"))</f>
        <v/>
      </c>
      <c r="CO72" s="153" t="str">
        <f>IF($B72=0,"",SUMIFS(INPUT_DATA!AO:AO,INPUT_DATA!$A:$A,$B72,INPUT_DATA!$C:$C,"D"))</f>
        <v/>
      </c>
      <c r="CP72" s="153" t="str">
        <f>IF($B72=0,"",SUMIFS(INPUT_DATA!AP:AP,INPUT_DATA!$A:$A,$B72,INPUT_DATA!$C:$C,"D"))</f>
        <v/>
      </c>
      <c r="CQ72" s="153" t="str">
        <f>IF($B72=0,"",SUMIFS(INPUT_DATA!AQ:AQ,INPUT_DATA!$A:$A,$B72,INPUT_DATA!$C:$C,"D"))</f>
        <v/>
      </c>
      <c r="CR72" s="750" t="str">
        <f t="shared" si="32"/>
        <v/>
      </c>
      <c r="CS72" s="750" t="str">
        <f t="shared" si="33"/>
        <v/>
      </c>
      <c r="CT72" s="750" t="str">
        <f t="shared" si="34"/>
        <v/>
      </c>
      <c r="CU72" s="739" t="str">
        <f>IF($B72=0,"",SUMIFS(INPUT_DATA!AR:AR,INPUT_DATA!$A:$A,$B72,INPUT_DATA!$C:$C,"D"))</f>
        <v/>
      </c>
      <c r="CV72" s="739" t="str">
        <f>IF($B72=0,"",SUMIFS(INPUT_DATA!AS:AS,INPUT_DATA!$A:$A,$B72,INPUT_DATA!$C:$C,"D"))</f>
        <v/>
      </c>
      <c r="CW72" s="739" t="str">
        <f>IF($B72=0,"",SUMIFS(INPUT_DATA!AT:AT,INPUT_DATA!$A:$A,$B72,INPUT_DATA!$C:$C,"D"))</f>
        <v/>
      </c>
      <c r="CX72" s="739" t="str">
        <f t="shared" si="35"/>
        <v/>
      </c>
      <c r="CY72" s="750" t="str">
        <f t="shared" si="36"/>
        <v/>
      </c>
      <c r="CZ72" s="761" t="str">
        <f t="shared" si="37"/>
        <v/>
      </c>
      <c r="DA72" s="150"/>
    </row>
    <row r="73" spans="1:105" ht="13" x14ac:dyDescent="0.25">
      <c r="A73" s="172">
        <f t="shared" si="40"/>
        <v>-26</v>
      </c>
      <c r="B73" s="733">
        <f>INPUT_DATA!BQ60</f>
        <v>0</v>
      </c>
      <c r="C73" s="738" t="str">
        <f>IF($B73=0,"",SUMIFS(INPUT_DATA!D:D,INPUT_DATA!$A:$A,$B73,INPUT_DATA!$C:$C,"S"))</f>
        <v/>
      </c>
      <c r="D73" s="739" t="str">
        <f>IF($B73=0,"",SUMIFS(INPUT_DATA!E:E,INPUT_DATA!$A:$A,$B73,INPUT_DATA!$C:$C,"S"))</f>
        <v/>
      </c>
      <c r="E73" s="740" t="str">
        <f>IF($B73=0,"",SUMIFS(INPUT_DATA!F:F,INPUT_DATA!$A:$A,$B73,INPUT_DATA!$C:$C,"S"))</f>
        <v/>
      </c>
      <c r="F73" s="740" t="str">
        <f>IF($B73=0,"",SUMIFS(INPUT_DATA!G:G,INPUT_DATA!$A:$A,$B73,INPUT_DATA!$C:$C,"S"))</f>
        <v/>
      </c>
      <c r="G73" s="740" t="str">
        <f>IF($B73=0,"",SUMIFS(INPUT_DATA!H:H,INPUT_DATA!$A:$A,$B73,INPUT_DATA!$C:$C,"S"))</f>
        <v/>
      </c>
      <c r="H73" s="740" t="str">
        <f>IF($B73=0,"",SUMIFS(INPUT_DATA!I:I,INPUT_DATA!$A:$A,$B73,INPUT_DATA!$C:$C,"S"))</f>
        <v/>
      </c>
      <c r="I73" s="740" t="str">
        <f>IF($B73=0,"",SUMIFS(INPUT_DATA!J:J,INPUT_DATA!$A:$A,$B73,INPUT_DATA!$C:$C,"S"))</f>
        <v/>
      </c>
      <c r="J73" s="740" t="str">
        <f>IF($B73=0,"",SUMIFS(INPUT_DATA!K:K,INPUT_DATA!$A:$A,$B73,INPUT_DATA!$C:$C,"S"))</f>
        <v/>
      </c>
      <c r="K73" s="740" t="str">
        <f>IF($B73=0,"",SUMIFS(INPUT_DATA!L:L,INPUT_DATA!$A:$A,$B73,INPUT_DATA!$C:$C,"S"))</f>
        <v/>
      </c>
      <c r="L73" s="740" t="str">
        <f>IF($B73=0,"",SUMIFS(INPUT_DATA!M:M,INPUT_DATA!$A:$A,$B73,INPUT_DATA!$C:$C,"S"))</f>
        <v/>
      </c>
      <c r="M73" s="740" t="str">
        <f>IF($B73=0,"",SUMIFS(INPUT_DATA!N:N,INPUT_DATA!$A:$A,$B73,INPUT_DATA!$C:$C,"S"))</f>
        <v/>
      </c>
      <c r="N73" s="740" t="str">
        <f>IF($B73=0,"",SUMIFS(INPUT_DATA!O:O,INPUT_DATA!$A:$A,$B73,INPUT_DATA!$C:$C,"S"))</f>
        <v/>
      </c>
      <c r="O73" s="741" t="str">
        <f t="shared" si="38"/>
        <v/>
      </c>
      <c r="P73" s="742" t="str">
        <f>IF($B73=0,"",SUMIFS(INPUT_DATA!P:P,INPUT_DATA!$A:$A,$B73,INPUT_DATA!$C:$C,"S"))</f>
        <v/>
      </c>
      <c r="Q73" s="742" t="str">
        <f t="shared" si="39"/>
        <v/>
      </c>
      <c r="R73" s="748" t="str">
        <f>IF($B73=0,"",SUMIFS(INPUT_DATA!Q:Q,INPUT_DATA!$A:$A,$B73,INPUT_DATA!$C:$C,"S"))</f>
        <v/>
      </c>
      <c r="S73" s="748" t="str">
        <f>IF($B73=0,"",SUMIFS(INPUT_DATA!R:R,INPUT_DATA!$A:$A,$B73,INPUT_DATA!$C:$C,"S"))</f>
        <v/>
      </c>
      <c r="T73" s="748" t="str">
        <f>IF($B73=0,"",SUMIFS(INPUT_DATA!S:S,INPUT_DATA!$A:$A,$B73,INPUT_DATA!$C:$C,"S"))</f>
        <v/>
      </c>
      <c r="U73" s="313" t="str">
        <f>IF($B73=0,"",SUMIFS(INPUT_DATA!T:T,INPUT_DATA!$A:$A,$B73,INPUT_DATA!$C:$C,"S"))</f>
        <v/>
      </c>
      <c r="V73" s="313" t="str">
        <f>IF($B73=0,"",SUMIFS(INPUT_DATA!U:U,INPUT_DATA!$A:$A,$B73,INPUT_DATA!$C:$C,"S"))</f>
        <v/>
      </c>
      <c r="W73" s="313" t="str">
        <f>IF($B73=0,"",SUMIFS(INPUT_DATA!V:V,INPUT_DATA!$A:$A,$B73,INPUT_DATA!$C:$C,"S"))</f>
        <v/>
      </c>
      <c r="X73" s="313" t="str">
        <f>IF($B73=0,"",SUMIFS(INPUT_DATA!W:W,INPUT_DATA!$A:$A,$B73,INPUT_DATA!$C:$C,"S"))</f>
        <v/>
      </c>
      <c r="Y73" s="313" t="str">
        <f>IF($B73=0,"",SUMIFS(INPUT_DATA!X:X,INPUT_DATA!$A:$A,$B73,INPUT_DATA!$C:$C,"S"))</f>
        <v/>
      </c>
      <c r="Z73" s="313" t="str">
        <f>IF($B73=0,"",SUMIFS(INPUT_DATA!Y:Y,INPUT_DATA!$A:$A,$B73,INPUT_DATA!$C:$C,"S"))</f>
        <v/>
      </c>
      <c r="AA73" s="313" t="str">
        <f>IF($B73=0,"",SUMIFS(INPUT_DATA!Z:Z,INPUT_DATA!$A:$A,$B73,INPUT_DATA!$C:$C,"S"))</f>
        <v/>
      </c>
      <c r="AB73" s="313" t="str">
        <f>IF($B73=0,"",SUMIFS(INPUT_DATA!AA:AA,INPUT_DATA!$A:$A,$B73,INPUT_DATA!$C:$C,"S"))</f>
        <v/>
      </c>
      <c r="AC73" s="313" t="str">
        <f>IF($B73=0,"",SUMIFS(INPUT_DATA!AB:AB,INPUT_DATA!$A:$A,$B73,INPUT_DATA!$C:$C,"S"))</f>
        <v/>
      </c>
      <c r="AD73" s="313" t="str">
        <f>IF($B73=0,"",SUMIFS(INPUT_DATA!AC:AC,INPUT_DATA!$A:$A,$B73,INPUT_DATA!$C:$C,"S"))</f>
        <v/>
      </c>
      <c r="AE73" s="313" t="str">
        <f>IF($B73=0,"",SUMIFS(INPUT_DATA!AD:AD,INPUT_DATA!$A:$A,$B73,INPUT_DATA!$C:$C,"S"))</f>
        <v/>
      </c>
      <c r="AF73" s="313" t="str">
        <f>IF($B73=0,"",SUMIFS(INPUT_DATA!AE:AE,INPUT_DATA!$A:$A,$B73,INPUT_DATA!$C:$C,"S"))</f>
        <v/>
      </c>
      <c r="AG73" s="313" t="str">
        <f>IF($B73=0,"",SUMIFS(INPUT_DATA!AF:AF,INPUT_DATA!$A:$A,$B73,INPUT_DATA!$C:$C,"S"))</f>
        <v/>
      </c>
      <c r="AH73" s="313" t="str">
        <f>IF($B73=0,"",SUMIFS(INPUT_DATA!AG:AG,INPUT_DATA!$A:$A,$B73,INPUT_DATA!$C:$C,"S"))</f>
        <v/>
      </c>
      <c r="AI73" s="313" t="str">
        <f>IF($B73=0,"",SUMIFS(INPUT_DATA!AH:AH,INPUT_DATA!$A:$A,$B73,INPUT_DATA!$C:$C,"S"))</f>
        <v/>
      </c>
      <c r="AJ73" s="313" t="str">
        <f>IF($B73=0,"",SUMIFS(INPUT_DATA!AI:AI,INPUT_DATA!$A:$A,$B73,INPUT_DATA!$C:$C,"S"))</f>
        <v/>
      </c>
      <c r="AK73" s="313" t="str">
        <f>IF($B73=0,"",SUMIFS(INPUT_DATA!AJ:AJ,INPUT_DATA!$A:$A,$B73,INPUT_DATA!$C:$C,"S"))</f>
        <v/>
      </c>
      <c r="AL73" s="313" t="str">
        <f>IF($B73=0,"",SUMIFS(INPUT_DATA!AK:AK,INPUT_DATA!$A:$A,$B73,INPUT_DATA!$C:$C,"S"))</f>
        <v/>
      </c>
      <c r="AM73" s="313" t="str">
        <f>IF($B73=0,"",SUMIFS(INPUT_DATA!AL:AL,INPUT_DATA!$A:$A,$B73,INPUT_DATA!$C:$C,"S"))</f>
        <v/>
      </c>
      <c r="AN73" s="313" t="str">
        <f>IF($B73=0,"",SUMIFS(INPUT_DATA!AM:AM,INPUT_DATA!$A:$A,$B73,INPUT_DATA!$C:$C,"S"))</f>
        <v/>
      </c>
      <c r="AO73" s="313" t="str">
        <f>IF($B73=0,"",SUMIFS(INPUT_DATA!AN:AN,INPUT_DATA!$A:$A,$B73,INPUT_DATA!$C:$C,"S"))</f>
        <v/>
      </c>
      <c r="AP73" s="313" t="str">
        <f>IF($B73=0,"",SUMIFS(INPUT_DATA!AO:AO,INPUT_DATA!$A:$A,$B73,INPUT_DATA!$C:$C,"S"))</f>
        <v/>
      </c>
      <c r="AQ73" s="313" t="str">
        <f>IF($B73=0,"",SUMIFS(INPUT_DATA!AP:AP,INPUT_DATA!$A:$A,$B73,INPUT_DATA!$C:$C,"S"))</f>
        <v/>
      </c>
      <c r="AR73" s="313" t="str">
        <f>IF($B73=0,"",SUMIFS(INPUT_DATA!AQ:AQ,INPUT_DATA!$A:$A,$B73,INPUT_DATA!$C:$C,"S"))</f>
        <v/>
      </c>
      <c r="AS73" s="749" t="str">
        <f t="shared" si="29"/>
        <v/>
      </c>
      <c r="AT73" s="750" t="str">
        <f t="shared" si="30"/>
        <v/>
      </c>
      <c r="AU73" s="751" t="str">
        <f t="shared" si="31"/>
        <v/>
      </c>
      <c r="AV73" s="749" t="str">
        <f>IF($B73=0,"",SUMIFS(INPUT_DATA!AR:AR,INPUT_DATA!$A:$A,$B73,INPUT_DATA!$C:$C,"S"))</f>
        <v/>
      </c>
      <c r="AW73" s="750" t="str">
        <f>IF($B73=0,"",SUMIFS(INPUT_DATA!AS:AS,INPUT_DATA!$A:$A,$B73,INPUT_DATA!$C:$C,"S"))</f>
        <v/>
      </c>
      <c r="AX73" s="751" t="str">
        <f>IF($B73=0,"",SUMIFS(INPUT_DATA!AT:AT,INPUT_DATA!$A:$A,$B73,INPUT_DATA!$C:$C,"S"))</f>
        <v/>
      </c>
      <c r="AY73" s="749" t="str">
        <f t="shared" si="15"/>
        <v/>
      </c>
      <c r="AZ73" s="750" t="str">
        <f t="shared" si="16"/>
        <v/>
      </c>
      <c r="BA73" s="751" t="str">
        <f t="shared" si="17"/>
        <v/>
      </c>
      <c r="BB73" s="150"/>
      <c r="BC73" s="738" t="str">
        <f>IF($B73=0,"",SUMIFS(INPUT_DATA!D:D,INPUT_DATA!$A:$A,$B73,INPUT_DATA!$C:$C,"D"))</f>
        <v/>
      </c>
      <c r="BD73" s="312" t="str">
        <f>IF($B73=0,"",SUMIFS(INPUT_DATA!F:F,INPUT_DATA!$A:$A,$B73,INPUT_DATA!$C:$C,"D"))</f>
        <v/>
      </c>
      <c r="BE73" s="312" t="str">
        <f>IF($B73=0,"",SUMIFS(INPUT_DATA!G:G,INPUT_DATA!$A:$A,$B73,INPUT_DATA!$C:$C,"D"))</f>
        <v/>
      </c>
      <c r="BF73" s="312" t="str">
        <f>IF($B73=0,"",SUMIFS(INPUT_DATA!H:H,INPUT_DATA!$A:$A,$B73,INPUT_DATA!$C:$C,"D"))</f>
        <v/>
      </c>
      <c r="BG73" s="312" t="str">
        <f>IF($B73=0,"",SUMIFS(INPUT_DATA!I:I,INPUT_DATA!$A:$A,$B73,INPUT_DATA!$C:$C,"D"))</f>
        <v/>
      </c>
      <c r="BH73" s="312" t="str">
        <f>IF($B73=0,"",SUMIFS(INPUT_DATA!J:J,INPUT_DATA!$A:$A,$B73,INPUT_DATA!$C:$C,"D"))</f>
        <v/>
      </c>
      <c r="BI73" s="312" t="str">
        <f>IF($B73=0,"",SUMIFS(INPUT_DATA!K:K,INPUT_DATA!$A:$A,$B73,INPUT_DATA!$C:$C,"D"))</f>
        <v/>
      </c>
      <c r="BJ73" s="312" t="str">
        <f>IF($B73=0,"",SUMIFS(INPUT_DATA!L:L,INPUT_DATA!$A:$A,$B73,INPUT_DATA!$C:$C,"D"))</f>
        <v/>
      </c>
      <c r="BK73" s="312" t="str">
        <f>IF($B73=0,"",SUMIFS(INPUT_DATA!M:M,INPUT_DATA!$A:$A,$B73,INPUT_DATA!$C:$C,"D"))</f>
        <v/>
      </c>
      <c r="BL73" s="312" t="str">
        <f>IF($B73=0,"",SUMIFS(INPUT_DATA!N:N,INPUT_DATA!$A:$A,$B73,INPUT_DATA!$C:$C,"D"))</f>
        <v/>
      </c>
      <c r="BM73" s="312" t="str">
        <f>IF($B73=0,"",SUMIFS(INPUT_DATA!O:O,INPUT_DATA!$A:$A,$B73,INPUT_DATA!$C:$C,"D"))</f>
        <v/>
      </c>
      <c r="BN73" s="754" t="str">
        <f t="shared" si="18"/>
        <v/>
      </c>
      <c r="BO73" s="754" t="str">
        <f>IF($B73=0,"",SUMIFS(INPUT_DATA!O:O,INPUT_DATA!$A:$A,$B73,INPUT_DATA!$C:$C,"D"))</f>
        <v/>
      </c>
      <c r="BP73" s="754" t="str">
        <f t="shared" si="19"/>
        <v/>
      </c>
      <c r="BQ73" s="738" t="str">
        <f>IF($B73=0,"",SUMIFS(INPUT_DATA!Q:Q,INPUT_DATA!$A:$A,$B73,INPUT_DATA!$C:$C,"D"))</f>
        <v/>
      </c>
      <c r="BR73" s="760" t="str">
        <f>IF($B73=0,"",SUMIFS(INPUT_DATA!R:R,INPUT_DATA!$A:$A,$B73,INPUT_DATA!$C:$C,"D"))</f>
        <v/>
      </c>
      <c r="BS73" s="760" t="str">
        <f>IF($B73=0,"",SUMIFS(INPUT_DATA!S:S,INPUT_DATA!$A:$A,$B73,INPUT_DATA!$C:$C,"D"))</f>
        <v/>
      </c>
      <c r="BT73" s="312" t="str">
        <f>IF($B73=0,"",SUMIFS(INPUT_DATA!T:T,INPUT_DATA!$A:$A,$B73,INPUT_DATA!$C:$C,"D"))</f>
        <v/>
      </c>
      <c r="BU73" s="312" t="str">
        <f>IF($B73=0,"",SUMIFS(INPUT_DATA!U:U,INPUT_DATA!$A:$A,$B73,INPUT_DATA!$C:$C,"D"))</f>
        <v/>
      </c>
      <c r="BV73" s="312" t="str">
        <f>IF($B73=0,"",SUMIFS(INPUT_DATA!V:V,INPUT_DATA!$A:$A,$B73,INPUT_DATA!$C:$C,"D"))</f>
        <v/>
      </c>
      <c r="BW73" s="312" t="str">
        <f>IF($B73=0,"",SUMIFS(INPUT_DATA!W:W,INPUT_DATA!$A:$A,$B73,INPUT_DATA!$C:$C,"D"))</f>
        <v/>
      </c>
      <c r="BX73" s="312" t="str">
        <f>IF($B73=0,"",SUMIFS(INPUT_DATA!X:X,INPUT_DATA!$A:$A,$B73,INPUT_DATA!$C:$C,"D"))</f>
        <v/>
      </c>
      <c r="BY73" s="312" t="str">
        <f>IF($B73=0,"",SUMIFS(INPUT_DATA!Y:Y,INPUT_DATA!$A:$A,$B73,INPUT_DATA!$C:$C,"D"))</f>
        <v/>
      </c>
      <c r="BZ73" s="353" t="str">
        <f>IF($B73=0,"",SUMIFS(INPUT_DATA!Z:Z,INPUT_DATA!$A:$A,$B73,INPUT_DATA!$C:$C,"D"))</f>
        <v/>
      </c>
      <c r="CA73" s="353" t="str">
        <f>IF($B73=0,"",SUMIFS(INPUT_DATA!AA:AA,INPUT_DATA!$A:$A,$B73,INPUT_DATA!$C:$C,"D"))</f>
        <v/>
      </c>
      <c r="CB73" s="353" t="str">
        <f>IF($B73=0,"",SUMIFS(INPUT_DATA!AB:AB,INPUT_DATA!$A:$A,$B73,INPUT_DATA!$C:$C,"D"))</f>
        <v/>
      </c>
      <c r="CC73" s="312" t="str">
        <f>IF($B73=0,"",SUMIFS(INPUT_DATA!AC:AC,INPUT_DATA!$A:$A,$B73,INPUT_DATA!$C:$C,"D"))</f>
        <v/>
      </c>
      <c r="CD73" s="312" t="str">
        <f>IF($B73=0,"",SUMIFS(INPUT_DATA!AD:AD,INPUT_DATA!$A:$A,$B73,INPUT_DATA!$C:$C,"D"))</f>
        <v/>
      </c>
      <c r="CE73" s="312" t="str">
        <f>IF($B73=0,"",SUMIFS(INPUT_DATA!AE:AE,INPUT_DATA!$A:$A,$B73,INPUT_DATA!$C:$C,"D"))</f>
        <v/>
      </c>
      <c r="CF73" s="353" t="str">
        <f>IF($B73=0,"",SUMIFS(INPUT_DATA!AF:AF,INPUT_DATA!$A:$A,$B73,INPUT_DATA!$C:$C,"D"))</f>
        <v/>
      </c>
      <c r="CG73" s="353" t="str">
        <f>IF($B73=0,"",SUMIFS(INPUT_DATA!AG:AG,INPUT_DATA!$A:$A,$B73,INPUT_DATA!$C:$C,"D"))</f>
        <v/>
      </c>
      <c r="CH73" s="353" t="str">
        <f>IF($B73=0,"",SUMIFS(INPUT_DATA!AH:AH,INPUT_DATA!$A:$A,$B73,INPUT_DATA!$C:$C,"D"))</f>
        <v/>
      </c>
      <c r="CI73" s="153" t="str">
        <f>IF($B73=0,"",SUMIFS(INPUT_DATA!AI:AI,INPUT_DATA!$A:$A,$B73,INPUT_DATA!$C:$C,"D"))</f>
        <v/>
      </c>
      <c r="CJ73" s="153" t="str">
        <f>IF($B73=0,"",SUMIFS(INPUT_DATA!AJ:AJ,INPUT_DATA!$A:$A,$B73,INPUT_DATA!$C:$C,"D"))</f>
        <v/>
      </c>
      <c r="CK73" s="153" t="str">
        <f>IF($B73=0,"",SUMIFS(INPUT_DATA!AK:AK,INPUT_DATA!$A:$A,$B73,INPUT_DATA!$C:$C,"D"))</f>
        <v/>
      </c>
      <c r="CL73" s="153" t="str">
        <f>IF($B73=0,"",SUMIFS(INPUT_DATA!AL:AL,INPUT_DATA!$A:$A,$B73,INPUT_DATA!$C:$C,"D"))</f>
        <v/>
      </c>
      <c r="CM73" s="153" t="str">
        <f>IF($B73=0,"",SUMIFS(INPUT_DATA!AM:AM,INPUT_DATA!$A:$A,$B73,INPUT_DATA!$C:$C,"D"))</f>
        <v/>
      </c>
      <c r="CN73" s="153" t="str">
        <f>IF($B73=0,"",SUMIFS(INPUT_DATA!AN:AN,INPUT_DATA!$A:$A,$B73,INPUT_DATA!$C:$C,"D"))</f>
        <v/>
      </c>
      <c r="CO73" s="153" t="str">
        <f>IF($B73=0,"",SUMIFS(INPUT_DATA!AO:AO,INPUT_DATA!$A:$A,$B73,INPUT_DATA!$C:$C,"D"))</f>
        <v/>
      </c>
      <c r="CP73" s="153" t="str">
        <f>IF($B73=0,"",SUMIFS(INPUT_DATA!AP:AP,INPUT_DATA!$A:$A,$B73,INPUT_DATA!$C:$C,"D"))</f>
        <v/>
      </c>
      <c r="CQ73" s="153" t="str">
        <f>IF($B73=0,"",SUMIFS(INPUT_DATA!AQ:AQ,INPUT_DATA!$A:$A,$B73,INPUT_DATA!$C:$C,"D"))</f>
        <v/>
      </c>
      <c r="CR73" s="750" t="str">
        <f t="shared" si="32"/>
        <v/>
      </c>
      <c r="CS73" s="750" t="str">
        <f t="shared" si="33"/>
        <v/>
      </c>
      <c r="CT73" s="750" t="str">
        <f t="shared" si="34"/>
        <v/>
      </c>
      <c r="CU73" s="739" t="str">
        <f>IF($B73=0,"",SUMIFS(INPUT_DATA!AR:AR,INPUT_DATA!$A:$A,$B73,INPUT_DATA!$C:$C,"D"))</f>
        <v/>
      </c>
      <c r="CV73" s="739" t="str">
        <f>IF($B73=0,"",SUMIFS(INPUT_DATA!AS:AS,INPUT_DATA!$A:$A,$B73,INPUT_DATA!$C:$C,"D"))</f>
        <v/>
      </c>
      <c r="CW73" s="739" t="str">
        <f>IF($B73=0,"",SUMIFS(INPUT_DATA!AT:AT,INPUT_DATA!$A:$A,$B73,INPUT_DATA!$C:$C,"D"))</f>
        <v/>
      </c>
      <c r="CX73" s="739" t="str">
        <f t="shared" si="35"/>
        <v/>
      </c>
      <c r="CY73" s="750" t="str">
        <f t="shared" si="36"/>
        <v/>
      </c>
      <c r="CZ73" s="761" t="str">
        <f t="shared" si="37"/>
        <v/>
      </c>
      <c r="DA73" s="150"/>
    </row>
    <row r="74" spans="1:105" ht="13" x14ac:dyDescent="0.25">
      <c r="A74" s="172">
        <f t="shared" si="40"/>
        <v>-27</v>
      </c>
      <c r="B74" s="733">
        <f>INPUT_DATA!BQ61</f>
        <v>0</v>
      </c>
      <c r="C74" s="738" t="str">
        <f>IF($B74=0,"",SUMIFS(INPUT_DATA!D:D,INPUT_DATA!$A:$A,$B74,INPUT_DATA!$C:$C,"S"))</f>
        <v/>
      </c>
      <c r="D74" s="739" t="str">
        <f>IF($B74=0,"",SUMIFS(INPUT_DATA!E:E,INPUT_DATA!$A:$A,$B74,INPUT_DATA!$C:$C,"S"))</f>
        <v/>
      </c>
      <c r="E74" s="740" t="str">
        <f>IF($B74=0,"",SUMIFS(INPUT_DATA!F:F,INPUT_DATA!$A:$A,$B74,INPUT_DATA!$C:$C,"S"))</f>
        <v/>
      </c>
      <c r="F74" s="740" t="str">
        <f>IF($B74=0,"",SUMIFS(INPUT_DATA!G:G,INPUT_DATA!$A:$A,$B74,INPUT_DATA!$C:$C,"S"))</f>
        <v/>
      </c>
      <c r="G74" s="740" t="str">
        <f>IF($B74=0,"",SUMIFS(INPUT_DATA!H:H,INPUT_DATA!$A:$A,$B74,INPUT_DATA!$C:$C,"S"))</f>
        <v/>
      </c>
      <c r="H74" s="740" t="str">
        <f>IF($B74=0,"",SUMIFS(INPUT_DATA!I:I,INPUT_DATA!$A:$A,$B74,INPUT_DATA!$C:$C,"S"))</f>
        <v/>
      </c>
      <c r="I74" s="740" t="str">
        <f>IF($B74=0,"",SUMIFS(INPUT_DATA!J:J,INPUT_DATA!$A:$A,$B74,INPUT_DATA!$C:$C,"S"))</f>
        <v/>
      </c>
      <c r="J74" s="740" t="str">
        <f>IF($B74=0,"",SUMIFS(INPUT_DATA!K:K,INPUT_DATA!$A:$A,$B74,INPUT_DATA!$C:$C,"S"))</f>
        <v/>
      </c>
      <c r="K74" s="740" t="str">
        <f>IF($B74=0,"",SUMIFS(INPUT_DATA!L:L,INPUT_DATA!$A:$A,$B74,INPUT_DATA!$C:$C,"S"))</f>
        <v/>
      </c>
      <c r="L74" s="740" t="str">
        <f>IF($B74=0,"",SUMIFS(INPUT_DATA!M:M,INPUT_DATA!$A:$A,$B74,INPUT_DATA!$C:$C,"S"))</f>
        <v/>
      </c>
      <c r="M74" s="740" t="str">
        <f>IF($B74=0,"",SUMIFS(INPUT_DATA!N:N,INPUT_DATA!$A:$A,$B74,INPUT_DATA!$C:$C,"S"))</f>
        <v/>
      </c>
      <c r="N74" s="740" t="str">
        <f>IF($B74=0,"",SUMIFS(INPUT_DATA!O:O,INPUT_DATA!$A:$A,$B74,INPUT_DATA!$C:$C,"S"))</f>
        <v/>
      </c>
      <c r="O74" s="741" t="str">
        <f t="shared" si="38"/>
        <v/>
      </c>
      <c r="P74" s="742" t="str">
        <f>IF($B74=0,"",SUMIFS(INPUT_DATA!P:P,INPUT_DATA!$A:$A,$B74,INPUT_DATA!$C:$C,"S"))</f>
        <v/>
      </c>
      <c r="Q74" s="742" t="str">
        <f t="shared" si="39"/>
        <v/>
      </c>
      <c r="R74" s="748" t="str">
        <f>IF($B74=0,"",SUMIFS(INPUT_DATA!Q:Q,INPUT_DATA!$A:$A,$B74,INPUT_DATA!$C:$C,"S"))</f>
        <v/>
      </c>
      <c r="S74" s="748" t="str">
        <f>IF($B74=0,"",SUMIFS(INPUT_DATA!R:R,INPUT_DATA!$A:$A,$B74,INPUT_DATA!$C:$C,"S"))</f>
        <v/>
      </c>
      <c r="T74" s="748" t="str">
        <f>IF($B74=0,"",SUMIFS(INPUT_DATA!S:S,INPUT_DATA!$A:$A,$B74,INPUT_DATA!$C:$C,"S"))</f>
        <v/>
      </c>
      <c r="U74" s="313" t="str">
        <f>IF($B74=0,"",SUMIFS(INPUT_DATA!T:T,INPUT_DATA!$A:$A,$B74,INPUT_DATA!$C:$C,"S"))</f>
        <v/>
      </c>
      <c r="V74" s="313" t="str">
        <f>IF($B74=0,"",SUMIFS(INPUT_DATA!U:U,INPUT_DATA!$A:$A,$B74,INPUT_DATA!$C:$C,"S"))</f>
        <v/>
      </c>
      <c r="W74" s="313" t="str">
        <f>IF($B74=0,"",SUMIFS(INPUT_DATA!V:V,INPUT_DATA!$A:$A,$B74,INPUT_DATA!$C:$C,"S"))</f>
        <v/>
      </c>
      <c r="X74" s="313" t="str">
        <f>IF($B74=0,"",SUMIFS(INPUT_DATA!W:W,INPUT_DATA!$A:$A,$B74,INPUT_DATA!$C:$C,"S"))</f>
        <v/>
      </c>
      <c r="Y74" s="313" t="str">
        <f>IF($B74=0,"",SUMIFS(INPUT_DATA!X:X,INPUT_DATA!$A:$A,$B74,INPUT_DATA!$C:$C,"S"))</f>
        <v/>
      </c>
      <c r="Z74" s="313" t="str">
        <f>IF($B74=0,"",SUMIFS(INPUT_DATA!Y:Y,INPUT_DATA!$A:$A,$B74,INPUT_DATA!$C:$C,"S"))</f>
        <v/>
      </c>
      <c r="AA74" s="313" t="str">
        <f>IF($B74=0,"",SUMIFS(INPUT_DATA!Z:Z,INPUT_DATA!$A:$A,$B74,INPUT_DATA!$C:$C,"S"))</f>
        <v/>
      </c>
      <c r="AB74" s="313" t="str">
        <f>IF($B74=0,"",SUMIFS(INPUT_DATA!AA:AA,INPUT_DATA!$A:$A,$B74,INPUT_DATA!$C:$C,"S"))</f>
        <v/>
      </c>
      <c r="AC74" s="313" t="str">
        <f>IF($B74=0,"",SUMIFS(INPUT_DATA!AB:AB,INPUT_DATA!$A:$A,$B74,INPUT_DATA!$C:$C,"S"))</f>
        <v/>
      </c>
      <c r="AD74" s="313" t="str">
        <f>IF($B74=0,"",SUMIFS(INPUT_DATA!AC:AC,INPUT_DATA!$A:$A,$B74,INPUT_DATA!$C:$C,"S"))</f>
        <v/>
      </c>
      <c r="AE74" s="313" t="str">
        <f>IF($B74=0,"",SUMIFS(INPUT_DATA!AD:AD,INPUT_DATA!$A:$A,$B74,INPUT_DATA!$C:$C,"S"))</f>
        <v/>
      </c>
      <c r="AF74" s="313" t="str">
        <f>IF($B74=0,"",SUMIFS(INPUT_DATA!AE:AE,INPUT_DATA!$A:$A,$B74,INPUT_DATA!$C:$C,"S"))</f>
        <v/>
      </c>
      <c r="AG74" s="313" t="str">
        <f>IF($B74=0,"",SUMIFS(INPUT_DATA!AF:AF,INPUT_DATA!$A:$A,$B74,INPUT_DATA!$C:$C,"S"))</f>
        <v/>
      </c>
      <c r="AH74" s="313" t="str">
        <f>IF($B74=0,"",SUMIFS(INPUT_DATA!AG:AG,INPUT_DATA!$A:$A,$B74,INPUT_DATA!$C:$C,"S"))</f>
        <v/>
      </c>
      <c r="AI74" s="313" t="str">
        <f>IF($B74=0,"",SUMIFS(INPUT_DATA!AH:AH,INPUT_DATA!$A:$A,$B74,INPUT_DATA!$C:$C,"S"))</f>
        <v/>
      </c>
      <c r="AJ74" s="313" t="str">
        <f>IF($B74=0,"",SUMIFS(INPUT_DATA!AI:AI,INPUT_DATA!$A:$A,$B74,INPUT_DATA!$C:$C,"S"))</f>
        <v/>
      </c>
      <c r="AK74" s="313" t="str">
        <f>IF($B74=0,"",SUMIFS(INPUT_DATA!AJ:AJ,INPUT_DATA!$A:$A,$B74,INPUT_DATA!$C:$C,"S"))</f>
        <v/>
      </c>
      <c r="AL74" s="313" t="str">
        <f>IF($B74=0,"",SUMIFS(INPUT_DATA!AK:AK,INPUT_DATA!$A:$A,$B74,INPUT_DATA!$C:$C,"S"))</f>
        <v/>
      </c>
      <c r="AM74" s="313" t="str">
        <f>IF($B74=0,"",SUMIFS(INPUT_DATA!AL:AL,INPUT_DATA!$A:$A,$B74,INPUT_DATA!$C:$C,"S"))</f>
        <v/>
      </c>
      <c r="AN74" s="313" t="str">
        <f>IF($B74=0,"",SUMIFS(INPUT_DATA!AM:AM,INPUT_DATA!$A:$A,$B74,INPUT_DATA!$C:$C,"S"))</f>
        <v/>
      </c>
      <c r="AO74" s="313" t="str">
        <f>IF($B74=0,"",SUMIFS(INPUT_DATA!AN:AN,INPUT_DATA!$A:$A,$B74,INPUT_DATA!$C:$C,"S"))</f>
        <v/>
      </c>
      <c r="AP74" s="313" t="str">
        <f>IF($B74=0,"",SUMIFS(INPUT_DATA!AO:AO,INPUT_DATA!$A:$A,$B74,INPUT_DATA!$C:$C,"S"))</f>
        <v/>
      </c>
      <c r="AQ74" s="313" t="str">
        <f>IF($B74=0,"",SUMIFS(INPUT_DATA!AP:AP,INPUT_DATA!$A:$A,$B74,INPUT_DATA!$C:$C,"S"))</f>
        <v/>
      </c>
      <c r="AR74" s="313" t="str">
        <f>IF($B74=0,"",SUMIFS(INPUT_DATA!AQ:AQ,INPUT_DATA!$A:$A,$B74,INPUT_DATA!$C:$C,"S"))</f>
        <v/>
      </c>
      <c r="AS74" s="749" t="str">
        <f t="shared" si="29"/>
        <v/>
      </c>
      <c r="AT74" s="750" t="str">
        <f t="shared" si="30"/>
        <v/>
      </c>
      <c r="AU74" s="751" t="str">
        <f t="shared" si="31"/>
        <v/>
      </c>
      <c r="AV74" s="749" t="str">
        <f>IF($B74=0,"",SUMIFS(INPUT_DATA!AR:AR,INPUT_DATA!$A:$A,$B74,INPUT_DATA!$C:$C,"S"))</f>
        <v/>
      </c>
      <c r="AW74" s="750" t="str">
        <f>IF($B74=0,"",SUMIFS(INPUT_DATA!AS:AS,INPUT_DATA!$A:$A,$B74,INPUT_DATA!$C:$C,"S"))</f>
        <v/>
      </c>
      <c r="AX74" s="751" t="str">
        <f>IF($B74=0,"",SUMIFS(INPUT_DATA!AT:AT,INPUT_DATA!$A:$A,$B74,INPUT_DATA!$C:$C,"S"))</f>
        <v/>
      </c>
      <c r="AY74" s="749" t="str">
        <f t="shared" si="15"/>
        <v/>
      </c>
      <c r="AZ74" s="750" t="str">
        <f t="shared" si="16"/>
        <v/>
      </c>
      <c r="BA74" s="751" t="str">
        <f t="shared" si="17"/>
        <v/>
      </c>
      <c r="BB74" s="150"/>
      <c r="BC74" s="738" t="str">
        <f>IF($B74=0,"",SUMIFS(INPUT_DATA!D:D,INPUT_DATA!$A:$A,$B74,INPUT_DATA!$C:$C,"D"))</f>
        <v/>
      </c>
      <c r="BD74" s="312" t="str">
        <f>IF($B74=0,"",SUMIFS(INPUT_DATA!F:F,INPUT_DATA!$A:$A,$B74,INPUT_DATA!$C:$C,"D"))</f>
        <v/>
      </c>
      <c r="BE74" s="312" t="str">
        <f>IF($B74=0,"",SUMIFS(INPUT_DATA!G:G,INPUT_DATA!$A:$A,$B74,INPUT_DATA!$C:$C,"D"))</f>
        <v/>
      </c>
      <c r="BF74" s="312" t="str">
        <f>IF($B74=0,"",SUMIFS(INPUT_DATA!H:H,INPUT_DATA!$A:$A,$B74,INPUT_DATA!$C:$C,"D"))</f>
        <v/>
      </c>
      <c r="BG74" s="312" t="str">
        <f>IF($B74=0,"",SUMIFS(INPUT_DATA!I:I,INPUT_DATA!$A:$A,$B74,INPUT_DATA!$C:$C,"D"))</f>
        <v/>
      </c>
      <c r="BH74" s="312" t="str">
        <f>IF($B74=0,"",SUMIFS(INPUT_DATA!J:J,INPUT_DATA!$A:$A,$B74,INPUT_DATA!$C:$C,"D"))</f>
        <v/>
      </c>
      <c r="BI74" s="312" t="str">
        <f>IF($B74=0,"",SUMIFS(INPUT_DATA!K:K,INPUT_DATA!$A:$A,$B74,INPUT_DATA!$C:$C,"D"))</f>
        <v/>
      </c>
      <c r="BJ74" s="312" t="str">
        <f>IF($B74=0,"",SUMIFS(INPUT_DATA!L:L,INPUT_DATA!$A:$A,$B74,INPUT_DATA!$C:$C,"D"))</f>
        <v/>
      </c>
      <c r="BK74" s="312" t="str">
        <f>IF($B74=0,"",SUMIFS(INPUT_DATA!M:M,INPUT_DATA!$A:$A,$B74,INPUT_DATA!$C:$C,"D"))</f>
        <v/>
      </c>
      <c r="BL74" s="312" t="str">
        <f>IF($B74=0,"",SUMIFS(INPUT_DATA!N:N,INPUT_DATA!$A:$A,$B74,INPUT_DATA!$C:$C,"D"))</f>
        <v/>
      </c>
      <c r="BM74" s="312" t="str">
        <f>IF($B74=0,"",SUMIFS(INPUT_DATA!O:O,INPUT_DATA!$A:$A,$B74,INPUT_DATA!$C:$C,"D"))</f>
        <v/>
      </c>
      <c r="BN74" s="754" t="str">
        <f t="shared" si="18"/>
        <v/>
      </c>
      <c r="BO74" s="754" t="str">
        <f>IF($B74=0,"",SUMIFS(INPUT_DATA!O:O,INPUT_DATA!$A:$A,$B74,INPUT_DATA!$C:$C,"D"))</f>
        <v/>
      </c>
      <c r="BP74" s="754" t="str">
        <f t="shared" si="19"/>
        <v/>
      </c>
      <c r="BQ74" s="738" t="str">
        <f>IF($B74=0,"",SUMIFS(INPUT_DATA!Q:Q,INPUT_DATA!$A:$A,$B74,INPUT_DATA!$C:$C,"D"))</f>
        <v/>
      </c>
      <c r="BR74" s="760" t="str">
        <f>IF($B74=0,"",SUMIFS(INPUT_DATA!R:R,INPUT_DATA!$A:$A,$B74,INPUT_DATA!$C:$C,"D"))</f>
        <v/>
      </c>
      <c r="BS74" s="760" t="str">
        <f>IF($B74=0,"",SUMIFS(INPUT_DATA!S:S,INPUT_DATA!$A:$A,$B74,INPUT_DATA!$C:$C,"D"))</f>
        <v/>
      </c>
      <c r="BT74" s="312" t="str">
        <f>IF($B74=0,"",SUMIFS(INPUT_DATA!T:T,INPUT_DATA!$A:$A,$B74,INPUT_DATA!$C:$C,"D"))</f>
        <v/>
      </c>
      <c r="BU74" s="312" t="str">
        <f>IF($B74=0,"",SUMIFS(INPUT_DATA!U:U,INPUT_DATA!$A:$A,$B74,INPUT_DATA!$C:$C,"D"))</f>
        <v/>
      </c>
      <c r="BV74" s="312" t="str">
        <f>IF($B74=0,"",SUMIFS(INPUT_DATA!V:V,INPUT_DATA!$A:$A,$B74,INPUT_DATA!$C:$C,"D"))</f>
        <v/>
      </c>
      <c r="BW74" s="312" t="str">
        <f>IF($B74=0,"",SUMIFS(INPUT_DATA!W:W,INPUT_DATA!$A:$A,$B74,INPUT_DATA!$C:$C,"D"))</f>
        <v/>
      </c>
      <c r="BX74" s="312" t="str">
        <f>IF($B74=0,"",SUMIFS(INPUT_DATA!X:X,INPUT_DATA!$A:$A,$B74,INPUT_DATA!$C:$C,"D"))</f>
        <v/>
      </c>
      <c r="BY74" s="312" t="str">
        <f>IF($B74=0,"",SUMIFS(INPUT_DATA!Y:Y,INPUT_DATA!$A:$A,$B74,INPUT_DATA!$C:$C,"D"))</f>
        <v/>
      </c>
      <c r="BZ74" s="353" t="str">
        <f>IF($B74=0,"",SUMIFS(INPUT_DATA!Z:Z,INPUT_DATA!$A:$A,$B74,INPUT_DATA!$C:$C,"D"))</f>
        <v/>
      </c>
      <c r="CA74" s="353" t="str">
        <f>IF($B74=0,"",SUMIFS(INPUT_DATA!AA:AA,INPUT_DATA!$A:$A,$B74,INPUT_DATA!$C:$C,"D"))</f>
        <v/>
      </c>
      <c r="CB74" s="353" t="str">
        <f>IF($B74=0,"",SUMIFS(INPUT_DATA!AB:AB,INPUT_DATA!$A:$A,$B74,INPUT_DATA!$C:$C,"D"))</f>
        <v/>
      </c>
      <c r="CC74" s="312" t="str">
        <f>IF($B74=0,"",SUMIFS(INPUT_DATA!AC:AC,INPUT_DATA!$A:$A,$B74,INPUT_DATA!$C:$C,"D"))</f>
        <v/>
      </c>
      <c r="CD74" s="312" t="str">
        <f>IF($B74=0,"",SUMIFS(INPUT_DATA!AD:AD,INPUT_DATA!$A:$A,$B74,INPUT_DATA!$C:$C,"D"))</f>
        <v/>
      </c>
      <c r="CE74" s="312" t="str">
        <f>IF($B74=0,"",SUMIFS(INPUT_DATA!AE:AE,INPUT_DATA!$A:$A,$B74,INPUT_DATA!$C:$C,"D"))</f>
        <v/>
      </c>
      <c r="CF74" s="353" t="str">
        <f>IF($B74=0,"",SUMIFS(INPUT_DATA!AF:AF,INPUT_DATA!$A:$A,$B74,INPUT_DATA!$C:$C,"D"))</f>
        <v/>
      </c>
      <c r="CG74" s="353" t="str">
        <f>IF($B74=0,"",SUMIFS(INPUT_DATA!AG:AG,INPUT_DATA!$A:$A,$B74,INPUT_DATA!$C:$C,"D"))</f>
        <v/>
      </c>
      <c r="CH74" s="353" t="str">
        <f>IF($B74=0,"",SUMIFS(INPUT_DATA!AH:AH,INPUT_DATA!$A:$A,$B74,INPUT_DATA!$C:$C,"D"))</f>
        <v/>
      </c>
      <c r="CI74" s="153" t="str">
        <f>IF($B74=0,"",SUMIFS(INPUT_DATA!AI:AI,INPUT_DATA!$A:$A,$B74,INPUT_DATA!$C:$C,"D"))</f>
        <v/>
      </c>
      <c r="CJ74" s="153" t="str">
        <f>IF($B74=0,"",SUMIFS(INPUT_DATA!AJ:AJ,INPUT_DATA!$A:$A,$B74,INPUT_DATA!$C:$C,"D"))</f>
        <v/>
      </c>
      <c r="CK74" s="153" t="str">
        <f>IF($B74=0,"",SUMIFS(INPUT_DATA!AK:AK,INPUT_DATA!$A:$A,$B74,INPUT_DATA!$C:$C,"D"))</f>
        <v/>
      </c>
      <c r="CL74" s="153" t="str">
        <f>IF($B74=0,"",SUMIFS(INPUT_DATA!AL:AL,INPUT_DATA!$A:$A,$B74,INPUT_DATA!$C:$C,"D"))</f>
        <v/>
      </c>
      <c r="CM74" s="153" t="str">
        <f>IF($B74=0,"",SUMIFS(INPUT_DATA!AM:AM,INPUT_DATA!$A:$A,$B74,INPUT_DATA!$C:$C,"D"))</f>
        <v/>
      </c>
      <c r="CN74" s="153" t="str">
        <f>IF($B74=0,"",SUMIFS(INPUT_DATA!AN:AN,INPUT_DATA!$A:$A,$B74,INPUT_DATA!$C:$C,"D"))</f>
        <v/>
      </c>
      <c r="CO74" s="153" t="str">
        <f>IF($B74=0,"",SUMIFS(INPUT_DATA!AO:AO,INPUT_DATA!$A:$A,$B74,INPUT_DATA!$C:$C,"D"))</f>
        <v/>
      </c>
      <c r="CP74" s="153" t="str">
        <f>IF($B74=0,"",SUMIFS(INPUT_DATA!AP:AP,INPUT_DATA!$A:$A,$B74,INPUT_DATA!$C:$C,"D"))</f>
        <v/>
      </c>
      <c r="CQ74" s="153" t="str">
        <f>IF($B74=0,"",SUMIFS(INPUT_DATA!AQ:AQ,INPUT_DATA!$A:$A,$B74,INPUT_DATA!$C:$C,"D"))</f>
        <v/>
      </c>
      <c r="CR74" s="750" t="str">
        <f t="shared" si="32"/>
        <v/>
      </c>
      <c r="CS74" s="750" t="str">
        <f t="shared" si="33"/>
        <v/>
      </c>
      <c r="CT74" s="750" t="str">
        <f t="shared" si="34"/>
        <v/>
      </c>
      <c r="CU74" s="739" t="str">
        <f>IF($B74=0,"",SUMIFS(INPUT_DATA!AR:AR,INPUT_DATA!$A:$A,$B74,INPUT_DATA!$C:$C,"D"))</f>
        <v/>
      </c>
      <c r="CV74" s="739" t="str">
        <f>IF($B74=0,"",SUMIFS(INPUT_DATA!AS:AS,INPUT_DATA!$A:$A,$B74,INPUT_DATA!$C:$C,"D"))</f>
        <v/>
      </c>
      <c r="CW74" s="739" t="str">
        <f>IF($B74=0,"",SUMIFS(INPUT_DATA!AT:AT,INPUT_DATA!$A:$A,$B74,INPUT_DATA!$C:$C,"D"))</f>
        <v/>
      </c>
      <c r="CX74" s="739" t="str">
        <f t="shared" si="35"/>
        <v/>
      </c>
      <c r="CY74" s="750" t="str">
        <f t="shared" si="36"/>
        <v/>
      </c>
      <c r="CZ74" s="761" t="str">
        <f t="shared" si="37"/>
        <v/>
      </c>
      <c r="DA74" s="150"/>
    </row>
    <row r="75" spans="1:105" ht="13" x14ac:dyDescent="0.25">
      <c r="A75" s="172">
        <f t="shared" si="40"/>
        <v>-28</v>
      </c>
      <c r="B75" s="733">
        <f>INPUT_DATA!BQ62</f>
        <v>0</v>
      </c>
      <c r="C75" s="738" t="str">
        <f>IF($B75=0,"",SUMIFS(INPUT_DATA!D:D,INPUT_DATA!$A:$A,$B75,INPUT_DATA!$C:$C,"S"))</f>
        <v/>
      </c>
      <c r="D75" s="739" t="str">
        <f>IF($B75=0,"",SUMIFS(INPUT_DATA!E:E,INPUT_DATA!$A:$A,$B75,INPUT_DATA!$C:$C,"S"))</f>
        <v/>
      </c>
      <c r="E75" s="740" t="str">
        <f>IF($B75=0,"",SUMIFS(INPUT_DATA!F:F,INPUT_DATA!$A:$A,$B75,INPUT_DATA!$C:$C,"S"))</f>
        <v/>
      </c>
      <c r="F75" s="740" t="str">
        <f>IF($B75=0,"",SUMIFS(INPUT_DATA!G:G,INPUT_DATA!$A:$A,$B75,INPUT_DATA!$C:$C,"S"))</f>
        <v/>
      </c>
      <c r="G75" s="740" t="str">
        <f>IF($B75=0,"",SUMIFS(INPUT_DATA!H:H,INPUT_DATA!$A:$A,$B75,INPUT_DATA!$C:$C,"S"))</f>
        <v/>
      </c>
      <c r="H75" s="740" t="str">
        <f>IF($B75=0,"",SUMIFS(INPUT_DATA!I:I,INPUT_DATA!$A:$A,$B75,INPUT_DATA!$C:$C,"S"))</f>
        <v/>
      </c>
      <c r="I75" s="740" t="str">
        <f>IF($B75=0,"",SUMIFS(INPUT_DATA!J:J,INPUT_DATA!$A:$A,$B75,INPUT_DATA!$C:$C,"S"))</f>
        <v/>
      </c>
      <c r="J75" s="740" t="str">
        <f>IF($B75=0,"",SUMIFS(INPUT_DATA!K:K,INPUT_DATA!$A:$A,$B75,INPUT_DATA!$C:$C,"S"))</f>
        <v/>
      </c>
      <c r="K75" s="740" t="str">
        <f>IF($B75=0,"",SUMIFS(INPUT_DATA!L:L,INPUT_DATA!$A:$A,$B75,INPUT_DATA!$C:$C,"S"))</f>
        <v/>
      </c>
      <c r="L75" s="740" t="str">
        <f>IF($B75=0,"",SUMIFS(INPUT_DATA!M:M,INPUT_DATA!$A:$A,$B75,INPUT_DATA!$C:$C,"S"))</f>
        <v/>
      </c>
      <c r="M75" s="740" t="str">
        <f>IF($B75=0,"",SUMIFS(INPUT_DATA!N:N,INPUT_DATA!$A:$A,$B75,INPUT_DATA!$C:$C,"S"))</f>
        <v/>
      </c>
      <c r="N75" s="740" t="str">
        <f>IF($B75=0,"",SUMIFS(INPUT_DATA!O:O,INPUT_DATA!$A:$A,$B75,INPUT_DATA!$C:$C,"S"))</f>
        <v/>
      </c>
      <c r="O75" s="741" t="str">
        <f t="shared" si="38"/>
        <v/>
      </c>
      <c r="P75" s="742" t="str">
        <f>IF($B75=0,"",SUMIFS(INPUT_DATA!P:P,INPUT_DATA!$A:$A,$B75,INPUT_DATA!$C:$C,"S"))</f>
        <v/>
      </c>
      <c r="Q75" s="742" t="str">
        <f t="shared" si="39"/>
        <v/>
      </c>
      <c r="R75" s="748" t="str">
        <f>IF($B75=0,"",SUMIFS(INPUT_DATA!Q:Q,INPUT_DATA!$A:$A,$B75,INPUT_DATA!$C:$C,"S"))</f>
        <v/>
      </c>
      <c r="S75" s="748" t="str">
        <f>IF($B75=0,"",SUMIFS(INPUT_DATA!R:R,INPUT_DATA!$A:$A,$B75,INPUT_DATA!$C:$C,"S"))</f>
        <v/>
      </c>
      <c r="T75" s="748" t="str">
        <f>IF($B75=0,"",SUMIFS(INPUT_DATA!S:S,INPUT_DATA!$A:$A,$B75,INPUT_DATA!$C:$C,"S"))</f>
        <v/>
      </c>
      <c r="U75" s="313" t="str">
        <f>IF($B75=0,"",SUMIFS(INPUT_DATA!T:T,INPUT_DATA!$A:$A,$B75,INPUT_DATA!$C:$C,"S"))</f>
        <v/>
      </c>
      <c r="V75" s="313" t="str">
        <f>IF($B75=0,"",SUMIFS(INPUT_DATA!U:U,INPUT_DATA!$A:$A,$B75,INPUT_DATA!$C:$C,"S"))</f>
        <v/>
      </c>
      <c r="W75" s="313" t="str">
        <f>IF($B75=0,"",SUMIFS(INPUT_DATA!V:V,INPUT_DATA!$A:$A,$B75,INPUT_DATA!$C:$C,"S"))</f>
        <v/>
      </c>
      <c r="X75" s="313" t="str">
        <f>IF($B75=0,"",SUMIFS(INPUT_DATA!W:W,INPUT_DATA!$A:$A,$B75,INPUT_DATA!$C:$C,"S"))</f>
        <v/>
      </c>
      <c r="Y75" s="313" t="str">
        <f>IF($B75=0,"",SUMIFS(INPUT_DATA!X:X,INPUT_DATA!$A:$A,$B75,INPUT_DATA!$C:$C,"S"))</f>
        <v/>
      </c>
      <c r="Z75" s="313" t="str">
        <f>IF($B75=0,"",SUMIFS(INPUT_DATA!Y:Y,INPUT_DATA!$A:$A,$B75,INPUT_DATA!$C:$C,"S"))</f>
        <v/>
      </c>
      <c r="AA75" s="313" t="str">
        <f>IF($B75=0,"",SUMIFS(INPUT_DATA!Z:Z,INPUT_DATA!$A:$A,$B75,INPUT_DATA!$C:$C,"S"))</f>
        <v/>
      </c>
      <c r="AB75" s="313" t="str">
        <f>IF($B75=0,"",SUMIFS(INPUT_DATA!AA:AA,INPUT_DATA!$A:$A,$B75,INPUT_DATA!$C:$C,"S"))</f>
        <v/>
      </c>
      <c r="AC75" s="313" t="str">
        <f>IF($B75=0,"",SUMIFS(INPUT_DATA!AB:AB,INPUT_DATA!$A:$A,$B75,INPUT_DATA!$C:$C,"S"))</f>
        <v/>
      </c>
      <c r="AD75" s="313" t="str">
        <f>IF($B75=0,"",SUMIFS(INPUT_DATA!AC:AC,INPUT_DATA!$A:$A,$B75,INPUT_DATA!$C:$C,"S"))</f>
        <v/>
      </c>
      <c r="AE75" s="313" t="str">
        <f>IF($B75=0,"",SUMIFS(INPUT_DATA!AD:AD,INPUT_DATA!$A:$A,$B75,INPUT_DATA!$C:$C,"S"))</f>
        <v/>
      </c>
      <c r="AF75" s="313" t="str">
        <f>IF($B75=0,"",SUMIFS(INPUT_DATA!AE:AE,INPUT_DATA!$A:$A,$B75,INPUT_DATA!$C:$C,"S"))</f>
        <v/>
      </c>
      <c r="AG75" s="313" t="str">
        <f>IF($B75=0,"",SUMIFS(INPUT_DATA!AF:AF,INPUT_DATA!$A:$A,$B75,INPUT_DATA!$C:$C,"S"))</f>
        <v/>
      </c>
      <c r="AH75" s="313" t="str">
        <f>IF($B75=0,"",SUMIFS(INPUT_DATA!AG:AG,INPUT_DATA!$A:$A,$B75,INPUT_DATA!$C:$C,"S"))</f>
        <v/>
      </c>
      <c r="AI75" s="313" t="str">
        <f>IF($B75=0,"",SUMIFS(INPUT_DATA!AH:AH,INPUT_DATA!$A:$A,$B75,INPUT_DATA!$C:$C,"S"))</f>
        <v/>
      </c>
      <c r="AJ75" s="313" t="str">
        <f>IF($B75=0,"",SUMIFS(INPUT_DATA!AI:AI,INPUT_DATA!$A:$A,$B75,INPUT_DATA!$C:$C,"S"))</f>
        <v/>
      </c>
      <c r="AK75" s="313" t="str">
        <f>IF($B75=0,"",SUMIFS(INPUT_DATA!AJ:AJ,INPUT_DATA!$A:$A,$B75,INPUT_DATA!$C:$C,"S"))</f>
        <v/>
      </c>
      <c r="AL75" s="313" t="str">
        <f>IF($B75=0,"",SUMIFS(INPUT_DATA!AK:AK,INPUT_DATA!$A:$A,$B75,INPUT_DATA!$C:$C,"S"))</f>
        <v/>
      </c>
      <c r="AM75" s="313" t="str">
        <f>IF($B75=0,"",SUMIFS(INPUT_DATA!AL:AL,INPUT_DATA!$A:$A,$B75,INPUT_DATA!$C:$C,"S"))</f>
        <v/>
      </c>
      <c r="AN75" s="313" t="str">
        <f>IF($B75=0,"",SUMIFS(INPUT_DATA!AM:AM,INPUT_DATA!$A:$A,$B75,INPUT_DATA!$C:$C,"S"))</f>
        <v/>
      </c>
      <c r="AO75" s="313" t="str">
        <f>IF($B75=0,"",SUMIFS(INPUT_DATA!AN:AN,INPUT_DATA!$A:$A,$B75,INPUT_DATA!$C:$C,"S"))</f>
        <v/>
      </c>
      <c r="AP75" s="313" t="str">
        <f>IF($B75=0,"",SUMIFS(INPUT_DATA!AO:AO,INPUT_DATA!$A:$A,$B75,INPUT_DATA!$C:$C,"S"))</f>
        <v/>
      </c>
      <c r="AQ75" s="313" t="str">
        <f>IF($B75=0,"",SUMIFS(INPUT_DATA!AP:AP,INPUT_DATA!$A:$A,$B75,INPUT_DATA!$C:$C,"S"))</f>
        <v/>
      </c>
      <c r="AR75" s="313" t="str">
        <f>IF($B75=0,"",SUMIFS(INPUT_DATA!AQ:AQ,INPUT_DATA!$A:$A,$B75,INPUT_DATA!$C:$C,"S"))</f>
        <v/>
      </c>
      <c r="AS75" s="749" t="str">
        <f t="shared" si="29"/>
        <v/>
      </c>
      <c r="AT75" s="750" t="str">
        <f t="shared" si="30"/>
        <v/>
      </c>
      <c r="AU75" s="751" t="str">
        <f t="shared" si="31"/>
        <v/>
      </c>
      <c r="AV75" s="749" t="str">
        <f>IF($B75=0,"",SUMIFS(INPUT_DATA!AR:AR,INPUT_DATA!$A:$A,$B75,INPUT_DATA!$C:$C,"S"))</f>
        <v/>
      </c>
      <c r="AW75" s="750" t="str">
        <f>IF($B75=0,"",SUMIFS(INPUT_DATA!AS:AS,INPUT_DATA!$A:$A,$B75,INPUT_DATA!$C:$C,"S"))</f>
        <v/>
      </c>
      <c r="AX75" s="751" t="str">
        <f>IF($B75=0,"",SUMIFS(INPUT_DATA!AT:AT,INPUT_DATA!$A:$A,$B75,INPUT_DATA!$C:$C,"S"))</f>
        <v/>
      </c>
      <c r="AY75" s="749" t="str">
        <f t="shared" si="15"/>
        <v/>
      </c>
      <c r="AZ75" s="750" t="str">
        <f t="shared" si="16"/>
        <v/>
      </c>
      <c r="BA75" s="751" t="str">
        <f t="shared" si="17"/>
        <v/>
      </c>
      <c r="BB75" s="150"/>
      <c r="BC75" s="738" t="str">
        <f>IF($B75=0,"",SUMIFS(INPUT_DATA!D:D,INPUT_DATA!$A:$A,$B75,INPUT_DATA!$C:$C,"D"))</f>
        <v/>
      </c>
      <c r="BD75" s="312" t="str">
        <f>IF($B75=0,"",SUMIFS(INPUT_DATA!F:F,INPUT_DATA!$A:$A,$B75,INPUT_DATA!$C:$C,"D"))</f>
        <v/>
      </c>
      <c r="BE75" s="312" t="str">
        <f>IF($B75=0,"",SUMIFS(INPUT_DATA!G:G,INPUT_DATA!$A:$A,$B75,INPUT_DATA!$C:$C,"D"))</f>
        <v/>
      </c>
      <c r="BF75" s="312" t="str">
        <f>IF($B75=0,"",SUMIFS(INPUT_DATA!H:H,INPUT_DATA!$A:$A,$B75,INPUT_DATA!$C:$C,"D"))</f>
        <v/>
      </c>
      <c r="BG75" s="312" t="str">
        <f>IF($B75=0,"",SUMIFS(INPUT_DATA!I:I,INPUT_DATA!$A:$A,$B75,INPUT_DATA!$C:$C,"D"))</f>
        <v/>
      </c>
      <c r="BH75" s="312" t="str">
        <f>IF($B75=0,"",SUMIFS(INPUT_DATA!J:J,INPUT_DATA!$A:$A,$B75,INPUT_DATA!$C:$C,"D"))</f>
        <v/>
      </c>
      <c r="BI75" s="312" t="str">
        <f>IF($B75=0,"",SUMIFS(INPUT_DATA!K:K,INPUT_DATA!$A:$A,$B75,INPUT_DATA!$C:$C,"D"))</f>
        <v/>
      </c>
      <c r="BJ75" s="312" t="str">
        <f>IF($B75=0,"",SUMIFS(INPUT_DATA!L:L,INPUT_DATA!$A:$A,$B75,INPUT_DATA!$C:$C,"D"))</f>
        <v/>
      </c>
      <c r="BK75" s="312" t="str">
        <f>IF($B75=0,"",SUMIFS(INPUT_DATA!M:M,INPUT_DATA!$A:$A,$B75,INPUT_DATA!$C:$C,"D"))</f>
        <v/>
      </c>
      <c r="BL75" s="312" t="str">
        <f>IF($B75=0,"",SUMIFS(INPUT_DATA!N:N,INPUT_DATA!$A:$A,$B75,INPUT_DATA!$C:$C,"D"))</f>
        <v/>
      </c>
      <c r="BM75" s="312" t="str">
        <f>IF($B75=0,"",SUMIFS(INPUT_DATA!O:O,INPUT_DATA!$A:$A,$B75,INPUT_DATA!$C:$C,"D"))</f>
        <v/>
      </c>
      <c r="BN75" s="754" t="str">
        <f t="shared" si="18"/>
        <v/>
      </c>
      <c r="BO75" s="754" t="str">
        <f>IF($B75=0,"",SUMIFS(INPUT_DATA!O:O,INPUT_DATA!$A:$A,$B75,INPUT_DATA!$C:$C,"D"))</f>
        <v/>
      </c>
      <c r="BP75" s="754" t="str">
        <f t="shared" si="19"/>
        <v/>
      </c>
      <c r="BQ75" s="738" t="str">
        <f>IF($B75=0,"",SUMIFS(INPUT_DATA!Q:Q,INPUT_DATA!$A:$A,$B75,INPUT_DATA!$C:$C,"D"))</f>
        <v/>
      </c>
      <c r="BR75" s="760" t="str">
        <f>IF($B75=0,"",SUMIFS(INPUT_DATA!R:R,INPUT_DATA!$A:$A,$B75,INPUT_DATA!$C:$C,"D"))</f>
        <v/>
      </c>
      <c r="BS75" s="760" t="str">
        <f>IF($B75=0,"",SUMIFS(INPUT_DATA!S:S,INPUT_DATA!$A:$A,$B75,INPUT_DATA!$C:$C,"D"))</f>
        <v/>
      </c>
      <c r="BT75" s="312" t="str">
        <f>IF($B75=0,"",SUMIFS(INPUT_DATA!T:T,INPUT_DATA!$A:$A,$B75,INPUT_DATA!$C:$C,"D"))</f>
        <v/>
      </c>
      <c r="BU75" s="312" t="str">
        <f>IF($B75=0,"",SUMIFS(INPUT_DATA!U:U,INPUT_DATA!$A:$A,$B75,INPUT_DATA!$C:$C,"D"))</f>
        <v/>
      </c>
      <c r="BV75" s="312" t="str">
        <f>IF($B75=0,"",SUMIFS(INPUT_DATA!V:V,INPUT_DATA!$A:$A,$B75,INPUT_DATA!$C:$C,"D"))</f>
        <v/>
      </c>
      <c r="BW75" s="312" t="str">
        <f>IF($B75=0,"",SUMIFS(INPUT_DATA!W:W,INPUT_DATA!$A:$A,$B75,INPUT_DATA!$C:$C,"D"))</f>
        <v/>
      </c>
      <c r="BX75" s="312" t="str">
        <f>IF($B75=0,"",SUMIFS(INPUT_DATA!X:X,INPUT_DATA!$A:$A,$B75,INPUT_DATA!$C:$C,"D"))</f>
        <v/>
      </c>
      <c r="BY75" s="312" t="str">
        <f>IF($B75=0,"",SUMIFS(INPUT_DATA!Y:Y,INPUT_DATA!$A:$A,$B75,INPUT_DATA!$C:$C,"D"))</f>
        <v/>
      </c>
      <c r="BZ75" s="353" t="str">
        <f>IF($B75=0,"",SUMIFS(INPUT_DATA!Z:Z,INPUT_DATA!$A:$A,$B75,INPUT_DATA!$C:$C,"D"))</f>
        <v/>
      </c>
      <c r="CA75" s="353" t="str">
        <f>IF($B75=0,"",SUMIFS(INPUT_DATA!AA:AA,INPUT_DATA!$A:$A,$B75,INPUT_DATA!$C:$C,"D"))</f>
        <v/>
      </c>
      <c r="CB75" s="353" t="str">
        <f>IF($B75=0,"",SUMIFS(INPUT_DATA!AB:AB,INPUT_DATA!$A:$A,$B75,INPUT_DATA!$C:$C,"D"))</f>
        <v/>
      </c>
      <c r="CC75" s="312" t="str">
        <f>IF($B75=0,"",SUMIFS(INPUT_DATA!AC:AC,INPUT_DATA!$A:$A,$B75,INPUT_DATA!$C:$C,"D"))</f>
        <v/>
      </c>
      <c r="CD75" s="312" t="str">
        <f>IF($B75=0,"",SUMIFS(INPUT_DATA!AD:AD,INPUT_DATA!$A:$A,$B75,INPUT_DATA!$C:$C,"D"))</f>
        <v/>
      </c>
      <c r="CE75" s="312" t="str">
        <f>IF($B75=0,"",SUMIFS(INPUT_DATA!AE:AE,INPUT_DATA!$A:$A,$B75,INPUT_DATA!$C:$C,"D"))</f>
        <v/>
      </c>
      <c r="CF75" s="353" t="str">
        <f>IF($B75=0,"",SUMIFS(INPUT_DATA!AF:AF,INPUT_DATA!$A:$A,$B75,INPUT_DATA!$C:$C,"D"))</f>
        <v/>
      </c>
      <c r="CG75" s="353" t="str">
        <f>IF($B75=0,"",SUMIFS(INPUT_DATA!AG:AG,INPUT_DATA!$A:$A,$B75,INPUT_DATA!$C:$C,"D"))</f>
        <v/>
      </c>
      <c r="CH75" s="353" t="str">
        <f>IF($B75=0,"",SUMIFS(INPUT_DATA!AH:AH,INPUT_DATA!$A:$A,$B75,INPUT_DATA!$C:$C,"D"))</f>
        <v/>
      </c>
      <c r="CI75" s="153" t="str">
        <f>IF($B75=0,"",SUMIFS(INPUT_DATA!AI:AI,INPUT_DATA!$A:$A,$B75,INPUT_DATA!$C:$C,"D"))</f>
        <v/>
      </c>
      <c r="CJ75" s="153" t="str">
        <f>IF($B75=0,"",SUMIFS(INPUT_DATA!AJ:AJ,INPUT_DATA!$A:$A,$B75,INPUT_DATA!$C:$C,"D"))</f>
        <v/>
      </c>
      <c r="CK75" s="153" t="str">
        <f>IF($B75=0,"",SUMIFS(INPUT_DATA!AK:AK,INPUT_DATA!$A:$A,$B75,INPUT_DATA!$C:$C,"D"))</f>
        <v/>
      </c>
      <c r="CL75" s="153" t="str">
        <f>IF($B75=0,"",SUMIFS(INPUT_DATA!AL:AL,INPUT_DATA!$A:$A,$B75,INPUT_DATA!$C:$C,"D"))</f>
        <v/>
      </c>
      <c r="CM75" s="153" t="str">
        <f>IF($B75=0,"",SUMIFS(INPUT_DATA!AM:AM,INPUT_DATA!$A:$A,$B75,INPUT_DATA!$C:$C,"D"))</f>
        <v/>
      </c>
      <c r="CN75" s="153" t="str">
        <f>IF($B75=0,"",SUMIFS(INPUT_DATA!AN:AN,INPUT_DATA!$A:$A,$B75,INPUT_DATA!$C:$C,"D"))</f>
        <v/>
      </c>
      <c r="CO75" s="153" t="str">
        <f>IF($B75=0,"",SUMIFS(INPUT_DATA!AO:AO,INPUT_DATA!$A:$A,$B75,INPUT_DATA!$C:$C,"D"))</f>
        <v/>
      </c>
      <c r="CP75" s="153" t="str">
        <f>IF($B75=0,"",SUMIFS(INPUT_DATA!AP:AP,INPUT_DATA!$A:$A,$B75,INPUT_DATA!$C:$C,"D"))</f>
        <v/>
      </c>
      <c r="CQ75" s="153" t="str">
        <f>IF($B75=0,"",SUMIFS(INPUT_DATA!AQ:AQ,INPUT_DATA!$A:$A,$B75,INPUT_DATA!$C:$C,"D"))</f>
        <v/>
      </c>
      <c r="CR75" s="750" t="str">
        <f t="shared" si="32"/>
        <v/>
      </c>
      <c r="CS75" s="750" t="str">
        <f t="shared" si="33"/>
        <v/>
      </c>
      <c r="CT75" s="750" t="str">
        <f t="shared" si="34"/>
        <v/>
      </c>
      <c r="CU75" s="739" t="str">
        <f>IF($B75=0,"",SUMIFS(INPUT_DATA!AR:AR,INPUT_DATA!$A:$A,$B75,INPUT_DATA!$C:$C,"D"))</f>
        <v/>
      </c>
      <c r="CV75" s="739" t="str">
        <f>IF($B75=0,"",SUMIFS(INPUT_DATA!AS:AS,INPUT_DATA!$A:$A,$B75,INPUT_DATA!$C:$C,"D"))</f>
        <v/>
      </c>
      <c r="CW75" s="739" t="str">
        <f>IF($B75=0,"",SUMIFS(INPUT_DATA!AT:AT,INPUT_DATA!$A:$A,$B75,INPUT_DATA!$C:$C,"D"))</f>
        <v/>
      </c>
      <c r="CX75" s="739" t="str">
        <f t="shared" si="35"/>
        <v/>
      </c>
      <c r="CY75" s="750" t="str">
        <f t="shared" si="36"/>
        <v/>
      </c>
      <c r="CZ75" s="761" t="str">
        <f t="shared" si="37"/>
        <v/>
      </c>
      <c r="DA75" s="150"/>
    </row>
    <row r="76" spans="1:105" ht="13" x14ac:dyDescent="0.25">
      <c r="A76" s="172">
        <f t="shared" si="40"/>
        <v>-29</v>
      </c>
      <c r="B76" s="733">
        <f>INPUT_DATA!BQ63</f>
        <v>0</v>
      </c>
      <c r="C76" s="738" t="str">
        <f>IF($B76=0,"",SUMIFS(INPUT_DATA!D:D,INPUT_DATA!$A:$A,$B76,INPUT_DATA!$C:$C,"S"))</f>
        <v/>
      </c>
      <c r="D76" s="739" t="str">
        <f>IF($B76=0,"",SUMIFS(INPUT_DATA!E:E,INPUT_DATA!$A:$A,$B76,INPUT_DATA!$C:$C,"S"))</f>
        <v/>
      </c>
      <c r="E76" s="740" t="str">
        <f>IF($B76=0,"",SUMIFS(INPUT_DATA!F:F,INPUT_DATA!$A:$A,$B76,INPUT_DATA!$C:$C,"S"))</f>
        <v/>
      </c>
      <c r="F76" s="740" t="str">
        <f>IF($B76=0,"",SUMIFS(INPUT_DATA!G:G,INPUT_DATA!$A:$A,$B76,INPUT_DATA!$C:$C,"S"))</f>
        <v/>
      </c>
      <c r="G76" s="740" t="str">
        <f>IF($B76=0,"",SUMIFS(INPUT_DATA!H:H,INPUT_DATA!$A:$A,$B76,INPUT_DATA!$C:$C,"S"))</f>
        <v/>
      </c>
      <c r="H76" s="740" t="str">
        <f>IF($B76=0,"",SUMIFS(INPUT_DATA!I:I,INPUT_DATA!$A:$A,$B76,INPUT_DATA!$C:$C,"S"))</f>
        <v/>
      </c>
      <c r="I76" s="740" t="str">
        <f>IF($B76=0,"",SUMIFS(INPUT_DATA!J:J,INPUT_DATA!$A:$A,$B76,INPUT_DATA!$C:$C,"S"))</f>
        <v/>
      </c>
      <c r="J76" s="740" t="str">
        <f>IF($B76=0,"",SUMIFS(INPUT_DATA!K:K,INPUT_DATA!$A:$A,$B76,INPUT_DATA!$C:$C,"S"))</f>
        <v/>
      </c>
      <c r="K76" s="740" t="str">
        <f>IF($B76=0,"",SUMIFS(INPUT_DATA!L:L,INPUT_DATA!$A:$A,$B76,INPUT_DATA!$C:$C,"S"))</f>
        <v/>
      </c>
      <c r="L76" s="740" t="str">
        <f>IF($B76=0,"",SUMIFS(INPUT_DATA!M:M,INPUT_DATA!$A:$A,$B76,INPUT_DATA!$C:$C,"S"))</f>
        <v/>
      </c>
      <c r="M76" s="740" t="str">
        <f>IF($B76=0,"",SUMIFS(INPUT_DATA!N:N,INPUT_DATA!$A:$A,$B76,INPUT_DATA!$C:$C,"S"))</f>
        <v/>
      </c>
      <c r="N76" s="740" t="str">
        <f>IF($B76=0,"",SUMIFS(INPUT_DATA!O:O,INPUT_DATA!$A:$A,$B76,INPUT_DATA!$C:$C,"S"))</f>
        <v/>
      </c>
      <c r="O76" s="741" t="str">
        <f t="shared" si="38"/>
        <v/>
      </c>
      <c r="P76" s="742" t="str">
        <f>IF($B76=0,"",SUMIFS(INPUT_DATA!P:P,INPUT_DATA!$A:$A,$B76,INPUT_DATA!$C:$C,"S"))</f>
        <v/>
      </c>
      <c r="Q76" s="742" t="str">
        <f t="shared" si="39"/>
        <v/>
      </c>
      <c r="R76" s="748" t="str">
        <f>IF($B76=0,"",SUMIFS(INPUT_DATA!Q:Q,INPUT_DATA!$A:$A,$B76,INPUT_DATA!$C:$C,"S"))</f>
        <v/>
      </c>
      <c r="S76" s="748" t="str">
        <f>IF($B76=0,"",SUMIFS(INPUT_DATA!R:R,INPUT_DATA!$A:$A,$B76,INPUT_DATA!$C:$C,"S"))</f>
        <v/>
      </c>
      <c r="T76" s="748" t="str">
        <f>IF($B76=0,"",SUMIFS(INPUT_DATA!S:S,INPUT_DATA!$A:$A,$B76,INPUT_DATA!$C:$C,"S"))</f>
        <v/>
      </c>
      <c r="U76" s="313" t="str">
        <f>IF($B76=0,"",SUMIFS(INPUT_DATA!T:T,INPUT_DATA!$A:$A,$B76,INPUT_DATA!$C:$C,"S"))</f>
        <v/>
      </c>
      <c r="V76" s="313" t="str">
        <f>IF($B76=0,"",SUMIFS(INPUT_DATA!U:U,INPUT_DATA!$A:$A,$B76,INPUT_DATA!$C:$C,"S"))</f>
        <v/>
      </c>
      <c r="W76" s="313" t="str">
        <f>IF($B76=0,"",SUMIFS(INPUT_DATA!V:V,INPUT_DATA!$A:$A,$B76,INPUT_DATA!$C:$C,"S"))</f>
        <v/>
      </c>
      <c r="X76" s="313" t="str">
        <f>IF($B76=0,"",SUMIFS(INPUT_DATA!W:W,INPUT_DATA!$A:$A,$B76,INPUT_DATA!$C:$C,"S"))</f>
        <v/>
      </c>
      <c r="Y76" s="313" t="str">
        <f>IF($B76=0,"",SUMIFS(INPUT_DATA!X:X,INPUT_DATA!$A:$A,$B76,INPUT_DATA!$C:$C,"S"))</f>
        <v/>
      </c>
      <c r="Z76" s="313" t="str">
        <f>IF($B76=0,"",SUMIFS(INPUT_DATA!Y:Y,INPUT_DATA!$A:$A,$B76,INPUT_DATA!$C:$C,"S"))</f>
        <v/>
      </c>
      <c r="AA76" s="313" t="str">
        <f>IF($B76=0,"",SUMIFS(INPUT_DATA!Z:Z,INPUT_DATA!$A:$A,$B76,INPUT_DATA!$C:$C,"S"))</f>
        <v/>
      </c>
      <c r="AB76" s="313" t="str">
        <f>IF($B76=0,"",SUMIFS(INPUT_DATA!AA:AA,INPUT_DATA!$A:$A,$B76,INPUT_DATA!$C:$C,"S"))</f>
        <v/>
      </c>
      <c r="AC76" s="313" t="str">
        <f>IF($B76=0,"",SUMIFS(INPUT_DATA!AB:AB,INPUT_DATA!$A:$A,$B76,INPUT_DATA!$C:$C,"S"))</f>
        <v/>
      </c>
      <c r="AD76" s="313" t="str">
        <f>IF($B76=0,"",SUMIFS(INPUT_DATA!AC:AC,INPUT_DATA!$A:$A,$B76,INPUT_DATA!$C:$C,"S"))</f>
        <v/>
      </c>
      <c r="AE76" s="313" t="str">
        <f>IF($B76=0,"",SUMIFS(INPUT_DATA!AD:AD,INPUT_DATA!$A:$A,$B76,INPUT_DATA!$C:$C,"S"))</f>
        <v/>
      </c>
      <c r="AF76" s="313" t="str">
        <f>IF($B76=0,"",SUMIFS(INPUT_DATA!AE:AE,INPUT_DATA!$A:$A,$B76,INPUT_DATA!$C:$C,"S"))</f>
        <v/>
      </c>
      <c r="AG76" s="313" t="str">
        <f>IF($B76=0,"",SUMIFS(INPUT_DATA!AF:AF,INPUT_DATA!$A:$A,$B76,INPUT_DATA!$C:$C,"S"))</f>
        <v/>
      </c>
      <c r="AH76" s="313" t="str">
        <f>IF($B76=0,"",SUMIFS(INPUT_DATA!AG:AG,INPUT_DATA!$A:$A,$B76,INPUT_DATA!$C:$C,"S"))</f>
        <v/>
      </c>
      <c r="AI76" s="313" t="str">
        <f>IF($B76=0,"",SUMIFS(INPUT_DATA!AH:AH,INPUT_DATA!$A:$A,$B76,INPUT_DATA!$C:$C,"S"))</f>
        <v/>
      </c>
      <c r="AJ76" s="313" t="str">
        <f>IF($B76=0,"",SUMIFS(INPUT_DATA!AI:AI,INPUT_DATA!$A:$A,$B76,INPUT_DATA!$C:$C,"S"))</f>
        <v/>
      </c>
      <c r="AK76" s="313" t="str">
        <f>IF($B76=0,"",SUMIFS(INPUT_DATA!AJ:AJ,INPUT_DATA!$A:$A,$B76,INPUT_DATA!$C:$C,"S"))</f>
        <v/>
      </c>
      <c r="AL76" s="313" t="str">
        <f>IF($B76=0,"",SUMIFS(INPUT_DATA!AK:AK,INPUT_DATA!$A:$A,$B76,INPUT_DATA!$C:$C,"S"))</f>
        <v/>
      </c>
      <c r="AM76" s="313" t="str">
        <f>IF($B76=0,"",SUMIFS(INPUT_DATA!AL:AL,INPUT_DATA!$A:$A,$B76,INPUT_DATA!$C:$C,"S"))</f>
        <v/>
      </c>
      <c r="AN76" s="313" t="str">
        <f>IF($B76=0,"",SUMIFS(INPUT_DATA!AM:AM,INPUT_DATA!$A:$A,$B76,INPUT_DATA!$C:$C,"S"))</f>
        <v/>
      </c>
      <c r="AO76" s="313" t="str">
        <f>IF($B76=0,"",SUMIFS(INPUT_DATA!AN:AN,INPUT_DATA!$A:$A,$B76,INPUT_DATA!$C:$C,"S"))</f>
        <v/>
      </c>
      <c r="AP76" s="313" t="str">
        <f>IF($B76=0,"",SUMIFS(INPUT_DATA!AO:AO,INPUT_DATA!$A:$A,$B76,INPUT_DATA!$C:$C,"S"))</f>
        <v/>
      </c>
      <c r="AQ76" s="313" t="str">
        <f>IF($B76=0,"",SUMIFS(INPUT_DATA!AP:AP,INPUT_DATA!$A:$A,$B76,INPUT_DATA!$C:$C,"S"))</f>
        <v/>
      </c>
      <c r="AR76" s="313" t="str">
        <f>IF($B76=0,"",SUMIFS(INPUT_DATA!AQ:AQ,INPUT_DATA!$A:$A,$B76,INPUT_DATA!$C:$C,"S"))</f>
        <v/>
      </c>
      <c r="AS76" s="749" t="str">
        <f t="shared" si="29"/>
        <v/>
      </c>
      <c r="AT76" s="750" t="str">
        <f t="shared" si="30"/>
        <v/>
      </c>
      <c r="AU76" s="751" t="str">
        <f t="shared" si="31"/>
        <v/>
      </c>
      <c r="AV76" s="749" t="str">
        <f>IF($B76=0,"",SUMIFS(INPUT_DATA!AR:AR,INPUT_DATA!$A:$A,$B76,INPUT_DATA!$C:$C,"S"))</f>
        <v/>
      </c>
      <c r="AW76" s="750" t="str">
        <f>IF($B76=0,"",SUMIFS(INPUT_DATA!AS:AS,INPUT_DATA!$A:$A,$B76,INPUT_DATA!$C:$C,"S"))</f>
        <v/>
      </c>
      <c r="AX76" s="751" t="str">
        <f>IF($B76=0,"",SUMIFS(INPUT_DATA!AT:AT,INPUT_DATA!$A:$A,$B76,INPUT_DATA!$C:$C,"S"))</f>
        <v/>
      </c>
      <c r="AY76" s="749" t="str">
        <f t="shared" si="15"/>
        <v/>
      </c>
      <c r="AZ76" s="750" t="str">
        <f t="shared" si="16"/>
        <v/>
      </c>
      <c r="BA76" s="751" t="str">
        <f t="shared" si="17"/>
        <v/>
      </c>
      <c r="BB76" s="150"/>
      <c r="BC76" s="738" t="str">
        <f>IF($B76=0,"",SUMIFS(INPUT_DATA!D:D,INPUT_DATA!$A:$A,$B76,INPUT_DATA!$C:$C,"D"))</f>
        <v/>
      </c>
      <c r="BD76" s="312" t="str">
        <f>IF($B76=0,"",SUMIFS(INPUT_DATA!F:F,INPUT_DATA!$A:$A,$B76,INPUT_DATA!$C:$C,"D"))</f>
        <v/>
      </c>
      <c r="BE76" s="312" t="str">
        <f>IF($B76=0,"",SUMIFS(INPUT_DATA!G:G,INPUT_DATA!$A:$A,$B76,INPUT_DATA!$C:$C,"D"))</f>
        <v/>
      </c>
      <c r="BF76" s="312" t="str">
        <f>IF($B76=0,"",SUMIFS(INPUT_DATA!H:H,INPUT_DATA!$A:$A,$B76,INPUT_DATA!$C:$C,"D"))</f>
        <v/>
      </c>
      <c r="BG76" s="312" t="str">
        <f>IF($B76=0,"",SUMIFS(INPUT_DATA!I:I,INPUT_DATA!$A:$A,$B76,INPUT_DATA!$C:$C,"D"))</f>
        <v/>
      </c>
      <c r="BH76" s="312" t="str">
        <f>IF($B76=0,"",SUMIFS(INPUT_DATA!J:J,INPUT_DATA!$A:$A,$B76,INPUT_DATA!$C:$C,"D"))</f>
        <v/>
      </c>
      <c r="BI76" s="312" t="str">
        <f>IF($B76=0,"",SUMIFS(INPUT_DATA!K:K,INPUT_DATA!$A:$A,$B76,INPUT_DATA!$C:$C,"D"))</f>
        <v/>
      </c>
      <c r="BJ76" s="312" t="str">
        <f>IF($B76=0,"",SUMIFS(INPUT_DATA!L:L,INPUT_DATA!$A:$A,$B76,INPUT_DATA!$C:$C,"D"))</f>
        <v/>
      </c>
      <c r="BK76" s="312" t="str">
        <f>IF($B76=0,"",SUMIFS(INPUT_DATA!M:M,INPUT_DATA!$A:$A,$B76,INPUT_DATA!$C:$C,"D"))</f>
        <v/>
      </c>
      <c r="BL76" s="312" t="str">
        <f>IF($B76=0,"",SUMIFS(INPUT_DATA!N:N,INPUT_DATA!$A:$A,$B76,INPUT_DATA!$C:$C,"D"))</f>
        <v/>
      </c>
      <c r="BM76" s="312" t="str">
        <f>IF($B76=0,"",SUMIFS(INPUT_DATA!O:O,INPUT_DATA!$A:$A,$B76,INPUT_DATA!$C:$C,"D"))</f>
        <v/>
      </c>
      <c r="BN76" s="754" t="str">
        <f t="shared" si="18"/>
        <v/>
      </c>
      <c r="BO76" s="754" t="str">
        <f>IF($B76=0,"",SUMIFS(INPUT_DATA!O:O,INPUT_DATA!$A:$A,$B76,INPUT_DATA!$C:$C,"D"))</f>
        <v/>
      </c>
      <c r="BP76" s="754" t="str">
        <f t="shared" si="19"/>
        <v/>
      </c>
      <c r="BQ76" s="738" t="str">
        <f>IF($B76=0,"",SUMIFS(INPUT_DATA!Q:Q,INPUT_DATA!$A:$A,$B76,INPUT_DATA!$C:$C,"D"))</f>
        <v/>
      </c>
      <c r="BR76" s="760" t="str">
        <f>IF($B76=0,"",SUMIFS(INPUT_DATA!R:R,INPUT_DATA!$A:$A,$B76,INPUT_DATA!$C:$C,"D"))</f>
        <v/>
      </c>
      <c r="BS76" s="760" t="str">
        <f>IF($B76=0,"",SUMIFS(INPUT_DATA!S:S,INPUT_DATA!$A:$A,$B76,INPUT_DATA!$C:$C,"D"))</f>
        <v/>
      </c>
      <c r="BT76" s="312" t="str">
        <f>IF($B76=0,"",SUMIFS(INPUT_DATA!T:T,INPUT_DATA!$A:$A,$B76,INPUT_DATA!$C:$C,"D"))</f>
        <v/>
      </c>
      <c r="BU76" s="312" t="str">
        <f>IF($B76=0,"",SUMIFS(INPUT_DATA!U:U,INPUT_DATA!$A:$A,$B76,INPUT_DATA!$C:$C,"D"))</f>
        <v/>
      </c>
      <c r="BV76" s="312" t="str">
        <f>IF($B76=0,"",SUMIFS(INPUT_DATA!V:V,INPUT_DATA!$A:$A,$B76,INPUT_DATA!$C:$C,"D"))</f>
        <v/>
      </c>
      <c r="BW76" s="312" t="str">
        <f>IF($B76=0,"",SUMIFS(INPUT_DATA!W:W,INPUT_DATA!$A:$A,$B76,INPUT_DATA!$C:$C,"D"))</f>
        <v/>
      </c>
      <c r="BX76" s="312" t="str">
        <f>IF($B76=0,"",SUMIFS(INPUT_DATA!X:X,INPUT_DATA!$A:$A,$B76,INPUT_DATA!$C:$C,"D"))</f>
        <v/>
      </c>
      <c r="BY76" s="312" t="str">
        <f>IF($B76=0,"",SUMIFS(INPUT_DATA!Y:Y,INPUT_DATA!$A:$A,$B76,INPUT_DATA!$C:$C,"D"))</f>
        <v/>
      </c>
      <c r="BZ76" s="353" t="str">
        <f>IF($B76=0,"",SUMIFS(INPUT_DATA!Z:Z,INPUT_DATA!$A:$A,$B76,INPUT_DATA!$C:$C,"D"))</f>
        <v/>
      </c>
      <c r="CA76" s="353" t="str">
        <f>IF($B76=0,"",SUMIFS(INPUT_DATA!AA:AA,INPUT_DATA!$A:$A,$B76,INPUT_DATA!$C:$C,"D"))</f>
        <v/>
      </c>
      <c r="CB76" s="353" t="str">
        <f>IF($B76=0,"",SUMIFS(INPUT_DATA!AB:AB,INPUT_DATA!$A:$A,$B76,INPUT_DATA!$C:$C,"D"))</f>
        <v/>
      </c>
      <c r="CC76" s="312" t="str">
        <f>IF($B76=0,"",SUMIFS(INPUT_DATA!AC:AC,INPUT_DATA!$A:$A,$B76,INPUT_DATA!$C:$C,"D"))</f>
        <v/>
      </c>
      <c r="CD76" s="312" t="str">
        <f>IF($B76=0,"",SUMIFS(INPUT_DATA!AD:AD,INPUT_DATA!$A:$A,$B76,INPUT_DATA!$C:$C,"D"))</f>
        <v/>
      </c>
      <c r="CE76" s="312" t="str">
        <f>IF($B76=0,"",SUMIFS(INPUT_DATA!AE:AE,INPUT_DATA!$A:$A,$B76,INPUT_DATA!$C:$C,"D"))</f>
        <v/>
      </c>
      <c r="CF76" s="353" t="str">
        <f>IF($B76=0,"",SUMIFS(INPUT_DATA!AF:AF,INPUT_DATA!$A:$A,$B76,INPUT_DATA!$C:$C,"D"))</f>
        <v/>
      </c>
      <c r="CG76" s="353" t="str">
        <f>IF($B76=0,"",SUMIFS(INPUT_DATA!AG:AG,INPUT_DATA!$A:$A,$B76,INPUT_DATA!$C:$C,"D"))</f>
        <v/>
      </c>
      <c r="CH76" s="353" t="str">
        <f>IF($B76=0,"",SUMIFS(INPUT_DATA!AH:AH,INPUT_DATA!$A:$A,$B76,INPUT_DATA!$C:$C,"D"))</f>
        <v/>
      </c>
      <c r="CI76" s="153" t="str">
        <f>IF($B76=0,"",SUMIFS(INPUT_DATA!AI:AI,INPUT_DATA!$A:$A,$B76,INPUT_DATA!$C:$C,"D"))</f>
        <v/>
      </c>
      <c r="CJ76" s="153" t="str">
        <f>IF($B76=0,"",SUMIFS(INPUT_DATA!AJ:AJ,INPUT_DATA!$A:$A,$B76,INPUT_DATA!$C:$C,"D"))</f>
        <v/>
      </c>
      <c r="CK76" s="153" t="str">
        <f>IF($B76=0,"",SUMIFS(INPUT_DATA!AK:AK,INPUT_DATA!$A:$A,$B76,INPUT_DATA!$C:$C,"D"))</f>
        <v/>
      </c>
      <c r="CL76" s="153" t="str">
        <f>IF($B76=0,"",SUMIFS(INPUT_DATA!AL:AL,INPUT_DATA!$A:$A,$B76,INPUT_DATA!$C:$C,"D"))</f>
        <v/>
      </c>
      <c r="CM76" s="153" t="str">
        <f>IF($B76=0,"",SUMIFS(INPUT_DATA!AM:AM,INPUT_DATA!$A:$A,$B76,INPUT_DATA!$C:$C,"D"))</f>
        <v/>
      </c>
      <c r="CN76" s="153" t="str">
        <f>IF($B76=0,"",SUMIFS(INPUT_DATA!AN:AN,INPUT_DATA!$A:$A,$B76,INPUT_DATA!$C:$C,"D"))</f>
        <v/>
      </c>
      <c r="CO76" s="153" t="str">
        <f>IF($B76=0,"",SUMIFS(INPUT_DATA!AO:AO,INPUT_DATA!$A:$A,$B76,INPUT_DATA!$C:$C,"D"))</f>
        <v/>
      </c>
      <c r="CP76" s="153" t="str">
        <f>IF($B76=0,"",SUMIFS(INPUT_DATA!AP:AP,INPUT_DATA!$A:$A,$B76,INPUT_DATA!$C:$C,"D"))</f>
        <v/>
      </c>
      <c r="CQ76" s="153" t="str">
        <f>IF($B76=0,"",SUMIFS(INPUT_DATA!AQ:AQ,INPUT_DATA!$A:$A,$B76,INPUT_DATA!$C:$C,"D"))</f>
        <v/>
      </c>
      <c r="CR76" s="750" t="str">
        <f t="shared" si="32"/>
        <v/>
      </c>
      <c r="CS76" s="750" t="str">
        <f t="shared" si="33"/>
        <v/>
      </c>
      <c r="CT76" s="750" t="str">
        <f t="shared" si="34"/>
        <v/>
      </c>
      <c r="CU76" s="739" t="str">
        <f>IF($B76=0,"",SUMIFS(INPUT_DATA!AR:AR,INPUT_DATA!$A:$A,$B76,INPUT_DATA!$C:$C,"D"))</f>
        <v/>
      </c>
      <c r="CV76" s="739" t="str">
        <f>IF($B76=0,"",SUMIFS(INPUT_DATA!AS:AS,INPUT_DATA!$A:$A,$B76,INPUT_DATA!$C:$C,"D"))</f>
        <v/>
      </c>
      <c r="CW76" s="739" t="str">
        <f>IF($B76=0,"",SUMIFS(INPUT_DATA!AT:AT,INPUT_DATA!$A:$A,$B76,INPUT_DATA!$C:$C,"D"))</f>
        <v/>
      </c>
      <c r="CX76" s="739" t="str">
        <f t="shared" si="35"/>
        <v/>
      </c>
      <c r="CY76" s="750" t="str">
        <f t="shared" si="36"/>
        <v/>
      </c>
      <c r="CZ76" s="761" t="str">
        <f t="shared" si="37"/>
        <v/>
      </c>
      <c r="DA76" s="150"/>
    </row>
    <row r="77" spans="1:105" ht="13" x14ac:dyDescent="0.25">
      <c r="A77" s="172">
        <f t="shared" si="40"/>
        <v>-30</v>
      </c>
      <c r="B77" s="733">
        <f>INPUT_DATA!BQ64</f>
        <v>0</v>
      </c>
      <c r="C77" s="738" t="str">
        <f>IF($B77=0,"",SUMIFS(INPUT_DATA!D:D,INPUT_DATA!$A:$A,$B77,INPUT_DATA!$C:$C,"S"))</f>
        <v/>
      </c>
      <c r="D77" s="739" t="str">
        <f>IF($B77=0,"",SUMIFS(INPUT_DATA!E:E,INPUT_DATA!$A:$A,$B77,INPUT_DATA!$C:$C,"S"))</f>
        <v/>
      </c>
      <c r="E77" s="740" t="str">
        <f>IF($B77=0,"",SUMIFS(INPUT_DATA!F:F,INPUT_DATA!$A:$A,$B77,INPUT_DATA!$C:$C,"S"))</f>
        <v/>
      </c>
      <c r="F77" s="740" t="str">
        <f>IF($B77=0,"",SUMIFS(INPUT_DATA!G:G,INPUT_DATA!$A:$A,$B77,INPUT_DATA!$C:$C,"S"))</f>
        <v/>
      </c>
      <c r="G77" s="740" t="str">
        <f>IF($B77=0,"",SUMIFS(INPUT_DATA!H:H,INPUT_DATA!$A:$A,$B77,INPUT_DATA!$C:$C,"S"))</f>
        <v/>
      </c>
      <c r="H77" s="740" t="str">
        <f>IF($B77=0,"",SUMIFS(INPUT_DATA!I:I,INPUT_DATA!$A:$A,$B77,INPUT_DATA!$C:$C,"S"))</f>
        <v/>
      </c>
      <c r="I77" s="740" t="str">
        <f>IF($B77=0,"",SUMIFS(INPUT_DATA!J:J,INPUT_DATA!$A:$A,$B77,INPUT_DATA!$C:$C,"S"))</f>
        <v/>
      </c>
      <c r="J77" s="740" t="str">
        <f>IF($B77=0,"",SUMIFS(INPUT_DATA!K:K,INPUT_DATA!$A:$A,$B77,INPUT_DATA!$C:$C,"S"))</f>
        <v/>
      </c>
      <c r="K77" s="740" t="str">
        <f>IF($B77=0,"",SUMIFS(INPUT_DATA!L:L,INPUT_DATA!$A:$A,$B77,INPUT_DATA!$C:$C,"S"))</f>
        <v/>
      </c>
      <c r="L77" s="740" t="str">
        <f>IF($B77=0,"",SUMIFS(INPUT_DATA!M:M,INPUT_DATA!$A:$A,$B77,INPUT_DATA!$C:$C,"S"))</f>
        <v/>
      </c>
      <c r="M77" s="740" t="str">
        <f>IF($B77=0,"",SUMIFS(INPUT_DATA!N:N,INPUT_DATA!$A:$A,$B77,INPUT_DATA!$C:$C,"S"))</f>
        <v/>
      </c>
      <c r="N77" s="740" t="str">
        <f>IF($B77=0,"",SUMIFS(INPUT_DATA!O:O,INPUT_DATA!$A:$A,$B77,INPUT_DATA!$C:$C,"S"))</f>
        <v/>
      </c>
      <c r="O77" s="741" t="str">
        <f t="shared" si="38"/>
        <v/>
      </c>
      <c r="P77" s="742" t="str">
        <f>IF($B77=0,"",SUMIFS(INPUT_DATA!P:P,INPUT_DATA!$A:$A,$B77,INPUT_DATA!$C:$C,"S"))</f>
        <v/>
      </c>
      <c r="Q77" s="742" t="str">
        <f t="shared" si="39"/>
        <v/>
      </c>
      <c r="R77" s="748" t="str">
        <f>IF($B77=0,"",SUMIFS(INPUT_DATA!Q:Q,INPUT_DATA!$A:$A,$B77,INPUT_DATA!$C:$C,"S"))</f>
        <v/>
      </c>
      <c r="S77" s="748" t="str">
        <f>IF($B77=0,"",SUMIFS(INPUT_DATA!R:R,INPUT_DATA!$A:$A,$B77,INPUT_DATA!$C:$C,"S"))</f>
        <v/>
      </c>
      <c r="T77" s="748" t="str">
        <f>IF($B77=0,"",SUMIFS(INPUT_DATA!S:S,INPUT_DATA!$A:$A,$B77,INPUT_DATA!$C:$C,"S"))</f>
        <v/>
      </c>
      <c r="U77" s="313" t="str">
        <f>IF($B77=0,"",SUMIFS(INPUT_DATA!T:T,INPUT_DATA!$A:$A,$B77,INPUT_DATA!$C:$C,"S"))</f>
        <v/>
      </c>
      <c r="V77" s="313" t="str">
        <f>IF($B77=0,"",SUMIFS(INPUT_DATA!U:U,INPUT_DATA!$A:$A,$B77,INPUT_DATA!$C:$C,"S"))</f>
        <v/>
      </c>
      <c r="W77" s="313" t="str">
        <f>IF($B77=0,"",SUMIFS(INPUT_DATA!V:V,INPUT_DATA!$A:$A,$B77,INPUT_DATA!$C:$C,"S"))</f>
        <v/>
      </c>
      <c r="X77" s="313" t="str">
        <f>IF($B77=0,"",SUMIFS(INPUT_DATA!W:W,INPUT_DATA!$A:$A,$B77,INPUT_DATA!$C:$C,"S"))</f>
        <v/>
      </c>
      <c r="Y77" s="313" t="str">
        <f>IF($B77=0,"",SUMIFS(INPUT_DATA!X:X,INPUT_DATA!$A:$A,$B77,INPUT_DATA!$C:$C,"S"))</f>
        <v/>
      </c>
      <c r="Z77" s="313" t="str">
        <f>IF($B77=0,"",SUMIFS(INPUT_DATA!Y:Y,INPUT_DATA!$A:$A,$B77,INPUT_DATA!$C:$C,"S"))</f>
        <v/>
      </c>
      <c r="AA77" s="313" t="str">
        <f>IF($B77=0,"",SUMIFS(INPUT_DATA!Z:Z,INPUT_DATA!$A:$A,$B77,INPUT_DATA!$C:$C,"S"))</f>
        <v/>
      </c>
      <c r="AB77" s="313" t="str">
        <f>IF($B77=0,"",SUMIFS(INPUT_DATA!AA:AA,INPUT_DATA!$A:$A,$B77,INPUT_DATA!$C:$C,"S"))</f>
        <v/>
      </c>
      <c r="AC77" s="313" t="str">
        <f>IF($B77=0,"",SUMIFS(INPUT_DATA!AB:AB,INPUT_DATA!$A:$A,$B77,INPUT_DATA!$C:$C,"S"))</f>
        <v/>
      </c>
      <c r="AD77" s="313" t="str">
        <f>IF($B77=0,"",SUMIFS(INPUT_DATA!AC:AC,INPUT_DATA!$A:$A,$B77,INPUT_DATA!$C:$C,"S"))</f>
        <v/>
      </c>
      <c r="AE77" s="313" t="str">
        <f>IF($B77=0,"",SUMIFS(INPUT_DATA!AD:AD,INPUT_DATA!$A:$A,$B77,INPUT_DATA!$C:$C,"S"))</f>
        <v/>
      </c>
      <c r="AF77" s="313" t="str">
        <f>IF($B77=0,"",SUMIFS(INPUT_DATA!AE:AE,INPUT_DATA!$A:$A,$B77,INPUT_DATA!$C:$C,"S"))</f>
        <v/>
      </c>
      <c r="AG77" s="313" t="str">
        <f>IF($B77=0,"",SUMIFS(INPUT_DATA!AF:AF,INPUT_DATA!$A:$A,$B77,INPUT_DATA!$C:$C,"S"))</f>
        <v/>
      </c>
      <c r="AH77" s="313" t="str">
        <f>IF($B77=0,"",SUMIFS(INPUT_DATA!AG:AG,INPUT_DATA!$A:$A,$B77,INPUT_DATA!$C:$C,"S"))</f>
        <v/>
      </c>
      <c r="AI77" s="313" t="str">
        <f>IF($B77=0,"",SUMIFS(INPUT_DATA!AH:AH,INPUT_DATA!$A:$A,$B77,INPUT_DATA!$C:$C,"S"))</f>
        <v/>
      </c>
      <c r="AJ77" s="313" t="str">
        <f>IF($B77=0,"",SUMIFS(INPUT_DATA!AI:AI,INPUT_DATA!$A:$A,$B77,INPUT_DATA!$C:$C,"S"))</f>
        <v/>
      </c>
      <c r="AK77" s="313" t="str">
        <f>IF($B77=0,"",SUMIFS(INPUT_DATA!AJ:AJ,INPUT_DATA!$A:$A,$B77,INPUT_DATA!$C:$C,"S"))</f>
        <v/>
      </c>
      <c r="AL77" s="313" t="str">
        <f>IF($B77=0,"",SUMIFS(INPUT_DATA!AK:AK,INPUT_DATA!$A:$A,$B77,INPUT_DATA!$C:$C,"S"))</f>
        <v/>
      </c>
      <c r="AM77" s="313" t="str">
        <f>IF($B77=0,"",SUMIFS(INPUT_DATA!AL:AL,INPUT_DATA!$A:$A,$B77,INPUT_DATA!$C:$C,"S"))</f>
        <v/>
      </c>
      <c r="AN77" s="313" t="str">
        <f>IF($B77=0,"",SUMIFS(INPUT_DATA!AM:AM,INPUT_DATA!$A:$A,$B77,INPUT_DATA!$C:$C,"S"))</f>
        <v/>
      </c>
      <c r="AO77" s="313" t="str">
        <f>IF($B77=0,"",SUMIFS(INPUT_DATA!AN:AN,INPUT_DATA!$A:$A,$B77,INPUT_DATA!$C:$C,"S"))</f>
        <v/>
      </c>
      <c r="AP77" s="313" t="str">
        <f>IF($B77=0,"",SUMIFS(INPUT_DATA!AO:AO,INPUT_DATA!$A:$A,$B77,INPUT_DATA!$C:$C,"S"))</f>
        <v/>
      </c>
      <c r="AQ77" s="313" t="str">
        <f>IF($B77=0,"",SUMIFS(INPUT_DATA!AP:AP,INPUT_DATA!$A:$A,$B77,INPUT_DATA!$C:$C,"S"))</f>
        <v/>
      </c>
      <c r="AR77" s="313" t="str">
        <f>IF($B77=0,"",SUMIFS(INPUT_DATA!AQ:AQ,INPUT_DATA!$A:$A,$B77,INPUT_DATA!$C:$C,"S"))</f>
        <v/>
      </c>
      <c r="AS77" s="749" t="str">
        <f t="shared" si="29"/>
        <v/>
      </c>
      <c r="AT77" s="750" t="str">
        <f t="shared" si="30"/>
        <v/>
      </c>
      <c r="AU77" s="751" t="str">
        <f t="shared" si="31"/>
        <v/>
      </c>
      <c r="AV77" s="749" t="str">
        <f>IF($B77=0,"",SUMIFS(INPUT_DATA!AR:AR,INPUT_DATA!$A:$A,$B77,INPUT_DATA!$C:$C,"S"))</f>
        <v/>
      </c>
      <c r="AW77" s="750" t="str">
        <f>IF($B77=0,"",SUMIFS(INPUT_DATA!AS:AS,INPUT_DATA!$A:$A,$B77,INPUT_DATA!$C:$C,"S"))</f>
        <v/>
      </c>
      <c r="AX77" s="751" t="str">
        <f>IF($B77=0,"",SUMIFS(INPUT_DATA!AT:AT,INPUT_DATA!$A:$A,$B77,INPUT_DATA!$C:$C,"S"))</f>
        <v/>
      </c>
      <c r="AY77" s="749" t="str">
        <f t="shared" si="15"/>
        <v/>
      </c>
      <c r="AZ77" s="750" t="str">
        <f t="shared" si="16"/>
        <v/>
      </c>
      <c r="BA77" s="751" t="str">
        <f t="shared" si="17"/>
        <v/>
      </c>
      <c r="BB77" s="150"/>
      <c r="BC77" s="738" t="str">
        <f>IF($B77=0,"",SUMIFS(INPUT_DATA!D:D,INPUT_DATA!$A:$A,$B77,INPUT_DATA!$C:$C,"D"))</f>
        <v/>
      </c>
      <c r="BD77" s="312" t="str">
        <f>IF($B77=0,"",SUMIFS(INPUT_DATA!F:F,INPUT_DATA!$A:$A,$B77,INPUT_DATA!$C:$C,"D"))</f>
        <v/>
      </c>
      <c r="BE77" s="312" t="str">
        <f>IF($B77=0,"",SUMIFS(INPUT_DATA!G:G,INPUT_DATA!$A:$A,$B77,INPUT_DATA!$C:$C,"D"))</f>
        <v/>
      </c>
      <c r="BF77" s="312" t="str">
        <f>IF($B77=0,"",SUMIFS(INPUT_DATA!H:H,INPUT_DATA!$A:$A,$B77,INPUT_DATA!$C:$C,"D"))</f>
        <v/>
      </c>
      <c r="BG77" s="312" t="str">
        <f>IF($B77=0,"",SUMIFS(INPUT_DATA!I:I,INPUT_DATA!$A:$A,$B77,INPUT_DATA!$C:$C,"D"))</f>
        <v/>
      </c>
      <c r="BH77" s="312" t="str">
        <f>IF($B77=0,"",SUMIFS(INPUT_DATA!J:J,INPUT_DATA!$A:$A,$B77,INPUT_DATA!$C:$C,"D"))</f>
        <v/>
      </c>
      <c r="BI77" s="312" t="str">
        <f>IF($B77=0,"",SUMIFS(INPUT_DATA!K:K,INPUT_DATA!$A:$A,$B77,INPUT_DATA!$C:$C,"D"))</f>
        <v/>
      </c>
      <c r="BJ77" s="312" t="str">
        <f>IF($B77=0,"",SUMIFS(INPUT_DATA!L:L,INPUT_DATA!$A:$A,$B77,INPUT_DATA!$C:$C,"D"))</f>
        <v/>
      </c>
      <c r="BK77" s="312" t="str">
        <f>IF($B77=0,"",SUMIFS(INPUT_DATA!M:M,INPUT_DATA!$A:$A,$B77,INPUT_DATA!$C:$C,"D"))</f>
        <v/>
      </c>
      <c r="BL77" s="312" t="str">
        <f>IF($B77=0,"",SUMIFS(INPUT_DATA!N:N,INPUT_DATA!$A:$A,$B77,INPUT_DATA!$C:$C,"D"))</f>
        <v/>
      </c>
      <c r="BM77" s="312" t="str">
        <f>IF($B77=0,"",SUMIFS(INPUT_DATA!O:O,INPUT_DATA!$A:$A,$B77,INPUT_DATA!$C:$C,"D"))</f>
        <v/>
      </c>
      <c r="BN77" s="754" t="str">
        <f t="shared" si="18"/>
        <v/>
      </c>
      <c r="BO77" s="754" t="str">
        <f>IF($B77=0,"",SUMIFS(INPUT_DATA!O:O,INPUT_DATA!$A:$A,$B77,INPUT_DATA!$C:$C,"D"))</f>
        <v/>
      </c>
      <c r="BP77" s="754" t="str">
        <f t="shared" si="19"/>
        <v/>
      </c>
      <c r="BQ77" s="738" t="str">
        <f>IF($B77=0,"",SUMIFS(INPUT_DATA!Q:Q,INPUT_DATA!$A:$A,$B77,INPUT_DATA!$C:$C,"D"))</f>
        <v/>
      </c>
      <c r="BR77" s="760" t="str">
        <f>IF($B77=0,"",SUMIFS(INPUT_DATA!R:R,INPUT_DATA!$A:$A,$B77,INPUT_DATA!$C:$C,"D"))</f>
        <v/>
      </c>
      <c r="BS77" s="760" t="str">
        <f>IF($B77=0,"",SUMIFS(INPUT_DATA!S:S,INPUT_DATA!$A:$A,$B77,INPUT_DATA!$C:$C,"D"))</f>
        <v/>
      </c>
      <c r="BT77" s="312" t="str">
        <f>IF($B77=0,"",SUMIFS(INPUT_DATA!T:T,INPUT_DATA!$A:$A,$B77,INPUT_DATA!$C:$C,"D"))</f>
        <v/>
      </c>
      <c r="BU77" s="312" t="str">
        <f>IF($B77=0,"",SUMIFS(INPUT_DATA!U:U,INPUT_DATA!$A:$A,$B77,INPUT_DATA!$C:$C,"D"))</f>
        <v/>
      </c>
      <c r="BV77" s="312" t="str">
        <f>IF($B77=0,"",SUMIFS(INPUT_DATA!V:V,INPUT_DATA!$A:$A,$B77,INPUT_DATA!$C:$C,"D"))</f>
        <v/>
      </c>
      <c r="BW77" s="312" t="str">
        <f>IF($B77=0,"",SUMIFS(INPUT_DATA!W:W,INPUT_DATA!$A:$A,$B77,INPUT_DATA!$C:$C,"D"))</f>
        <v/>
      </c>
      <c r="BX77" s="312" t="str">
        <f>IF($B77=0,"",SUMIFS(INPUT_DATA!X:X,INPUT_DATA!$A:$A,$B77,INPUT_DATA!$C:$C,"D"))</f>
        <v/>
      </c>
      <c r="BY77" s="312" t="str">
        <f>IF($B77=0,"",SUMIFS(INPUT_DATA!Y:Y,INPUT_DATA!$A:$A,$B77,INPUT_DATA!$C:$C,"D"))</f>
        <v/>
      </c>
      <c r="BZ77" s="353" t="str">
        <f>IF($B77=0,"",SUMIFS(INPUT_DATA!Z:Z,INPUT_DATA!$A:$A,$B77,INPUT_DATA!$C:$C,"D"))</f>
        <v/>
      </c>
      <c r="CA77" s="353" t="str">
        <f>IF($B77=0,"",SUMIFS(INPUT_DATA!AA:AA,INPUT_DATA!$A:$A,$B77,INPUT_DATA!$C:$C,"D"))</f>
        <v/>
      </c>
      <c r="CB77" s="353" t="str">
        <f>IF($B77=0,"",SUMIFS(INPUT_DATA!AB:AB,INPUT_DATA!$A:$A,$B77,INPUT_DATA!$C:$C,"D"))</f>
        <v/>
      </c>
      <c r="CC77" s="312" t="str">
        <f>IF($B77=0,"",SUMIFS(INPUT_DATA!AC:AC,INPUT_DATA!$A:$A,$B77,INPUT_DATA!$C:$C,"D"))</f>
        <v/>
      </c>
      <c r="CD77" s="312" t="str">
        <f>IF($B77=0,"",SUMIFS(INPUT_DATA!AD:AD,INPUT_DATA!$A:$A,$B77,INPUT_DATA!$C:$C,"D"))</f>
        <v/>
      </c>
      <c r="CE77" s="312" t="str">
        <f>IF($B77=0,"",SUMIFS(INPUT_DATA!AE:AE,INPUT_DATA!$A:$A,$B77,INPUT_DATA!$C:$C,"D"))</f>
        <v/>
      </c>
      <c r="CF77" s="353" t="str">
        <f>IF($B77=0,"",SUMIFS(INPUT_DATA!AF:AF,INPUT_DATA!$A:$A,$B77,INPUT_DATA!$C:$C,"D"))</f>
        <v/>
      </c>
      <c r="CG77" s="353" t="str">
        <f>IF($B77=0,"",SUMIFS(INPUT_DATA!AG:AG,INPUT_DATA!$A:$A,$B77,INPUT_DATA!$C:$C,"D"))</f>
        <v/>
      </c>
      <c r="CH77" s="353" t="str">
        <f>IF($B77=0,"",SUMIFS(INPUT_DATA!AH:AH,INPUT_DATA!$A:$A,$B77,INPUT_DATA!$C:$C,"D"))</f>
        <v/>
      </c>
      <c r="CI77" s="153" t="str">
        <f>IF($B77=0,"",SUMIFS(INPUT_DATA!AI:AI,INPUT_DATA!$A:$A,$B77,INPUT_DATA!$C:$C,"D"))</f>
        <v/>
      </c>
      <c r="CJ77" s="153" t="str">
        <f>IF($B77=0,"",SUMIFS(INPUT_DATA!AJ:AJ,INPUT_DATA!$A:$A,$B77,INPUT_DATA!$C:$C,"D"))</f>
        <v/>
      </c>
      <c r="CK77" s="153" t="str">
        <f>IF($B77=0,"",SUMIFS(INPUT_DATA!AK:AK,INPUT_DATA!$A:$A,$B77,INPUT_DATA!$C:$C,"D"))</f>
        <v/>
      </c>
      <c r="CL77" s="153" t="str">
        <f>IF($B77=0,"",SUMIFS(INPUT_DATA!AL:AL,INPUT_DATA!$A:$A,$B77,INPUT_DATA!$C:$C,"D"))</f>
        <v/>
      </c>
      <c r="CM77" s="153" t="str">
        <f>IF($B77=0,"",SUMIFS(INPUT_DATA!AM:AM,INPUT_DATA!$A:$A,$B77,INPUT_DATA!$C:$C,"D"))</f>
        <v/>
      </c>
      <c r="CN77" s="153" t="str">
        <f>IF($B77=0,"",SUMIFS(INPUT_DATA!AN:AN,INPUT_DATA!$A:$A,$B77,INPUT_DATA!$C:$C,"D"))</f>
        <v/>
      </c>
      <c r="CO77" s="153" t="str">
        <f>IF($B77=0,"",SUMIFS(INPUT_DATA!AO:AO,INPUT_DATA!$A:$A,$B77,INPUT_DATA!$C:$C,"D"))</f>
        <v/>
      </c>
      <c r="CP77" s="153" t="str">
        <f>IF($B77=0,"",SUMIFS(INPUT_DATA!AP:AP,INPUT_DATA!$A:$A,$B77,INPUT_DATA!$C:$C,"D"))</f>
        <v/>
      </c>
      <c r="CQ77" s="153" t="str">
        <f>IF($B77=0,"",SUMIFS(INPUT_DATA!AQ:AQ,INPUT_DATA!$A:$A,$B77,INPUT_DATA!$C:$C,"D"))</f>
        <v/>
      </c>
      <c r="CR77" s="750" t="str">
        <f t="shared" si="32"/>
        <v/>
      </c>
      <c r="CS77" s="750" t="str">
        <f t="shared" si="33"/>
        <v/>
      </c>
      <c r="CT77" s="750" t="str">
        <f t="shared" si="34"/>
        <v/>
      </c>
      <c r="CU77" s="739" t="str">
        <f>IF($B77=0,"",SUMIFS(INPUT_DATA!AR:AR,INPUT_DATA!$A:$A,$B77,INPUT_DATA!$C:$C,"D"))</f>
        <v/>
      </c>
      <c r="CV77" s="739" t="str">
        <f>IF($B77=0,"",SUMIFS(INPUT_DATA!AS:AS,INPUT_DATA!$A:$A,$B77,INPUT_DATA!$C:$C,"D"))</f>
        <v/>
      </c>
      <c r="CW77" s="739" t="str">
        <f>IF($B77=0,"",SUMIFS(INPUT_DATA!AT:AT,INPUT_DATA!$A:$A,$B77,INPUT_DATA!$C:$C,"D"))</f>
        <v/>
      </c>
      <c r="CX77" s="739" t="str">
        <f t="shared" si="35"/>
        <v/>
      </c>
      <c r="CY77" s="750" t="str">
        <f t="shared" si="36"/>
        <v/>
      </c>
      <c r="CZ77" s="761" t="str">
        <f t="shared" si="37"/>
        <v/>
      </c>
      <c r="DA77" s="150"/>
    </row>
    <row r="78" spans="1:105" ht="13" x14ac:dyDescent="0.25">
      <c r="A78" s="172">
        <f t="shared" si="40"/>
        <v>-31</v>
      </c>
      <c r="B78" s="733">
        <f>INPUT_DATA!BQ65</f>
        <v>0</v>
      </c>
      <c r="C78" s="738" t="str">
        <f>IF($B78=0,"",SUMIFS(INPUT_DATA!D:D,INPUT_DATA!$A:$A,$B78,INPUT_DATA!$C:$C,"S"))</f>
        <v/>
      </c>
      <c r="D78" s="739" t="str">
        <f>IF($B78=0,"",SUMIFS(INPUT_DATA!E:E,INPUT_DATA!$A:$A,$B78,INPUT_DATA!$C:$C,"S"))</f>
        <v/>
      </c>
      <c r="E78" s="740" t="str">
        <f>IF($B78=0,"",SUMIFS(INPUT_DATA!F:F,INPUT_DATA!$A:$A,$B78,INPUT_DATA!$C:$C,"S"))</f>
        <v/>
      </c>
      <c r="F78" s="740" t="str">
        <f>IF($B78=0,"",SUMIFS(INPUT_DATA!G:G,INPUT_DATA!$A:$A,$B78,INPUT_DATA!$C:$C,"S"))</f>
        <v/>
      </c>
      <c r="G78" s="740" t="str">
        <f>IF($B78=0,"",SUMIFS(INPUT_DATA!H:H,INPUT_DATA!$A:$A,$B78,INPUT_DATA!$C:$C,"S"))</f>
        <v/>
      </c>
      <c r="H78" s="740" t="str">
        <f>IF($B78=0,"",SUMIFS(INPUT_DATA!I:I,INPUT_DATA!$A:$A,$B78,INPUT_DATA!$C:$C,"S"))</f>
        <v/>
      </c>
      <c r="I78" s="740" t="str">
        <f>IF($B78=0,"",SUMIFS(INPUT_DATA!J:J,INPUT_DATA!$A:$A,$B78,INPUT_DATA!$C:$C,"S"))</f>
        <v/>
      </c>
      <c r="J78" s="740" t="str">
        <f>IF($B78=0,"",SUMIFS(INPUT_DATA!K:K,INPUT_DATA!$A:$A,$B78,INPUT_DATA!$C:$C,"S"))</f>
        <v/>
      </c>
      <c r="K78" s="740" t="str">
        <f>IF($B78=0,"",SUMIFS(INPUT_DATA!L:L,INPUT_DATA!$A:$A,$B78,INPUT_DATA!$C:$C,"S"))</f>
        <v/>
      </c>
      <c r="L78" s="740" t="str">
        <f>IF($B78=0,"",SUMIFS(INPUT_DATA!M:M,INPUT_DATA!$A:$A,$B78,INPUT_DATA!$C:$C,"S"))</f>
        <v/>
      </c>
      <c r="M78" s="740" t="str">
        <f>IF($B78=0,"",SUMIFS(INPUT_DATA!N:N,INPUT_DATA!$A:$A,$B78,INPUT_DATA!$C:$C,"S"))</f>
        <v/>
      </c>
      <c r="N78" s="740" t="str">
        <f>IF($B78=0,"",SUMIFS(INPUT_DATA!O:O,INPUT_DATA!$A:$A,$B78,INPUT_DATA!$C:$C,"S"))</f>
        <v/>
      </c>
      <c r="O78" s="741" t="str">
        <f t="shared" si="38"/>
        <v/>
      </c>
      <c r="P78" s="742" t="str">
        <f>IF($B78=0,"",SUMIFS(INPUT_DATA!P:P,INPUT_DATA!$A:$A,$B78,INPUT_DATA!$C:$C,"S"))</f>
        <v/>
      </c>
      <c r="Q78" s="742" t="str">
        <f t="shared" si="39"/>
        <v/>
      </c>
      <c r="R78" s="748" t="str">
        <f>IF($B78=0,"",SUMIFS(INPUT_DATA!Q:Q,INPUT_DATA!$A:$A,$B78,INPUT_DATA!$C:$C,"S"))</f>
        <v/>
      </c>
      <c r="S78" s="748" t="str">
        <f>IF($B78=0,"",SUMIFS(INPUT_DATA!R:R,INPUT_DATA!$A:$A,$B78,INPUT_DATA!$C:$C,"S"))</f>
        <v/>
      </c>
      <c r="T78" s="748" t="str">
        <f>IF($B78=0,"",SUMIFS(INPUT_DATA!S:S,INPUT_DATA!$A:$A,$B78,INPUT_DATA!$C:$C,"S"))</f>
        <v/>
      </c>
      <c r="U78" s="313" t="str">
        <f>IF($B78=0,"",SUMIFS(INPUT_DATA!T:T,INPUT_DATA!$A:$A,$B78,INPUT_DATA!$C:$C,"S"))</f>
        <v/>
      </c>
      <c r="V78" s="313" t="str">
        <f>IF($B78=0,"",SUMIFS(INPUT_DATA!U:U,INPUT_DATA!$A:$A,$B78,INPUT_DATA!$C:$C,"S"))</f>
        <v/>
      </c>
      <c r="W78" s="313" t="str">
        <f>IF($B78=0,"",SUMIFS(INPUT_DATA!V:V,INPUT_DATA!$A:$A,$B78,INPUT_DATA!$C:$C,"S"))</f>
        <v/>
      </c>
      <c r="X78" s="313" t="str">
        <f>IF($B78=0,"",SUMIFS(INPUT_DATA!W:W,INPUT_DATA!$A:$A,$B78,INPUT_DATA!$C:$C,"S"))</f>
        <v/>
      </c>
      <c r="Y78" s="313" t="str">
        <f>IF($B78=0,"",SUMIFS(INPUT_DATA!X:X,INPUT_DATA!$A:$A,$B78,INPUT_DATA!$C:$C,"S"))</f>
        <v/>
      </c>
      <c r="Z78" s="313" t="str">
        <f>IF($B78=0,"",SUMIFS(INPUT_DATA!Y:Y,INPUT_DATA!$A:$A,$B78,INPUT_DATA!$C:$C,"S"))</f>
        <v/>
      </c>
      <c r="AA78" s="313" t="str">
        <f>IF($B78=0,"",SUMIFS(INPUT_DATA!Z:Z,INPUT_DATA!$A:$A,$B78,INPUT_DATA!$C:$C,"S"))</f>
        <v/>
      </c>
      <c r="AB78" s="313" t="str">
        <f>IF($B78=0,"",SUMIFS(INPUT_DATA!AA:AA,INPUT_DATA!$A:$A,$B78,INPUT_DATA!$C:$C,"S"))</f>
        <v/>
      </c>
      <c r="AC78" s="313" t="str">
        <f>IF($B78=0,"",SUMIFS(INPUT_DATA!AB:AB,INPUT_DATA!$A:$A,$B78,INPUT_DATA!$C:$C,"S"))</f>
        <v/>
      </c>
      <c r="AD78" s="313" t="str">
        <f>IF($B78=0,"",SUMIFS(INPUT_DATA!AC:AC,INPUT_DATA!$A:$A,$B78,INPUT_DATA!$C:$C,"S"))</f>
        <v/>
      </c>
      <c r="AE78" s="313" t="str">
        <f>IF($B78=0,"",SUMIFS(INPUT_DATA!AD:AD,INPUT_DATA!$A:$A,$B78,INPUT_DATA!$C:$C,"S"))</f>
        <v/>
      </c>
      <c r="AF78" s="313" t="str">
        <f>IF($B78=0,"",SUMIFS(INPUT_DATA!AE:AE,INPUT_DATA!$A:$A,$B78,INPUT_DATA!$C:$C,"S"))</f>
        <v/>
      </c>
      <c r="AG78" s="313" t="str">
        <f>IF($B78=0,"",SUMIFS(INPUT_DATA!AF:AF,INPUT_DATA!$A:$A,$B78,INPUT_DATA!$C:$C,"S"))</f>
        <v/>
      </c>
      <c r="AH78" s="313" t="str">
        <f>IF($B78=0,"",SUMIFS(INPUT_DATA!AG:AG,INPUT_DATA!$A:$A,$B78,INPUT_DATA!$C:$C,"S"))</f>
        <v/>
      </c>
      <c r="AI78" s="313" t="str">
        <f>IF($B78=0,"",SUMIFS(INPUT_DATA!AH:AH,INPUT_DATA!$A:$A,$B78,INPUT_DATA!$C:$C,"S"))</f>
        <v/>
      </c>
      <c r="AJ78" s="313" t="str">
        <f>IF($B78=0,"",SUMIFS(INPUT_DATA!AI:AI,INPUT_DATA!$A:$A,$B78,INPUT_DATA!$C:$C,"S"))</f>
        <v/>
      </c>
      <c r="AK78" s="313" t="str">
        <f>IF($B78=0,"",SUMIFS(INPUT_DATA!AJ:AJ,INPUT_DATA!$A:$A,$B78,INPUT_DATA!$C:$C,"S"))</f>
        <v/>
      </c>
      <c r="AL78" s="313" t="str">
        <f>IF($B78=0,"",SUMIFS(INPUT_DATA!AK:AK,INPUT_DATA!$A:$A,$B78,INPUT_DATA!$C:$C,"S"))</f>
        <v/>
      </c>
      <c r="AM78" s="313" t="str">
        <f>IF($B78=0,"",SUMIFS(INPUT_DATA!AL:AL,INPUT_DATA!$A:$A,$B78,INPUT_DATA!$C:$C,"S"))</f>
        <v/>
      </c>
      <c r="AN78" s="313" t="str">
        <f>IF($B78=0,"",SUMIFS(INPUT_DATA!AM:AM,INPUT_DATA!$A:$A,$B78,INPUT_DATA!$C:$C,"S"))</f>
        <v/>
      </c>
      <c r="AO78" s="313" t="str">
        <f>IF($B78=0,"",SUMIFS(INPUT_DATA!AN:AN,INPUT_DATA!$A:$A,$B78,INPUT_DATA!$C:$C,"S"))</f>
        <v/>
      </c>
      <c r="AP78" s="313" t="str">
        <f>IF($B78=0,"",SUMIFS(INPUT_DATA!AO:AO,INPUT_DATA!$A:$A,$B78,INPUT_DATA!$C:$C,"S"))</f>
        <v/>
      </c>
      <c r="AQ78" s="313" t="str">
        <f>IF($B78=0,"",SUMIFS(INPUT_DATA!AP:AP,INPUT_DATA!$A:$A,$B78,INPUT_DATA!$C:$C,"S"))</f>
        <v/>
      </c>
      <c r="AR78" s="313" t="str">
        <f>IF($B78=0,"",SUMIFS(INPUT_DATA!AQ:AQ,INPUT_DATA!$A:$A,$B78,INPUT_DATA!$C:$C,"S"))</f>
        <v/>
      </c>
      <c r="AS78" s="749" t="str">
        <f t="shared" si="29"/>
        <v/>
      </c>
      <c r="AT78" s="750" t="str">
        <f t="shared" si="30"/>
        <v/>
      </c>
      <c r="AU78" s="751" t="str">
        <f t="shared" si="31"/>
        <v/>
      </c>
      <c r="AV78" s="749" t="str">
        <f>IF($B78=0,"",SUMIFS(INPUT_DATA!AR:AR,INPUT_DATA!$A:$A,$B78,INPUT_DATA!$C:$C,"S"))</f>
        <v/>
      </c>
      <c r="AW78" s="750" t="str">
        <f>IF($B78=0,"",SUMIFS(INPUT_DATA!AS:AS,INPUT_DATA!$A:$A,$B78,INPUT_DATA!$C:$C,"S"))</f>
        <v/>
      </c>
      <c r="AX78" s="751" t="str">
        <f>IF($B78=0,"",SUMIFS(INPUT_DATA!AT:AT,INPUT_DATA!$A:$A,$B78,INPUT_DATA!$C:$C,"S"))</f>
        <v/>
      </c>
      <c r="AY78" s="749" t="str">
        <f t="shared" si="15"/>
        <v/>
      </c>
      <c r="AZ78" s="750" t="str">
        <f t="shared" si="16"/>
        <v/>
      </c>
      <c r="BA78" s="751" t="str">
        <f t="shared" si="17"/>
        <v/>
      </c>
      <c r="BB78" s="150"/>
      <c r="BC78" s="738" t="str">
        <f>IF($B78=0,"",SUMIFS(INPUT_DATA!D:D,INPUT_DATA!$A:$A,$B78,INPUT_DATA!$C:$C,"D"))</f>
        <v/>
      </c>
      <c r="BD78" s="312" t="str">
        <f>IF($B78=0,"",SUMIFS(INPUT_DATA!F:F,INPUT_DATA!$A:$A,$B78,INPUT_DATA!$C:$C,"D"))</f>
        <v/>
      </c>
      <c r="BE78" s="312" t="str">
        <f>IF($B78=0,"",SUMIFS(INPUT_DATA!G:G,INPUT_DATA!$A:$A,$B78,INPUT_DATA!$C:$C,"D"))</f>
        <v/>
      </c>
      <c r="BF78" s="312" t="str">
        <f>IF($B78=0,"",SUMIFS(INPUT_DATA!H:H,INPUT_DATA!$A:$A,$B78,INPUT_DATA!$C:$C,"D"))</f>
        <v/>
      </c>
      <c r="BG78" s="312" t="str">
        <f>IF($B78=0,"",SUMIFS(INPUT_DATA!I:I,INPUT_DATA!$A:$A,$B78,INPUT_DATA!$C:$C,"D"))</f>
        <v/>
      </c>
      <c r="BH78" s="312" t="str">
        <f>IF($B78=0,"",SUMIFS(INPUT_DATA!J:J,INPUT_DATA!$A:$A,$B78,INPUT_DATA!$C:$C,"D"))</f>
        <v/>
      </c>
      <c r="BI78" s="312" t="str">
        <f>IF($B78=0,"",SUMIFS(INPUT_DATA!K:K,INPUT_DATA!$A:$A,$B78,INPUT_DATA!$C:$C,"D"))</f>
        <v/>
      </c>
      <c r="BJ78" s="312" t="str">
        <f>IF($B78=0,"",SUMIFS(INPUT_DATA!L:L,INPUT_DATA!$A:$A,$B78,INPUT_DATA!$C:$C,"D"))</f>
        <v/>
      </c>
      <c r="BK78" s="312" t="str">
        <f>IF($B78=0,"",SUMIFS(INPUT_DATA!M:M,INPUT_DATA!$A:$A,$B78,INPUT_DATA!$C:$C,"D"))</f>
        <v/>
      </c>
      <c r="BL78" s="312" t="str">
        <f>IF($B78=0,"",SUMIFS(INPUT_DATA!N:N,INPUT_DATA!$A:$A,$B78,INPUT_DATA!$C:$C,"D"))</f>
        <v/>
      </c>
      <c r="BM78" s="312" t="str">
        <f>IF($B78=0,"",SUMIFS(INPUT_DATA!O:O,INPUT_DATA!$A:$A,$B78,INPUT_DATA!$C:$C,"D"))</f>
        <v/>
      </c>
      <c r="BN78" s="754" t="str">
        <f t="shared" si="18"/>
        <v/>
      </c>
      <c r="BO78" s="754" t="str">
        <f>IF($B78=0,"",SUMIFS(INPUT_DATA!O:O,INPUT_DATA!$A:$A,$B78,INPUT_DATA!$C:$C,"D"))</f>
        <v/>
      </c>
      <c r="BP78" s="754" t="str">
        <f t="shared" si="19"/>
        <v/>
      </c>
      <c r="BQ78" s="738" t="str">
        <f>IF($B78=0,"",SUMIFS(INPUT_DATA!Q:Q,INPUT_DATA!$A:$A,$B78,INPUT_DATA!$C:$C,"D"))</f>
        <v/>
      </c>
      <c r="BR78" s="760" t="str">
        <f>IF($B78=0,"",SUMIFS(INPUT_DATA!R:R,INPUT_DATA!$A:$A,$B78,INPUT_DATA!$C:$C,"D"))</f>
        <v/>
      </c>
      <c r="BS78" s="760" t="str">
        <f>IF($B78=0,"",SUMIFS(INPUT_DATA!S:S,INPUT_DATA!$A:$A,$B78,INPUT_DATA!$C:$C,"D"))</f>
        <v/>
      </c>
      <c r="BT78" s="312" t="str">
        <f>IF($B78=0,"",SUMIFS(INPUT_DATA!T:T,INPUT_DATA!$A:$A,$B78,INPUT_DATA!$C:$C,"D"))</f>
        <v/>
      </c>
      <c r="BU78" s="312" t="str">
        <f>IF($B78=0,"",SUMIFS(INPUT_DATA!U:U,INPUT_DATA!$A:$A,$B78,INPUT_DATA!$C:$C,"D"))</f>
        <v/>
      </c>
      <c r="BV78" s="312" t="str">
        <f>IF($B78=0,"",SUMIFS(INPUT_DATA!V:V,INPUT_DATA!$A:$A,$B78,INPUT_DATA!$C:$C,"D"))</f>
        <v/>
      </c>
      <c r="BW78" s="312" t="str">
        <f>IF($B78=0,"",SUMIFS(INPUT_DATA!W:W,INPUT_DATA!$A:$A,$B78,INPUT_DATA!$C:$C,"D"))</f>
        <v/>
      </c>
      <c r="BX78" s="312" t="str">
        <f>IF($B78=0,"",SUMIFS(INPUT_DATA!X:X,INPUT_DATA!$A:$A,$B78,INPUT_DATA!$C:$C,"D"))</f>
        <v/>
      </c>
      <c r="BY78" s="312" t="str">
        <f>IF($B78=0,"",SUMIFS(INPUT_DATA!Y:Y,INPUT_DATA!$A:$A,$B78,INPUT_DATA!$C:$C,"D"))</f>
        <v/>
      </c>
      <c r="BZ78" s="353" t="str">
        <f>IF($B78=0,"",SUMIFS(INPUT_DATA!Z:Z,INPUT_DATA!$A:$A,$B78,INPUT_DATA!$C:$C,"D"))</f>
        <v/>
      </c>
      <c r="CA78" s="353" t="str">
        <f>IF($B78=0,"",SUMIFS(INPUT_DATA!AA:AA,INPUT_DATA!$A:$A,$B78,INPUT_DATA!$C:$C,"D"))</f>
        <v/>
      </c>
      <c r="CB78" s="353" t="str">
        <f>IF($B78=0,"",SUMIFS(INPUT_DATA!AB:AB,INPUT_DATA!$A:$A,$B78,INPUT_DATA!$C:$C,"D"))</f>
        <v/>
      </c>
      <c r="CC78" s="312" t="str">
        <f>IF($B78=0,"",SUMIFS(INPUT_DATA!AC:AC,INPUT_DATA!$A:$A,$B78,INPUT_DATA!$C:$C,"D"))</f>
        <v/>
      </c>
      <c r="CD78" s="312" t="str">
        <f>IF($B78=0,"",SUMIFS(INPUT_DATA!AD:AD,INPUT_DATA!$A:$A,$B78,INPUT_DATA!$C:$C,"D"))</f>
        <v/>
      </c>
      <c r="CE78" s="312" t="str">
        <f>IF($B78=0,"",SUMIFS(INPUT_DATA!AE:AE,INPUT_DATA!$A:$A,$B78,INPUT_DATA!$C:$C,"D"))</f>
        <v/>
      </c>
      <c r="CF78" s="353" t="str">
        <f>IF($B78=0,"",SUMIFS(INPUT_DATA!AF:AF,INPUT_DATA!$A:$A,$B78,INPUT_DATA!$C:$C,"D"))</f>
        <v/>
      </c>
      <c r="CG78" s="353" t="str">
        <f>IF($B78=0,"",SUMIFS(INPUT_DATA!AG:AG,INPUT_DATA!$A:$A,$B78,INPUT_DATA!$C:$C,"D"))</f>
        <v/>
      </c>
      <c r="CH78" s="353" t="str">
        <f>IF($B78=0,"",SUMIFS(INPUT_DATA!AH:AH,INPUT_DATA!$A:$A,$B78,INPUT_DATA!$C:$C,"D"))</f>
        <v/>
      </c>
      <c r="CI78" s="153" t="str">
        <f>IF($B78=0,"",SUMIFS(INPUT_DATA!AI:AI,INPUT_DATA!$A:$A,$B78,INPUT_DATA!$C:$C,"D"))</f>
        <v/>
      </c>
      <c r="CJ78" s="153" t="str">
        <f>IF($B78=0,"",SUMIFS(INPUT_DATA!AJ:AJ,INPUT_DATA!$A:$A,$B78,INPUT_DATA!$C:$C,"D"))</f>
        <v/>
      </c>
      <c r="CK78" s="153" t="str">
        <f>IF($B78=0,"",SUMIFS(INPUT_DATA!AK:AK,INPUT_DATA!$A:$A,$B78,INPUT_DATA!$C:$C,"D"))</f>
        <v/>
      </c>
      <c r="CL78" s="153" t="str">
        <f>IF($B78=0,"",SUMIFS(INPUT_DATA!AL:AL,INPUT_DATA!$A:$A,$B78,INPUT_DATA!$C:$C,"D"))</f>
        <v/>
      </c>
      <c r="CM78" s="153" t="str">
        <f>IF($B78=0,"",SUMIFS(INPUT_DATA!AM:AM,INPUT_DATA!$A:$A,$B78,INPUT_DATA!$C:$C,"D"))</f>
        <v/>
      </c>
      <c r="CN78" s="153" t="str">
        <f>IF($B78=0,"",SUMIFS(INPUT_DATA!AN:AN,INPUT_DATA!$A:$A,$B78,INPUT_DATA!$C:$C,"D"))</f>
        <v/>
      </c>
      <c r="CO78" s="153" t="str">
        <f>IF($B78=0,"",SUMIFS(INPUT_DATA!AO:AO,INPUT_DATA!$A:$A,$B78,INPUT_DATA!$C:$C,"D"))</f>
        <v/>
      </c>
      <c r="CP78" s="153" t="str">
        <f>IF($B78=0,"",SUMIFS(INPUT_DATA!AP:AP,INPUT_DATA!$A:$A,$B78,INPUT_DATA!$C:$C,"D"))</f>
        <v/>
      </c>
      <c r="CQ78" s="153" t="str">
        <f>IF($B78=0,"",SUMIFS(INPUT_DATA!AQ:AQ,INPUT_DATA!$A:$A,$B78,INPUT_DATA!$C:$C,"D"))</f>
        <v/>
      </c>
      <c r="CR78" s="750" t="str">
        <f t="shared" si="32"/>
        <v/>
      </c>
      <c r="CS78" s="750" t="str">
        <f t="shared" si="33"/>
        <v/>
      </c>
      <c r="CT78" s="750" t="str">
        <f t="shared" si="34"/>
        <v/>
      </c>
      <c r="CU78" s="739" t="str">
        <f>IF($B78=0,"",SUMIFS(INPUT_DATA!AR:AR,INPUT_DATA!$A:$A,$B78,INPUT_DATA!$C:$C,"D"))</f>
        <v/>
      </c>
      <c r="CV78" s="739" t="str">
        <f>IF($B78=0,"",SUMIFS(INPUT_DATA!AS:AS,INPUT_DATA!$A:$A,$B78,INPUT_DATA!$C:$C,"D"))</f>
        <v/>
      </c>
      <c r="CW78" s="739" t="str">
        <f>IF($B78=0,"",SUMIFS(INPUT_DATA!AT:AT,INPUT_DATA!$A:$A,$B78,INPUT_DATA!$C:$C,"D"))</f>
        <v/>
      </c>
      <c r="CX78" s="739" t="str">
        <f t="shared" si="35"/>
        <v/>
      </c>
      <c r="CY78" s="750" t="str">
        <f t="shared" si="36"/>
        <v/>
      </c>
      <c r="CZ78" s="761" t="str">
        <f t="shared" si="37"/>
        <v/>
      </c>
      <c r="DA78" s="150"/>
    </row>
    <row r="79" spans="1:105" ht="13" x14ac:dyDescent="0.25">
      <c r="A79" s="172">
        <f t="shared" si="40"/>
        <v>-32</v>
      </c>
      <c r="B79" s="733">
        <f>INPUT_DATA!BQ66</f>
        <v>0</v>
      </c>
      <c r="C79" s="738" t="str">
        <f>IF($B79=0,"",SUMIFS(INPUT_DATA!D:D,INPUT_DATA!$A:$A,$B79,INPUT_DATA!$C:$C,"S"))</f>
        <v/>
      </c>
      <c r="D79" s="739" t="str">
        <f>IF($B79=0,"",SUMIFS(INPUT_DATA!E:E,INPUT_DATA!$A:$A,$B79,INPUT_DATA!$C:$C,"S"))</f>
        <v/>
      </c>
      <c r="E79" s="740" t="str">
        <f>IF($B79=0,"",SUMIFS(INPUT_DATA!F:F,INPUT_DATA!$A:$A,$B79,INPUT_DATA!$C:$C,"S"))</f>
        <v/>
      </c>
      <c r="F79" s="740" t="str">
        <f>IF($B79=0,"",SUMIFS(INPUT_DATA!G:G,INPUT_DATA!$A:$A,$B79,INPUT_DATA!$C:$C,"S"))</f>
        <v/>
      </c>
      <c r="G79" s="740" t="str">
        <f>IF($B79=0,"",SUMIFS(INPUT_DATA!H:H,INPUT_DATA!$A:$A,$B79,INPUT_DATA!$C:$C,"S"))</f>
        <v/>
      </c>
      <c r="H79" s="740" t="str">
        <f>IF($B79=0,"",SUMIFS(INPUT_DATA!I:I,INPUT_DATA!$A:$A,$B79,INPUT_DATA!$C:$C,"S"))</f>
        <v/>
      </c>
      <c r="I79" s="740" t="str">
        <f>IF($B79=0,"",SUMIFS(INPUT_DATA!J:J,INPUT_DATA!$A:$A,$B79,INPUT_DATA!$C:$C,"S"))</f>
        <v/>
      </c>
      <c r="J79" s="740" t="str">
        <f>IF($B79=0,"",SUMIFS(INPUT_DATA!K:K,INPUT_DATA!$A:$A,$B79,INPUT_DATA!$C:$C,"S"))</f>
        <v/>
      </c>
      <c r="K79" s="740" t="str">
        <f>IF($B79=0,"",SUMIFS(INPUT_DATA!L:L,INPUT_DATA!$A:$A,$B79,INPUT_DATA!$C:$C,"S"))</f>
        <v/>
      </c>
      <c r="L79" s="740" t="str">
        <f>IF($B79=0,"",SUMIFS(INPUT_DATA!M:M,INPUT_DATA!$A:$A,$B79,INPUT_DATA!$C:$C,"S"))</f>
        <v/>
      </c>
      <c r="M79" s="740" t="str">
        <f>IF($B79=0,"",SUMIFS(INPUT_DATA!N:N,INPUT_DATA!$A:$A,$B79,INPUT_DATA!$C:$C,"S"))</f>
        <v/>
      </c>
      <c r="N79" s="740" t="str">
        <f>IF($B79=0,"",SUMIFS(INPUT_DATA!O:O,INPUT_DATA!$A:$A,$B79,INPUT_DATA!$C:$C,"S"))</f>
        <v/>
      </c>
      <c r="O79" s="741" t="str">
        <f t="shared" si="38"/>
        <v/>
      </c>
      <c r="P79" s="742" t="str">
        <f>IF($B79=0,"",SUMIFS(INPUT_DATA!P:P,INPUT_DATA!$A:$A,$B79,INPUT_DATA!$C:$C,"S"))</f>
        <v/>
      </c>
      <c r="Q79" s="742" t="str">
        <f t="shared" si="39"/>
        <v/>
      </c>
      <c r="R79" s="748" t="str">
        <f>IF($B79=0,"",SUMIFS(INPUT_DATA!Q:Q,INPUT_DATA!$A:$A,$B79,INPUT_DATA!$C:$C,"S"))</f>
        <v/>
      </c>
      <c r="S79" s="748" t="str">
        <f>IF($B79=0,"",SUMIFS(INPUT_DATA!R:R,INPUT_DATA!$A:$A,$B79,INPUT_DATA!$C:$C,"S"))</f>
        <v/>
      </c>
      <c r="T79" s="748" t="str">
        <f>IF($B79=0,"",SUMIFS(INPUT_DATA!S:S,INPUT_DATA!$A:$A,$B79,INPUT_DATA!$C:$C,"S"))</f>
        <v/>
      </c>
      <c r="U79" s="313" t="str">
        <f>IF($B79=0,"",SUMIFS(INPUT_DATA!T:T,INPUT_DATA!$A:$A,$B79,INPUT_DATA!$C:$C,"S"))</f>
        <v/>
      </c>
      <c r="V79" s="313" t="str">
        <f>IF($B79=0,"",SUMIFS(INPUT_DATA!U:U,INPUT_DATA!$A:$A,$B79,INPUT_DATA!$C:$C,"S"))</f>
        <v/>
      </c>
      <c r="W79" s="313" t="str">
        <f>IF($B79=0,"",SUMIFS(INPUT_DATA!V:V,INPUT_DATA!$A:$A,$B79,INPUT_DATA!$C:$C,"S"))</f>
        <v/>
      </c>
      <c r="X79" s="313" t="str">
        <f>IF($B79=0,"",SUMIFS(INPUT_DATA!W:W,INPUT_DATA!$A:$A,$B79,INPUT_DATA!$C:$C,"S"))</f>
        <v/>
      </c>
      <c r="Y79" s="313" t="str">
        <f>IF($B79=0,"",SUMIFS(INPUT_DATA!X:X,INPUT_DATA!$A:$A,$B79,INPUT_DATA!$C:$C,"S"))</f>
        <v/>
      </c>
      <c r="Z79" s="313" t="str">
        <f>IF($B79=0,"",SUMIFS(INPUT_DATA!Y:Y,INPUT_DATA!$A:$A,$B79,INPUT_DATA!$C:$C,"S"))</f>
        <v/>
      </c>
      <c r="AA79" s="313" t="str">
        <f>IF($B79=0,"",SUMIFS(INPUT_DATA!Z:Z,INPUT_DATA!$A:$A,$B79,INPUT_DATA!$C:$C,"S"))</f>
        <v/>
      </c>
      <c r="AB79" s="313" t="str">
        <f>IF($B79=0,"",SUMIFS(INPUT_DATA!AA:AA,INPUT_DATA!$A:$A,$B79,INPUT_DATA!$C:$C,"S"))</f>
        <v/>
      </c>
      <c r="AC79" s="313" t="str">
        <f>IF($B79=0,"",SUMIFS(INPUT_DATA!AB:AB,INPUT_DATA!$A:$A,$B79,INPUT_DATA!$C:$C,"S"))</f>
        <v/>
      </c>
      <c r="AD79" s="313" t="str">
        <f>IF($B79=0,"",SUMIFS(INPUT_DATA!AC:AC,INPUT_DATA!$A:$A,$B79,INPUT_DATA!$C:$C,"S"))</f>
        <v/>
      </c>
      <c r="AE79" s="313" t="str">
        <f>IF($B79=0,"",SUMIFS(INPUT_DATA!AD:AD,INPUT_DATA!$A:$A,$B79,INPUT_DATA!$C:$C,"S"))</f>
        <v/>
      </c>
      <c r="AF79" s="313" t="str">
        <f>IF($B79=0,"",SUMIFS(INPUT_DATA!AE:AE,INPUT_DATA!$A:$A,$B79,INPUT_DATA!$C:$C,"S"))</f>
        <v/>
      </c>
      <c r="AG79" s="313" t="str">
        <f>IF($B79=0,"",SUMIFS(INPUT_DATA!AF:AF,INPUT_DATA!$A:$A,$B79,INPUT_DATA!$C:$C,"S"))</f>
        <v/>
      </c>
      <c r="AH79" s="313" t="str">
        <f>IF($B79=0,"",SUMIFS(INPUT_DATA!AG:AG,INPUT_DATA!$A:$A,$B79,INPUT_DATA!$C:$C,"S"))</f>
        <v/>
      </c>
      <c r="AI79" s="313" t="str">
        <f>IF($B79=0,"",SUMIFS(INPUT_DATA!AH:AH,INPUT_DATA!$A:$A,$B79,INPUT_DATA!$C:$C,"S"))</f>
        <v/>
      </c>
      <c r="AJ79" s="313" t="str">
        <f>IF($B79=0,"",SUMIFS(INPUT_DATA!AI:AI,INPUT_DATA!$A:$A,$B79,INPUT_DATA!$C:$C,"S"))</f>
        <v/>
      </c>
      <c r="AK79" s="313" t="str">
        <f>IF($B79=0,"",SUMIFS(INPUT_DATA!AJ:AJ,INPUT_DATA!$A:$A,$B79,INPUT_DATA!$C:$C,"S"))</f>
        <v/>
      </c>
      <c r="AL79" s="313" t="str">
        <f>IF($B79=0,"",SUMIFS(INPUT_DATA!AK:AK,INPUT_DATA!$A:$A,$B79,INPUT_DATA!$C:$C,"S"))</f>
        <v/>
      </c>
      <c r="AM79" s="313" t="str">
        <f>IF($B79=0,"",SUMIFS(INPUT_DATA!AL:AL,INPUT_DATA!$A:$A,$B79,INPUT_DATA!$C:$C,"S"))</f>
        <v/>
      </c>
      <c r="AN79" s="313" t="str">
        <f>IF($B79=0,"",SUMIFS(INPUT_DATA!AM:AM,INPUT_DATA!$A:$A,$B79,INPUT_DATA!$C:$C,"S"))</f>
        <v/>
      </c>
      <c r="AO79" s="313" t="str">
        <f>IF($B79=0,"",SUMIFS(INPUT_DATA!AN:AN,INPUT_DATA!$A:$A,$B79,INPUT_DATA!$C:$C,"S"))</f>
        <v/>
      </c>
      <c r="AP79" s="313" t="str">
        <f>IF($B79=0,"",SUMIFS(INPUT_DATA!AO:AO,INPUT_DATA!$A:$A,$B79,INPUT_DATA!$C:$C,"S"))</f>
        <v/>
      </c>
      <c r="AQ79" s="313" t="str">
        <f>IF($B79=0,"",SUMIFS(INPUT_DATA!AP:AP,INPUT_DATA!$A:$A,$B79,INPUT_DATA!$C:$C,"S"))</f>
        <v/>
      </c>
      <c r="AR79" s="313" t="str">
        <f>IF($B79=0,"",SUMIFS(INPUT_DATA!AQ:AQ,INPUT_DATA!$A:$A,$B79,INPUT_DATA!$C:$C,"S"))</f>
        <v/>
      </c>
      <c r="AS79" s="749" t="str">
        <f t="shared" si="29"/>
        <v/>
      </c>
      <c r="AT79" s="750" t="str">
        <f t="shared" si="30"/>
        <v/>
      </c>
      <c r="AU79" s="751" t="str">
        <f t="shared" si="31"/>
        <v/>
      </c>
      <c r="AV79" s="749" t="str">
        <f>IF($B79=0,"",SUMIFS(INPUT_DATA!AR:AR,INPUT_DATA!$A:$A,$B79,INPUT_DATA!$C:$C,"S"))</f>
        <v/>
      </c>
      <c r="AW79" s="750" t="str">
        <f>IF($B79=0,"",SUMIFS(INPUT_DATA!AS:AS,INPUT_DATA!$A:$A,$B79,INPUT_DATA!$C:$C,"S"))</f>
        <v/>
      </c>
      <c r="AX79" s="751" t="str">
        <f>IF($B79=0,"",SUMIFS(INPUT_DATA!AT:AT,INPUT_DATA!$A:$A,$B79,INPUT_DATA!$C:$C,"S"))</f>
        <v/>
      </c>
      <c r="AY79" s="749" t="str">
        <f t="shared" si="15"/>
        <v/>
      </c>
      <c r="AZ79" s="750" t="str">
        <f t="shared" si="16"/>
        <v/>
      </c>
      <c r="BA79" s="751" t="str">
        <f t="shared" si="17"/>
        <v/>
      </c>
      <c r="BB79" s="150"/>
      <c r="BC79" s="738" t="str">
        <f>IF($B79=0,"",SUMIFS(INPUT_DATA!D:D,INPUT_DATA!$A:$A,$B79,INPUT_DATA!$C:$C,"D"))</f>
        <v/>
      </c>
      <c r="BD79" s="312" t="str">
        <f>IF($B79=0,"",SUMIFS(INPUT_DATA!F:F,INPUT_DATA!$A:$A,$B79,INPUT_DATA!$C:$C,"D"))</f>
        <v/>
      </c>
      <c r="BE79" s="312" t="str">
        <f>IF($B79=0,"",SUMIFS(INPUT_DATA!G:G,INPUT_DATA!$A:$A,$B79,INPUT_DATA!$C:$C,"D"))</f>
        <v/>
      </c>
      <c r="BF79" s="312" t="str">
        <f>IF($B79=0,"",SUMIFS(INPUT_DATA!H:H,INPUT_DATA!$A:$A,$B79,INPUT_DATA!$C:$C,"D"))</f>
        <v/>
      </c>
      <c r="BG79" s="312" t="str">
        <f>IF($B79=0,"",SUMIFS(INPUT_DATA!I:I,INPUT_DATA!$A:$A,$B79,INPUT_DATA!$C:$C,"D"))</f>
        <v/>
      </c>
      <c r="BH79" s="312" t="str">
        <f>IF($B79=0,"",SUMIFS(INPUT_DATA!J:J,INPUT_DATA!$A:$A,$B79,INPUT_DATA!$C:$C,"D"))</f>
        <v/>
      </c>
      <c r="BI79" s="312" t="str">
        <f>IF($B79=0,"",SUMIFS(INPUT_DATA!K:K,INPUT_DATA!$A:$A,$B79,INPUT_DATA!$C:$C,"D"))</f>
        <v/>
      </c>
      <c r="BJ79" s="312" t="str">
        <f>IF($B79=0,"",SUMIFS(INPUT_DATA!L:L,INPUT_DATA!$A:$A,$B79,INPUT_DATA!$C:$C,"D"))</f>
        <v/>
      </c>
      <c r="BK79" s="312" t="str">
        <f>IF($B79=0,"",SUMIFS(INPUT_DATA!M:M,INPUT_DATA!$A:$A,$B79,INPUT_DATA!$C:$C,"D"))</f>
        <v/>
      </c>
      <c r="BL79" s="312" t="str">
        <f>IF($B79=0,"",SUMIFS(INPUT_DATA!N:N,INPUT_DATA!$A:$A,$B79,INPUT_DATA!$C:$C,"D"))</f>
        <v/>
      </c>
      <c r="BM79" s="312" t="str">
        <f>IF($B79=0,"",SUMIFS(INPUT_DATA!O:O,INPUT_DATA!$A:$A,$B79,INPUT_DATA!$C:$C,"D"))</f>
        <v/>
      </c>
      <c r="BN79" s="754" t="str">
        <f t="shared" si="18"/>
        <v/>
      </c>
      <c r="BO79" s="754" t="str">
        <f>IF($B79=0,"",SUMIFS(INPUT_DATA!O:O,INPUT_DATA!$A:$A,$B79,INPUT_DATA!$C:$C,"D"))</f>
        <v/>
      </c>
      <c r="BP79" s="754" t="str">
        <f t="shared" si="19"/>
        <v/>
      </c>
      <c r="BQ79" s="738" t="str">
        <f>IF($B79=0,"",SUMIFS(INPUT_DATA!Q:Q,INPUT_DATA!$A:$A,$B79,INPUT_DATA!$C:$C,"D"))</f>
        <v/>
      </c>
      <c r="BR79" s="760" t="str">
        <f>IF($B79=0,"",SUMIFS(INPUT_DATA!R:R,INPUT_DATA!$A:$A,$B79,INPUT_DATA!$C:$C,"D"))</f>
        <v/>
      </c>
      <c r="BS79" s="760" t="str">
        <f>IF($B79=0,"",SUMIFS(INPUT_DATA!S:S,INPUT_DATA!$A:$A,$B79,INPUT_DATA!$C:$C,"D"))</f>
        <v/>
      </c>
      <c r="BT79" s="312" t="str">
        <f>IF($B79=0,"",SUMIFS(INPUT_DATA!T:T,INPUT_DATA!$A:$A,$B79,INPUT_DATA!$C:$C,"D"))</f>
        <v/>
      </c>
      <c r="BU79" s="312" t="str">
        <f>IF($B79=0,"",SUMIFS(INPUT_DATA!U:U,INPUT_DATA!$A:$A,$B79,INPUT_DATA!$C:$C,"D"))</f>
        <v/>
      </c>
      <c r="BV79" s="312" t="str">
        <f>IF($B79=0,"",SUMIFS(INPUT_DATA!V:V,INPUT_DATA!$A:$A,$B79,INPUT_DATA!$C:$C,"D"))</f>
        <v/>
      </c>
      <c r="BW79" s="312" t="str">
        <f>IF($B79=0,"",SUMIFS(INPUT_DATA!W:W,INPUT_DATA!$A:$A,$B79,INPUT_DATA!$C:$C,"D"))</f>
        <v/>
      </c>
      <c r="BX79" s="312" t="str">
        <f>IF($B79=0,"",SUMIFS(INPUT_DATA!X:X,INPUT_DATA!$A:$A,$B79,INPUT_DATA!$C:$C,"D"))</f>
        <v/>
      </c>
      <c r="BY79" s="312" t="str">
        <f>IF($B79=0,"",SUMIFS(INPUT_DATA!Y:Y,INPUT_DATA!$A:$A,$B79,INPUT_DATA!$C:$C,"D"))</f>
        <v/>
      </c>
      <c r="BZ79" s="353" t="str">
        <f>IF($B79=0,"",SUMIFS(INPUT_DATA!Z:Z,INPUT_DATA!$A:$A,$B79,INPUT_DATA!$C:$C,"D"))</f>
        <v/>
      </c>
      <c r="CA79" s="353" t="str">
        <f>IF($B79=0,"",SUMIFS(INPUT_DATA!AA:AA,INPUT_DATA!$A:$A,$B79,INPUT_DATA!$C:$C,"D"))</f>
        <v/>
      </c>
      <c r="CB79" s="353" t="str">
        <f>IF($B79=0,"",SUMIFS(INPUT_DATA!AB:AB,INPUT_DATA!$A:$A,$B79,INPUT_DATA!$C:$C,"D"))</f>
        <v/>
      </c>
      <c r="CC79" s="312" t="str">
        <f>IF($B79=0,"",SUMIFS(INPUT_DATA!AC:AC,INPUT_DATA!$A:$A,$B79,INPUT_DATA!$C:$C,"D"))</f>
        <v/>
      </c>
      <c r="CD79" s="312" t="str">
        <f>IF($B79=0,"",SUMIFS(INPUT_DATA!AD:AD,INPUT_DATA!$A:$A,$B79,INPUT_DATA!$C:$C,"D"))</f>
        <v/>
      </c>
      <c r="CE79" s="312" t="str">
        <f>IF($B79=0,"",SUMIFS(INPUT_DATA!AE:AE,INPUT_DATA!$A:$A,$B79,INPUT_DATA!$C:$C,"D"))</f>
        <v/>
      </c>
      <c r="CF79" s="353" t="str">
        <f>IF($B79=0,"",SUMIFS(INPUT_DATA!AF:AF,INPUT_DATA!$A:$A,$B79,INPUT_DATA!$C:$C,"D"))</f>
        <v/>
      </c>
      <c r="CG79" s="353" t="str">
        <f>IF($B79=0,"",SUMIFS(INPUT_DATA!AG:AG,INPUT_DATA!$A:$A,$B79,INPUT_DATA!$C:$C,"D"))</f>
        <v/>
      </c>
      <c r="CH79" s="353" t="str">
        <f>IF($B79=0,"",SUMIFS(INPUT_DATA!AH:AH,INPUT_DATA!$A:$A,$B79,INPUT_DATA!$C:$C,"D"))</f>
        <v/>
      </c>
      <c r="CI79" s="153" t="str">
        <f>IF($B79=0,"",SUMIFS(INPUT_DATA!AI:AI,INPUT_DATA!$A:$A,$B79,INPUT_DATA!$C:$C,"D"))</f>
        <v/>
      </c>
      <c r="CJ79" s="153" t="str">
        <f>IF($B79=0,"",SUMIFS(INPUT_DATA!AJ:AJ,INPUT_DATA!$A:$A,$B79,INPUT_DATA!$C:$C,"D"))</f>
        <v/>
      </c>
      <c r="CK79" s="153" t="str">
        <f>IF($B79=0,"",SUMIFS(INPUT_DATA!AK:AK,INPUT_DATA!$A:$A,$B79,INPUT_DATA!$C:$C,"D"))</f>
        <v/>
      </c>
      <c r="CL79" s="153" t="str">
        <f>IF($B79=0,"",SUMIFS(INPUT_DATA!AL:AL,INPUT_DATA!$A:$A,$B79,INPUT_DATA!$C:$C,"D"))</f>
        <v/>
      </c>
      <c r="CM79" s="153" t="str">
        <f>IF($B79=0,"",SUMIFS(INPUT_DATA!AM:AM,INPUT_DATA!$A:$A,$B79,INPUT_DATA!$C:$C,"D"))</f>
        <v/>
      </c>
      <c r="CN79" s="153" t="str">
        <f>IF($B79=0,"",SUMIFS(INPUT_DATA!AN:AN,INPUT_DATA!$A:$A,$B79,INPUT_DATA!$C:$C,"D"))</f>
        <v/>
      </c>
      <c r="CO79" s="153" t="str">
        <f>IF($B79=0,"",SUMIFS(INPUT_DATA!AO:AO,INPUT_DATA!$A:$A,$B79,INPUT_DATA!$C:$C,"D"))</f>
        <v/>
      </c>
      <c r="CP79" s="153" t="str">
        <f>IF($B79=0,"",SUMIFS(INPUT_DATA!AP:AP,INPUT_DATA!$A:$A,$B79,INPUT_DATA!$C:$C,"D"))</f>
        <v/>
      </c>
      <c r="CQ79" s="153" t="str">
        <f>IF($B79=0,"",SUMIFS(INPUT_DATA!AQ:AQ,INPUT_DATA!$A:$A,$B79,INPUT_DATA!$C:$C,"D"))</f>
        <v/>
      </c>
      <c r="CR79" s="750" t="str">
        <f t="shared" si="32"/>
        <v/>
      </c>
      <c r="CS79" s="750" t="str">
        <f t="shared" si="33"/>
        <v/>
      </c>
      <c r="CT79" s="750" t="str">
        <f t="shared" si="34"/>
        <v/>
      </c>
      <c r="CU79" s="739" t="str">
        <f>IF($B79=0,"",SUMIFS(INPUT_DATA!AR:AR,INPUT_DATA!$A:$A,$B79,INPUT_DATA!$C:$C,"D"))</f>
        <v/>
      </c>
      <c r="CV79" s="739" t="str">
        <f>IF($B79=0,"",SUMIFS(INPUT_DATA!AS:AS,INPUT_DATA!$A:$A,$B79,INPUT_DATA!$C:$C,"D"))</f>
        <v/>
      </c>
      <c r="CW79" s="739" t="str">
        <f>IF($B79=0,"",SUMIFS(INPUT_DATA!AT:AT,INPUT_DATA!$A:$A,$B79,INPUT_DATA!$C:$C,"D"))</f>
        <v/>
      </c>
      <c r="CX79" s="739" t="str">
        <f t="shared" si="35"/>
        <v/>
      </c>
      <c r="CY79" s="750" t="str">
        <f t="shared" si="36"/>
        <v/>
      </c>
      <c r="CZ79" s="761" t="str">
        <f t="shared" si="37"/>
        <v/>
      </c>
      <c r="DA79" s="150"/>
    </row>
    <row r="80" spans="1:105" ht="13" x14ac:dyDescent="0.25">
      <c r="A80" s="172">
        <f t="shared" si="40"/>
        <v>-33</v>
      </c>
      <c r="B80" s="733">
        <f>INPUT_DATA!BQ67</f>
        <v>0</v>
      </c>
      <c r="C80" s="738" t="str">
        <f>IF($B80=0,"",SUMIFS(INPUT_DATA!D:D,INPUT_DATA!$A:$A,$B80,INPUT_DATA!$C:$C,"S"))</f>
        <v/>
      </c>
      <c r="D80" s="739" t="str">
        <f>IF($B80=0,"",SUMIFS(INPUT_DATA!E:E,INPUT_DATA!$A:$A,$B80,INPUT_DATA!$C:$C,"S"))</f>
        <v/>
      </c>
      <c r="E80" s="740" t="str">
        <f>IF($B80=0,"",SUMIFS(INPUT_DATA!F:F,INPUT_DATA!$A:$A,$B80,INPUT_DATA!$C:$C,"S"))</f>
        <v/>
      </c>
      <c r="F80" s="740" t="str">
        <f>IF($B80=0,"",SUMIFS(INPUT_DATA!G:G,INPUT_DATA!$A:$A,$B80,INPUT_DATA!$C:$C,"S"))</f>
        <v/>
      </c>
      <c r="G80" s="740" t="str">
        <f>IF($B80=0,"",SUMIFS(INPUT_DATA!H:H,INPUT_DATA!$A:$A,$B80,INPUT_DATA!$C:$C,"S"))</f>
        <v/>
      </c>
      <c r="H80" s="740" t="str">
        <f>IF($B80=0,"",SUMIFS(INPUT_DATA!I:I,INPUT_DATA!$A:$A,$B80,INPUT_DATA!$C:$C,"S"))</f>
        <v/>
      </c>
      <c r="I80" s="740" t="str">
        <f>IF($B80=0,"",SUMIFS(INPUT_DATA!J:J,INPUT_DATA!$A:$A,$B80,INPUT_DATA!$C:$C,"S"))</f>
        <v/>
      </c>
      <c r="J80" s="740" t="str">
        <f>IF($B80=0,"",SUMIFS(INPUT_DATA!K:K,INPUT_DATA!$A:$A,$B80,INPUT_DATA!$C:$C,"S"))</f>
        <v/>
      </c>
      <c r="K80" s="740" t="str">
        <f>IF($B80=0,"",SUMIFS(INPUT_DATA!L:L,INPUT_DATA!$A:$A,$B80,INPUT_DATA!$C:$C,"S"))</f>
        <v/>
      </c>
      <c r="L80" s="740" t="str">
        <f>IF($B80=0,"",SUMIFS(INPUT_DATA!M:M,INPUT_DATA!$A:$A,$B80,INPUT_DATA!$C:$C,"S"))</f>
        <v/>
      </c>
      <c r="M80" s="740" t="str">
        <f>IF($B80=0,"",SUMIFS(INPUT_DATA!N:N,INPUT_DATA!$A:$A,$B80,INPUT_DATA!$C:$C,"S"))</f>
        <v/>
      </c>
      <c r="N80" s="740" t="str">
        <f>IF($B80=0,"",SUMIFS(INPUT_DATA!O:O,INPUT_DATA!$A:$A,$B80,INPUT_DATA!$C:$C,"S"))</f>
        <v/>
      </c>
      <c r="O80" s="741" t="str">
        <f t="shared" si="38"/>
        <v/>
      </c>
      <c r="P80" s="742" t="str">
        <f>IF($B80=0,"",SUMIFS(INPUT_DATA!P:P,INPUT_DATA!$A:$A,$B80,INPUT_DATA!$C:$C,"S"))</f>
        <v/>
      </c>
      <c r="Q80" s="742" t="str">
        <f t="shared" si="39"/>
        <v/>
      </c>
      <c r="R80" s="748" t="str">
        <f>IF($B80=0,"",SUMIFS(INPUT_DATA!Q:Q,INPUT_DATA!$A:$A,$B80,INPUT_DATA!$C:$C,"S"))</f>
        <v/>
      </c>
      <c r="S80" s="748" t="str">
        <f>IF($B80=0,"",SUMIFS(INPUT_DATA!R:R,INPUT_DATA!$A:$A,$B80,INPUT_DATA!$C:$C,"S"))</f>
        <v/>
      </c>
      <c r="T80" s="748" t="str">
        <f>IF($B80=0,"",SUMIFS(INPUT_DATA!S:S,INPUT_DATA!$A:$A,$B80,INPUT_DATA!$C:$C,"S"))</f>
        <v/>
      </c>
      <c r="U80" s="313" t="str">
        <f>IF($B80=0,"",SUMIFS(INPUT_DATA!T:T,INPUT_DATA!$A:$A,$B80,INPUT_DATA!$C:$C,"S"))</f>
        <v/>
      </c>
      <c r="V80" s="313" t="str">
        <f>IF($B80=0,"",SUMIFS(INPUT_DATA!U:U,INPUT_DATA!$A:$A,$B80,INPUT_DATA!$C:$C,"S"))</f>
        <v/>
      </c>
      <c r="W80" s="313" t="str">
        <f>IF($B80=0,"",SUMIFS(INPUT_DATA!V:V,INPUT_DATA!$A:$A,$B80,INPUT_DATA!$C:$C,"S"))</f>
        <v/>
      </c>
      <c r="X80" s="313" t="str">
        <f>IF($B80=0,"",SUMIFS(INPUT_DATA!W:W,INPUT_DATA!$A:$A,$B80,INPUT_DATA!$C:$C,"S"))</f>
        <v/>
      </c>
      <c r="Y80" s="313" t="str">
        <f>IF($B80=0,"",SUMIFS(INPUT_DATA!X:X,INPUT_DATA!$A:$A,$B80,INPUT_DATA!$C:$C,"S"))</f>
        <v/>
      </c>
      <c r="Z80" s="313" t="str">
        <f>IF($B80=0,"",SUMIFS(INPUT_DATA!Y:Y,INPUT_DATA!$A:$A,$B80,INPUT_DATA!$C:$C,"S"))</f>
        <v/>
      </c>
      <c r="AA80" s="313" t="str">
        <f>IF($B80=0,"",SUMIFS(INPUT_DATA!Z:Z,INPUT_DATA!$A:$A,$B80,INPUT_DATA!$C:$C,"S"))</f>
        <v/>
      </c>
      <c r="AB80" s="313" t="str">
        <f>IF($B80=0,"",SUMIFS(INPUT_DATA!AA:AA,INPUT_DATA!$A:$A,$B80,INPUT_DATA!$C:$C,"S"))</f>
        <v/>
      </c>
      <c r="AC80" s="313" t="str">
        <f>IF($B80=0,"",SUMIFS(INPUT_DATA!AB:AB,INPUT_DATA!$A:$A,$B80,INPUT_DATA!$C:$C,"S"))</f>
        <v/>
      </c>
      <c r="AD80" s="313" t="str">
        <f>IF($B80=0,"",SUMIFS(INPUT_DATA!AC:AC,INPUT_DATA!$A:$A,$B80,INPUT_DATA!$C:$C,"S"))</f>
        <v/>
      </c>
      <c r="AE80" s="313" t="str">
        <f>IF($B80=0,"",SUMIFS(INPUT_DATA!AD:AD,INPUT_DATA!$A:$A,$B80,INPUT_DATA!$C:$C,"S"))</f>
        <v/>
      </c>
      <c r="AF80" s="313" t="str">
        <f>IF($B80=0,"",SUMIFS(INPUT_DATA!AE:AE,INPUT_DATA!$A:$A,$B80,INPUT_DATA!$C:$C,"S"))</f>
        <v/>
      </c>
      <c r="AG80" s="313" t="str">
        <f>IF($B80=0,"",SUMIFS(INPUT_DATA!AF:AF,INPUT_DATA!$A:$A,$B80,INPUT_DATA!$C:$C,"S"))</f>
        <v/>
      </c>
      <c r="AH80" s="313" t="str">
        <f>IF($B80=0,"",SUMIFS(INPUT_DATA!AG:AG,INPUT_DATA!$A:$A,$B80,INPUT_DATA!$C:$C,"S"))</f>
        <v/>
      </c>
      <c r="AI80" s="313" t="str">
        <f>IF($B80=0,"",SUMIFS(INPUT_DATA!AH:AH,INPUT_DATA!$A:$A,$B80,INPUT_DATA!$C:$C,"S"))</f>
        <v/>
      </c>
      <c r="AJ80" s="313" t="str">
        <f>IF($B80=0,"",SUMIFS(INPUT_DATA!AI:AI,INPUT_DATA!$A:$A,$B80,INPUT_DATA!$C:$C,"S"))</f>
        <v/>
      </c>
      <c r="AK80" s="313" t="str">
        <f>IF($B80=0,"",SUMIFS(INPUT_DATA!AJ:AJ,INPUT_DATA!$A:$A,$B80,INPUT_DATA!$C:$C,"S"))</f>
        <v/>
      </c>
      <c r="AL80" s="313" t="str">
        <f>IF($B80=0,"",SUMIFS(INPUT_DATA!AK:AK,INPUT_DATA!$A:$A,$B80,INPUT_DATA!$C:$C,"S"))</f>
        <v/>
      </c>
      <c r="AM80" s="313" t="str">
        <f>IF($B80=0,"",SUMIFS(INPUT_DATA!AL:AL,INPUT_DATA!$A:$A,$B80,INPUT_DATA!$C:$C,"S"))</f>
        <v/>
      </c>
      <c r="AN80" s="313" t="str">
        <f>IF($B80=0,"",SUMIFS(INPUT_DATA!AM:AM,INPUT_DATA!$A:$A,$B80,INPUT_DATA!$C:$C,"S"))</f>
        <v/>
      </c>
      <c r="AO80" s="313" t="str">
        <f>IF($B80=0,"",SUMIFS(INPUT_DATA!AN:AN,INPUT_DATA!$A:$A,$B80,INPUT_DATA!$C:$C,"S"))</f>
        <v/>
      </c>
      <c r="AP80" s="313" t="str">
        <f>IF($B80=0,"",SUMIFS(INPUT_DATA!AO:AO,INPUT_DATA!$A:$A,$B80,INPUT_DATA!$C:$C,"S"))</f>
        <v/>
      </c>
      <c r="AQ80" s="313" t="str">
        <f>IF($B80=0,"",SUMIFS(INPUT_DATA!AP:AP,INPUT_DATA!$A:$A,$B80,INPUT_DATA!$C:$C,"S"))</f>
        <v/>
      </c>
      <c r="AR80" s="313" t="str">
        <f>IF($B80=0,"",SUMIFS(INPUT_DATA!AQ:AQ,INPUT_DATA!$A:$A,$B80,INPUT_DATA!$C:$C,"S"))</f>
        <v/>
      </c>
      <c r="AS80" s="749" t="str">
        <f t="shared" si="29"/>
        <v/>
      </c>
      <c r="AT80" s="750" t="str">
        <f t="shared" si="30"/>
        <v/>
      </c>
      <c r="AU80" s="751" t="str">
        <f t="shared" si="31"/>
        <v/>
      </c>
      <c r="AV80" s="749" t="str">
        <f>IF($B80=0,"",SUMIFS(INPUT_DATA!AR:AR,INPUT_DATA!$A:$A,$B80,INPUT_DATA!$C:$C,"S"))</f>
        <v/>
      </c>
      <c r="AW80" s="750" t="str">
        <f>IF($B80=0,"",SUMIFS(INPUT_DATA!AS:AS,INPUT_DATA!$A:$A,$B80,INPUT_DATA!$C:$C,"S"))</f>
        <v/>
      </c>
      <c r="AX80" s="751" t="str">
        <f>IF($B80=0,"",SUMIFS(INPUT_DATA!AT:AT,INPUT_DATA!$A:$A,$B80,INPUT_DATA!$C:$C,"S"))</f>
        <v/>
      </c>
      <c r="AY80" s="749" t="str">
        <f t="shared" si="15"/>
        <v/>
      </c>
      <c r="AZ80" s="750" t="str">
        <f t="shared" si="16"/>
        <v/>
      </c>
      <c r="BA80" s="751" t="str">
        <f t="shared" si="17"/>
        <v/>
      </c>
      <c r="BB80" s="150"/>
      <c r="BC80" s="738" t="str">
        <f>IF($B80=0,"",SUMIFS(INPUT_DATA!D:D,INPUT_DATA!$A:$A,$B80,INPUT_DATA!$C:$C,"D"))</f>
        <v/>
      </c>
      <c r="BD80" s="312" t="str">
        <f>IF($B80=0,"",SUMIFS(INPUT_DATA!F:F,INPUT_DATA!$A:$A,$B80,INPUT_DATA!$C:$C,"D"))</f>
        <v/>
      </c>
      <c r="BE80" s="312" t="str">
        <f>IF($B80=0,"",SUMIFS(INPUT_DATA!G:G,INPUT_DATA!$A:$A,$B80,INPUT_DATA!$C:$C,"D"))</f>
        <v/>
      </c>
      <c r="BF80" s="312" t="str">
        <f>IF($B80=0,"",SUMIFS(INPUT_DATA!H:H,INPUT_DATA!$A:$A,$B80,INPUT_DATA!$C:$C,"D"))</f>
        <v/>
      </c>
      <c r="BG80" s="312" t="str">
        <f>IF($B80=0,"",SUMIFS(INPUT_DATA!I:I,INPUT_DATA!$A:$A,$B80,INPUT_DATA!$C:$C,"D"))</f>
        <v/>
      </c>
      <c r="BH80" s="312" t="str">
        <f>IF($B80=0,"",SUMIFS(INPUT_DATA!J:J,INPUT_DATA!$A:$A,$B80,INPUT_DATA!$C:$C,"D"))</f>
        <v/>
      </c>
      <c r="BI80" s="312" t="str">
        <f>IF($B80=0,"",SUMIFS(INPUT_DATA!K:K,INPUT_DATA!$A:$A,$B80,INPUT_DATA!$C:$C,"D"))</f>
        <v/>
      </c>
      <c r="BJ80" s="312" t="str">
        <f>IF($B80=0,"",SUMIFS(INPUT_DATA!L:L,INPUT_DATA!$A:$A,$B80,INPUT_DATA!$C:$C,"D"))</f>
        <v/>
      </c>
      <c r="BK80" s="312" t="str">
        <f>IF($B80=0,"",SUMIFS(INPUT_DATA!M:M,INPUT_DATA!$A:$A,$B80,INPUT_DATA!$C:$C,"D"))</f>
        <v/>
      </c>
      <c r="BL80" s="312" t="str">
        <f>IF($B80=0,"",SUMIFS(INPUT_DATA!N:N,INPUT_DATA!$A:$A,$B80,INPUT_DATA!$C:$C,"D"))</f>
        <v/>
      </c>
      <c r="BM80" s="312" t="str">
        <f>IF($B80=0,"",SUMIFS(INPUT_DATA!O:O,INPUT_DATA!$A:$A,$B80,INPUT_DATA!$C:$C,"D"))</f>
        <v/>
      </c>
      <c r="BN80" s="754" t="str">
        <f t="shared" si="18"/>
        <v/>
      </c>
      <c r="BO80" s="754" t="str">
        <f>IF($B80=0,"",SUMIFS(INPUT_DATA!O:O,INPUT_DATA!$A:$A,$B80,INPUT_DATA!$C:$C,"D"))</f>
        <v/>
      </c>
      <c r="BP80" s="754" t="str">
        <f t="shared" si="19"/>
        <v/>
      </c>
      <c r="BQ80" s="738" t="str">
        <f>IF($B80=0,"",SUMIFS(INPUT_DATA!Q:Q,INPUT_DATA!$A:$A,$B80,INPUT_DATA!$C:$C,"D"))</f>
        <v/>
      </c>
      <c r="BR80" s="760" t="str">
        <f>IF($B80=0,"",SUMIFS(INPUT_DATA!R:R,INPUT_DATA!$A:$A,$B80,INPUT_DATA!$C:$C,"D"))</f>
        <v/>
      </c>
      <c r="BS80" s="760" t="str">
        <f>IF($B80=0,"",SUMIFS(INPUT_DATA!S:S,INPUT_DATA!$A:$A,$B80,INPUT_DATA!$C:$C,"D"))</f>
        <v/>
      </c>
      <c r="BT80" s="312" t="str">
        <f>IF($B80=0,"",SUMIFS(INPUT_DATA!T:T,INPUT_DATA!$A:$A,$B80,INPUT_DATA!$C:$C,"D"))</f>
        <v/>
      </c>
      <c r="BU80" s="312" t="str">
        <f>IF($B80=0,"",SUMIFS(INPUT_DATA!U:U,INPUT_DATA!$A:$A,$B80,INPUT_DATA!$C:$C,"D"))</f>
        <v/>
      </c>
      <c r="BV80" s="312" t="str">
        <f>IF($B80=0,"",SUMIFS(INPUT_DATA!V:V,INPUT_DATA!$A:$A,$B80,INPUT_DATA!$C:$C,"D"))</f>
        <v/>
      </c>
      <c r="BW80" s="312" t="str">
        <f>IF($B80=0,"",SUMIFS(INPUT_DATA!W:W,INPUT_DATA!$A:$A,$B80,INPUT_DATA!$C:$C,"D"))</f>
        <v/>
      </c>
      <c r="BX80" s="312" t="str">
        <f>IF($B80=0,"",SUMIFS(INPUT_DATA!X:X,INPUT_DATA!$A:$A,$B80,INPUT_DATA!$C:$C,"D"))</f>
        <v/>
      </c>
      <c r="BY80" s="312" t="str">
        <f>IF($B80=0,"",SUMIFS(INPUT_DATA!Y:Y,INPUT_DATA!$A:$A,$B80,INPUT_DATA!$C:$C,"D"))</f>
        <v/>
      </c>
      <c r="BZ80" s="353" t="str">
        <f>IF($B80=0,"",SUMIFS(INPUT_DATA!Z:Z,INPUT_DATA!$A:$A,$B80,INPUT_DATA!$C:$C,"D"))</f>
        <v/>
      </c>
      <c r="CA80" s="353" t="str">
        <f>IF($B80=0,"",SUMIFS(INPUT_DATA!AA:AA,INPUT_DATA!$A:$A,$B80,INPUT_DATA!$C:$C,"D"))</f>
        <v/>
      </c>
      <c r="CB80" s="353" t="str">
        <f>IF($B80=0,"",SUMIFS(INPUT_DATA!AB:AB,INPUT_DATA!$A:$A,$B80,INPUT_DATA!$C:$C,"D"))</f>
        <v/>
      </c>
      <c r="CC80" s="312" t="str">
        <f>IF($B80=0,"",SUMIFS(INPUT_DATA!AC:AC,INPUT_DATA!$A:$A,$B80,INPUT_DATA!$C:$C,"D"))</f>
        <v/>
      </c>
      <c r="CD80" s="312" t="str">
        <f>IF($B80=0,"",SUMIFS(INPUT_DATA!AD:AD,INPUT_DATA!$A:$A,$B80,INPUT_DATA!$C:$C,"D"))</f>
        <v/>
      </c>
      <c r="CE80" s="312" t="str">
        <f>IF($B80=0,"",SUMIFS(INPUT_DATA!AE:AE,INPUT_DATA!$A:$A,$B80,INPUT_DATA!$C:$C,"D"))</f>
        <v/>
      </c>
      <c r="CF80" s="353" t="str">
        <f>IF($B80=0,"",SUMIFS(INPUT_DATA!AF:AF,INPUT_DATA!$A:$A,$B80,INPUT_DATA!$C:$C,"D"))</f>
        <v/>
      </c>
      <c r="CG80" s="353" t="str">
        <f>IF($B80=0,"",SUMIFS(INPUT_DATA!AG:AG,INPUT_DATA!$A:$A,$B80,INPUT_DATA!$C:$C,"D"))</f>
        <v/>
      </c>
      <c r="CH80" s="353" t="str">
        <f>IF($B80=0,"",SUMIFS(INPUT_DATA!AH:AH,INPUT_DATA!$A:$A,$B80,INPUT_DATA!$C:$C,"D"))</f>
        <v/>
      </c>
      <c r="CI80" s="153" t="str">
        <f>IF($B80=0,"",SUMIFS(INPUT_DATA!AI:AI,INPUT_DATA!$A:$A,$B80,INPUT_DATA!$C:$C,"D"))</f>
        <v/>
      </c>
      <c r="CJ80" s="153" t="str">
        <f>IF($B80=0,"",SUMIFS(INPUT_DATA!AJ:AJ,INPUT_DATA!$A:$A,$B80,INPUT_DATA!$C:$C,"D"))</f>
        <v/>
      </c>
      <c r="CK80" s="153" t="str">
        <f>IF($B80=0,"",SUMIFS(INPUT_DATA!AK:AK,INPUT_DATA!$A:$A,$B80,INPUT_DATA!$C:$C,"D"))</f>
        <v/>
      </c>
      <c r="CL80" s="153" t="str">
        <f>IF($B80=0,"",SUMIFS(INPUT_DATA!AL:AL,INPUT_DATA!$A:$A,$B80,INPUT_DATA!$C:$C,"D"))</f>
        <v/>
      </c>
      <c r="CM80" s="153" t="str">
        <f>IF($B80=0,"",SUMIFS(INPUT_DATA!AM:AM,INPUT_DATA!$A:$A,$B80,INPUT_DATA!$C:$C,"D"))</f>
        <v/>
      </c>
      <c r="CN80" s="153" t="str">
        <f>IF($B80=0,"",SUMIFS(INPUT_DATA!AN:AN,INPUT_DATA!$A:$A,$B80,INPUT_DATA!$C:$C,"D"))</f>
        <v/>
      </c>
      <c r="CO80" s="153" t="str">
        <f>IF($B80=0,"",SUMIFS(INPUT_DATA!AO:AO,INPUT_DATA!$A:$A,$B80,INPUT_DATA!$C:$C,"D"))</f>
        <v/>
      </c>
      <c r="CP80" s="153" t="str">
        <f>IF($B80=0,"",SUMIFS(INPUT_DATA!AP:AP,INPUT_DATA!$A:$A,$B80,INPUT_DATA!$C:$C,"D"))</f>
        <v/>
      </c>
      <c r="CQ80" s="153" t="str">
        <f>IF($B80=0,"",SUMIFS(INPUT_DATA!AQ:AQ,INPUT_DATA!$A:$A,$B80,INPUT_DATA!$C:$C,"D"))</f>
        <v/>
      </c>
      <c r="CR80" s="750" t="str">
        <f t="shared" si="32"/>
        <v/>
      </c>
      <c r="CS80" s="750" t="str">
        <f t="shared" si="33"/>
        <v/>
      </c>
      <c r="CT80" s="750" t="str">
        <f t="shared" si="34"/>
        <v/>
      </c>
      <c r="CU80" s="739" t="str">
        <f>IF($B80=0,"",SUMIFS(INPUT_DATA!AR:AR,INPUT_DATA!$A:$A,$B80,INPUT_DATA!$C:$C,"D"))</f>
        <v/>
      </c>
      <c r="CV80" s="739" t="str">
        <f>IF($B80=0,"",SUMIFS(INPUT_DATA!AS:AS,INPUT_DATA!$A:$A,$B80,INPUT_DATA!$C:$C,"D"))</f>
        <v/>
      </c>
      <c r="CW80" s="739" t="str">
        <f>IF($B80=0,"",SUMIFS(INPUT_DATA!AT:AT,INPUT_DATA!$A:$A,$B80,INPUT_DATA!$C:$C,"D"))</f>
        <v/>
      </c>
      <c r="CX80" s="739" t="str">
        <f t="shared" si="35"/>
        <v/>
      </c>
      <c r="CY80" s="750" t="str">
        <f t="shared" si="36"/>
        <v/>
      </c>
      <c r="CZ80" s="761" t="str">
        <f t="shared" si="37"/>
        <v/>
      </c>
      <c r="DA80" s="150"/>
    </row>
    <row r="81" spans="1:105" ht="13" x14ac:dyDescent="0.25">
      <c r="A81" s="172">
        <f t="shared" si="40"/>
        <v>-34</v>
      </c>
      <c r="B81" s="733">
        <f>INPUT_DATA!BQ68</f>
        <v>0</v>
      </c>
      <c r="C81" s="738" t="str">
        <f>IF($B81=0,"",SUMIFS(INPUT_DATA!D:D,INPUT_DATA!$A:$A,$B81,INPUT_DATA!$C:$C,"S"))</f>
        <v/>
      </c>
      <c r="D81" s="739" t="str">
        <f>IF($B81=0,"",SUMIFS(INPUT_DATA!E:E,INPUT_DATA!$A:$A,$B81,INPUT_DATA!$C:$C,"S"))</f>
        <v/>
      </c>
      <c r="E81" s="740" t="str">
        <f>IF($B81=0,"",SUMIFS(INPUT_DATA!F:F,INPUT_DATA!$A:$A,$B81,INPUT_DATA!$C:$C,"S"))</f>
        <v/>
      </c>
      <c r="F81" s="740" t="str">
        <f>IF($B81=0,"",SUMIFS(INPUT_DATA!G:G,INPUT_DATA!$A:$A,$B81,INPUT_DATA!$C:$C,"S"))</f>
        <v/>
      </c>
      <c r="G81" s="740" t="str">
        <f>IF($B81=0,"",SUMIFS(INPUT_DATA!H:H,INPUT_DATA!$A:$A,$B81,INPUT_DATA!$C:$C,"S"))</f>
        <v/>
      </c>
      <c r="H81" s="740" t="str">
        <f>IF($B81=0,"",SUMIFS(INPUT_DATA!I:I,INPUT_DATA!$A:$A,$B81,INPUT_DATA!$C:$C,"S"))</f>
        <v/>
      </c>
      <c r="I81" s="740" t="str">
        <f>IF($B81=0,"",SUMIFS(INPUT_DATA!J:J,INPUT_DATA!$A:$A,$B81,INPUT_DATA!$C:$C,"S"))</f>
        <v/>
      </c>
      <c r="J81" s="740" t="str">
        <f>IF($B81=0,"",SUMIFS(INPUT_DATA!K:K,INPUT_DATA!$A:$A,$B81,INPUT_DATA!$C:$C,"S"))</f>
        <v/>
      </c>
      <c r="K81" s="740" t="str">
        <f>IF($B81=0,"",SUMIFS(INPUT_DATA!L:L,INPUT_DATA!$A:$A,$B81,INPUT_DATA!$C:$C,"S"))</f>
        <v/>
      </c>
      <c r="L81" s="740" t="str">
        <f>IF($B81=0,"",SUMIFS(INPUT_DATA!M:M,INPUT_DATA!$A:$A,$B81,INPUT_DATA!$C:$C,"S"))</f>
        <v/>
      </c>
      <c r="M81" s="740" t="str">
        <f>IF($B81=0,"",SUMIFS(INPUT_DATA!N:N,INPUT_DATA!$A:$A,$B81,INPUT_DATA!$C:$C,"S"))</f>
        <v/>
      </c>
      <c r="N81" s="740" t="str">
        <f>IF($B81=0,"",SUMIFS(INPUT_DATA!O:O,INPUT_DATA!$A:$A,$B81,INPUT_DATA!$C:$C,"S"))</f>
        <v/>
      </c>
      <c r="O81" s="741" t="str">
        <f t="shared" si="38"/>
        <v/>
      </c>
      <c r="P81" s="742" t="str">
        <f>IF($B81=0,"",SUMIFS(INPUT_DATA!P:P,INPUT_DATA!$A:$A,$B81,INPUT_DATA!$C:$C,"S"))</f>
        <v/>
      </c>
      <c r="Q81" s="742" t="str">
        <f t="shared" si="39"/>
        <v/>
      </c>
      <c r="R81" s="748" t="str">
        <f>IF($B81=0,"",SUMIFS(INPUT_DATA!Q:Q,INPUT_DATA!$A:$A,$B81,INPUT_DATA!$C:$C,"S"))</f>
        <v/>
      </c>
      <c r="S81" s="748" t="str">
        <f>IF($B81=0,"",SUMIFS(INPUT_DATA!R:R,INPUT_DATA!$A:$A,$B81,INPUT_DATA!$C:$C,"S"))</f>
        <v/>
      </c>
      <c r="T81" s="748" t="str">
        <f>IF($B81=0,"",SUMIFS(INPUT_DATA!S:S,INPUT_DATA!$A:$A,$B81,INPUT_DATA!$C:$C,"S"))</f>
        <v/>
      </c>
      <c r="U81" s="313" t="str">
        <f>IF($B81=0,"",SUMIFS(INPUT_DATA!T:T,INPUT_DATA!$A:$A,$B81,INPUT_DATA!$C:$C,"S"))</f>
        <v/>
      </c>
      <c r="V81" s="313" t="str">
        <f>IF($B81=0,"",SUMIFS(INPUT_DATA!U:U,INPUT_DATA!$A:$A,$B81,INPUT_DATA!$C:$C,"S"))</f>
        <v/>
      </c>
      <c r="W81" s="313" t="str">
        <f>IF($B81=0,"",SUMIFS(INPUT_DATA!V:V,INPUT_DATA!$A:$A,$B81,INPUT_DATA!$C:$C,"S"))</f>
        <v/>
      </c>
      <c r="X81" s="313" t="str">
        <f>IF($B81=0,"",SUMIFS(INPUT_DATA!W:W,INPUT_DATA!$A:$A,$B81,INPUT_DATA!$C:$C,"S"))</f>
        <v/>
      </c>
      <c r="Y81" s="313" t="str">
        <f>IF($B81=0,"",SUMIFS(INPUT_DATA!X:X,INPUT_DATA!$A:$A,$B81,INPUT_DATA!$C:$C,"S"))</f>
        <v/>
      </c>
      <c r="Z81" s="313" t="str">
        <f>IF($B81=0,"",SUMIFS(INPUT_DATA!Y:Y,INPUT_DATA!$A:$A,$B81,INPUT_DATA!$C:$C,"S"))</f>
        <v/>
      </c>
      <c r="AA81" s="313" t="str">
        <f>IF($B81=0,"",SUMIFS(INPUT_DATA!Z:Z,INPUT_DATA!$A:$A,$B81,INPUT_DATA!$C:$C,"S"))</f>
        <v/>
      </c>
      <c r="AB81" s="313" t="str">
        <f>IF($B81=0,"",SUMIFS(INPUT_DATA!AA:AA,INPUT_DATA!$A:$A,$B81,INPUT_DATA!$C:$C,"S"))</f>
        <v/>
      </c>
      <c r="AC81" s="313" t="str">
        <f>IF($B81=0,"",SUMIFS(INPUT_DATA!AB:AB,INPUT_DATA!$A:$A,$B81,INPUT_DATA!$C:$C,"S"))</f>
        <v/>
      </c>
      <c r="AD81" s="313" t="str">
        <f>IF($B81=0,"",SUMIFS(INPUT_DATA!AC:AC,INPUT_DATA!$A:$A,$B81,INPUT_DATA!$C:$C,"S"))</f>
        <v/>
      </c>
      <c r="AE81" s="313" t="str">
        <f>IF($B81=0,"",SUMIFS(INPUT_DATA!AD:AD,INPUT_DATA!$A:$A,$B81,INPUT_DATA!$C:$C,"S"))</f>
        <v/>
      </c>
      <c r="AF81" s="313" t="str">
        <f>IF($B81=0,"",SUMIFS(INPUT_DATA!AE:AE,INPUT_DATA!$A:$A,$B81,INPUT_DATA!$C:$C,"S"))</f>
        <v/>
      </c>
      <c r="AG81" s="313" t="str">
        <f>IF($B81=0,"",SUMIFS(INPUT_DATA!AF:AF,INPUT_DATA!$A:$A,$B81,INPUT_DATA!$C:$C,"S"))</f>
        <v/>
      </c>
      <c r="AH81" s="313" t="str">
        <f>IF($B81=0,"",SUMIFS(INPUT_DATA!AG:AG,INPUT_DATA!$A:$A,$B81,INPUT_DATA!$C:$C,"S"))</f>
        <v/>
      </c>
      <c r="AI81" s="313" t="str">
        <f>IF($B81=0,"",SUMIFS(INPUT_DATA!AH:AH,INPUT_DATA!$A:$A,$B81,INPUT_DATA!$C:$C,"S"))</f>
        <v/>
      </c>
      <c r="AJ81" s="313" t="str">
        <f>IF($B81=0,"",SUMIFS(INPUT_DATA!AI:AI,INPUT_DATA!$A:$A,$B81,INPUT_DATA!$C:$C,"S"))</f>
        <v/>
      </c>
      <c r="AK81" s="313" t="str">
        <f>IF($B81=0,"",SUMIFS(INPUT_DATA!AJ:AJ,INPUT_DATA!$A:$A,$B81,INPUT_DATA!$C:$C,"S"))</f>
        <v/>
      </c>
      <c r="AL81" s="313" t="str">
        <f>IF($B81=0,"",SUMIFS(INPUT_DATA!AK:AK,INPUT_DATA!$A:$A,$B81,INPUT_DATA!$C:$C,"S"))</f>
        <v/>
      </c>
      <c r="AM81" s="313" t="str">
        <f>IF($B81=0,"",SUMIFS(INPUT_DATA!AL:AL,INPUT_DATA!$A:$A,$B81,INPUT_DATA!$C:$C,"S"))</f>
        <v/>
      </c>
      <c r="AN81" s="313" t="str">
        <f>IF($B81=0,"",SUMIFS(INPUT_DATA!AM:AM,INPUT_DATA!$A:$A,$B81,INPUT_DATA!$C:$C,"S"))</f>
        <v/>
      </c>
      <c r="AO81" s="313" t="str">
        <f>IF($B81=0,"",SUMIFS(INPUT_DATA!AN:AN,INPUT_DATA!$A:$A,$B81,INPUT_DATA!$C:$C,"S"))</f>
        <v/>
      </c>
      <c r="AP81" s="313" t="str">
        <f>IF($B81=0,"",SUMIFS(INPUT_DATA!AO:AO,INPUT_DATA!$A:$A,$B81,INPUT_DATA!$C:$C,"S"))</f>
        <v/>
      </c>
      <c r="AQ81" s="313" t="str">
        <f>IF($B81=0,"",SUMIFS(INPUT_DATA!AP:AP,INPUT_DATA!$A:$A,$B81,INPUT_DATA!$C:$C,"S"))</f>
        <v/>
      </c>
      <c r="AR81" s="313" t="str">
        <f>IF($B81=0,"",SUMIFS(INPUT_DATA!AQ:AQ,INPUT_DATA!$A:$A,$B81,INPUT_DATA!$C:$C,"S"))</f>
        <v/>
      </c>
      <c r="AS81" s="749" t="str">
        <f t="shared" si="29"/>
        <v/>
      </c>
      <c r="AT81" s="750" t="str">
        <f t="shared" si="30"/>
        <v/>
      </c>
      <c r="AU81" s="751" t="str">
        <f t="shared" si="31"/>
        <v/>
      </c>
      <c r="AV81" s="749" t="str">
        <f>IF($B81=0,"",SUMIFS(INPUT_DATA!AR:AR,INPUT_DATA!$A:$A,$B81,INPUT_DATA!$C:$C,"S"))</f>
        <v/>
      </c>
      <c r="AW81" s="750" t="str">
        <f>IF($B81=0,"",SUMIFS(INPUT_DATA!AS:AS,INPUT_DATA!$A:$A,$B81,INPUT_DATA!$C:$C,"S"))</f>
        <v/>
      </c>
      <c r="AX81" s="751" t="str">
        <f>IF($B81=0,"",SUMIFS(INPUT_DATA!AT:AT,INPUT_DATA!$A:$A,$B81,INPUT_DATA!$C:$C,"S"))</f>
        <v/>
      </c>
      <c r="AY81" s="749" t="str">
        <f t="shared" si="15"/>
        <v/>
      </c>
      <c r="AZ81" s="750" t="str">
        <f t="shared" si="16"/>
        <v/>
      </c>
      <c r="BA81" s="751" t="str">
        <f t="shared" si="17"/>
        <v/>
      </c>
      <c r="BB81" s="150"/>
      <c r="BC81" s="738" t="str">
        <f>IF($B81=0,"",SUMIFS(INPUT_DATA!D:D,INPUT_DATA!$A:$A,$B81,INPUT_DATA!$C:$C,"D"))</f>
        <v/>
      </c>
      <c r="BD81" s="312" t="str">
        <f>IF($B81=0,"",SUMIFS(INPUT_DATA!F:F,INPUT_DATA!$A:$A,$B81,INPUT_DATA!$C:$C,"D"))</f>
        <v/>
      </c>
      <c r="BE81" s="312" t="str">
        <f>IF($B81=0,"",SUMIFS(INPUT_DATA!G:G,INPUT_DATA!$A:$A,$B81,INPUT_DATA!$C:$C,"D"))</f>
        <v/>
      </c>
      <c r="BF81" s="312" t="str">
        <f>IF($B81=0,"",SUMIFS(INPUT_DATA!H:H,INPUT_DATA!$A:$A,$B81,INPUT_DATA!$C:$C,"D"))</f>
        <v/>
      </c>
      <c r="BG81" s="312" t="str">
        <f>IF($B81=0,"",SUMIFS(INPUT_DATA!I:I,INPUT_DATA!$A:$A,$B81,INPUT_DATA!$C:$C,"D"))</f>
        <v/>
      </c>
      <c r="BH81" s="312" t="str">
        <f>IF($B81=0,"",SUMIFS(INPUT_DATA!J:J,INPUT_DATA!$A:$A,$B81,INPUT_DATA!$C:$C,"D"))</f>
        <v/>
      </c>
      <c r="BI81" s="312" t="str">
        <f>IF($B81=0,"",SUMIFS(INPUT_DATA!K:K,INPUT_DATA!$A:$A,$B81,INPUT_DATA!$C:$C,"D"))</f>
        <v/>
      </c>
      <c r="BJ81" s="312" t="str">
        <f>IF($B81=0,"",SUMIFS(INPUT_DATA!L:L,INPUT_DATA!$A:$A,$B81,INPUT_DATA!$C:$C,"D"))</f>
        <v/>
      </c>
      <c r="BK81" s="312" t="str">
        <f>IF($B81=0,"",SUMIFS(INPUT_DATA!M:M,INPUT_DATA!$A:$A,$B81,INPUT_DATA!$C:$C,"D"))</f>
        <v/>
      </c>
      <c r="BL81" s="312" t="str">
        <f>IF($B81=0,"",SUMIFS(INPUT_DATA!N:N,INPUT_DATA!$A:$A,$B81,INPUT_DATA!$C:$C,"D"))</f>
        <v/>
      </c>
      <c r="BM81" s="312" t="str">
        <f>IF($B81=0,"",SUMIFS(INPUT_DATA!O:O,INPUT_DATA!$A:$A,$B81,INPUT_DATA!$C:$C,"D"))</f>
        <v/>
      </c>
      <c r="BN81" s="754" t="str">
        <f t="shared" si="18"/>
        <v/>
      </c>
      <c r="BO81" s="754" t="str">
        <f>IF($B81=0,"",SUMIFS(INPUT_DATA!O:O,INPUT_DATA!$A:$A,$B81,INPUT_DATA!$C:$C,"D"))</f>
        <v/>
      </c>
      <c r="BP81" s="754" t="str">
        <f t="shared" si="19"/>
        <v/>
      </c>
      <c r="BQ81" s="738" t="str">
        <f>IF($B81=0,"",SUMIFS(INPUT_DATA!Q:Q,INPUT_DATA!$A:$A,$B81,INPUT_DATA!$C:$C,"D"))</f>
        <v/>
      </c>
      <c r="BR81" s="760" t="str">
        <f>IF($B81=0,"",SUMIFS(INPUT_DATA!R:R,INPUT_DATA!$A:$A,$B81,INPUT_DATA!$C:$C,"D"))</f>
        <v/>
      </c>
      <c r="BS81" s="760" t="str">
        <f>IF($B81=0,"",SUMIFS(INPUT_DATA!S:S,INPUT_DATA!$A:$A,$B81,INPUT_DATA!$C:$C,"D"))</f>
        <v/>
      </c>
      <c r="BT81" s="312" t="str">
        <f>IF($B81=0,"",SUMIFS(INPUT_DATA!T:T,INPUT_DATA!$A:$A,$B81,INPUT_DATA!$C:$C,"D"))</f>
        <v/>
      </c>
      <c r="BU81" s="312" t="str">
        <f>IF($B81=0,"",SUMIFS(INPUT_DATA!U:U,INPUT_DATA!$A:$A,$B81,INPUT_DATA!$C:$C,"D"))</f>
        <v/>
      </c>
      <c r="BV81" s="312" t="str">
        <f>IF($B81=0,"",SUMIFS(INPUT_DATA!V:V,INPUT_DATA!$A:$A,$B81,INPUT_DATA!$C:$C,"D"))</f>
        <v/>
      </c>
      <c r="BW81" s="312" t="str">
        <f>IF($B81=0,"",SUMIFS(INPUT_DATA!W:W,INPUT_DATA!$A:$A,$B81,INPUT_DATA!$C:$C,"D"))</f>
        <v/>
      </c>
      <c r="BX81" s="312" t="str">
        <f>IF($B81=0,"",SUMIFS(INPUT_DATA!X:X,INPUT_DATA!$A:$A,$B81,INPUT_DATA!$C:$C,"D"))</f>
        <v/>
      </c>
      <c r="BY81" s="312" t="str">
        <f>IF($B81=0,"",SUMIFS(INPUT_DATA!Y:Y,INPUT_DATA!$A:$A,$B81,INPUT_DATA!$C:$C,"D"))</f>
        <v/>
      </c>
      <c r="BZ81" s="353" t="str">
        <f>IF($B81=0,"",SUMIFS(INPUT_DATA!Z:Z,INPUT_DATA!$A:$A,$B81,INPUT_DATA!$C:$C,"D"))</f>
        <v/>
      </c>
      <c r="CA81" s="353" t="str">
        <f>IF($B81=0,"",SUMIFS(INPUT_DATA!AA:AA,INPUT_DATA!$A:$A,$B81,INPUT_DATA!$C:$C,"D"))</f>
        <v/>
      </c>
      <c r="CB81" s="353" t="str">
        <f>IF($B81=0,"",SUMIFS(INPUT_DATA!AB:AB,INPUT_DATA!$A:$A,$B81,INPUT_DATA!$C:$C,"D"))</f>
        <v/>
      </c>
      <c r="CC81" s="312" t="str">
        <f>IF($B81=0,"",SUMIFS(INPUT_DATA!AC:AC,INPUT_DATA!$A:$A,$B81,INPUT_DATA!$C:$C,"D"))</f>
        <v/>
      </c>
      <c r="CD81" s="312" t="str">
        <f>IF($B81=0,"",SUMIFS(INPUT_DATA!AD:AD,INPUT_DATA!$A:$A,$B81,INPUT_DATA!$C:$C,"D"))</f>
        <v/>
      </c>
      <c r="CE81" s="312" t="str">
        <f>IF($B81=0,"",SUMIFS(INPUT_DATA!AE:AE,INPUT_DATA!$A:$A,$B81,INPUT_DATA!$C:$C,"D"))</f>
        <v/>
      </c>
      <c r="CF81" s="353" t="str">
        <f>IF($B81=0,"",SUMIFS(INPUT_DATA!AF:AF,INPUT_DATA!$A:$A,$B81,INPUT_DATA!$C:$C,"D"))</f>
        <v/>
      </c>
      <c r="CG81" s="353" t="str">
        <f>IF($B81=0,"",SUMIFS(INPUT_DATA!AG:AG,INPUT_DATA!$A:$A,$B81,INPUT_DATA!$C:$C,"D"))</f>
        <v/>
      </c>
      <c r="CH81" s="353" t="str">
        <f>IF($B81=0,"",SUMIFS(INPUT_DATA!AH:AH,INPUT_DATA!$A:$A,$B81,INPUT_DATA!$C:$C,"D"))</f>
        <v/>
      </c>
      <c r="CI81" s="153" t="str">
        <f>IF($B81=0,"",SUMIFS(INPUT_DATA!AI:AI,INPUT_DATA!$A:$A,$B81,INPUT_DATA!$C:$C,"D"))</f>
        <v/>
      </c>
      <c r="CJ81" s="153" t="str">
        <f>IF($B81=0,"",SUMIFS(INPUT_DATA!AJ:AJ,INPUT_DATA!$A:$A,$B81,INPUT_DATA!$C:$C,"D"))</f>
        <v/>
      </c>
      <c r="CK81" s="153" t="str">
        <f>IF($B81=0,"",SUMIFS(INPUT_DATA!AK:AK,INPUT_DATA!$A:$A,$B81,INPUT_DATA!$C:$C,"D"))</f>
        <v/>
      </c>
      <c r="CL81" s="153" t="str">
        <f>IF($B81=0,"",SUMIFS(INPUT_DATA!AL:AL,INPUT_DATA!$A:$A,$B81,INPUT_DATA!$C:$C,"D"))</f>
        <v/>
      </c>
      <c r="CM81" s="153" t="str">
        <f>IF($B81=0,"",SUMIFS(INPUT_DATA!AM:AM,INPUT_DATA!$A:$A,$B81,INPUT_DATA!$C:$C,"D"))</f>
        <v/>
      </c>
      <c r="CN81" s="153" t="str">
        <f>IF($B81=0,"",SUMIFS(INPUT_DATA!AN:AN,INPUT_DATA!$A:$A,$B81,INPUT_DATA!$C:$C,"D"))</f>
        <v/>
      </c>
      <c r="CO81" s="153" t="str">
        <f>IF($B81=0,"",SUMIFS(INPUT_DATA!AO:AO,INPUT_DATA!$A:$A,$B81,INPUT_DATA!$C:$C,"D"))</f>
        <v/>
      </c>
      <c r="CP81" s="153" t="str">
        <f>IF($B81=0,"",SUMIFS(INPUT_DATA!AP:AP,INPUT_DATA!$A:$A,$B81,INPUT_DATA!$C:$C,"D"))</f>
        <v/>
      </c>
      <c r="CQ81" s="153" t="str">
        <f>IF($B81=0,"",SUMIFS(INPUT_DATA!AQ:AQ,INPUT_DATA!$A:$A,$B81,INPUT_DATA!$C:$C,"D"))</f>
        <v/>
      </c>
      <c r="CR81" s="750" t="str">
        <f t="shared" si="32"/>
        <v/>
      </c>
      <c r="CS81" s="750" t="str">
        <f t="shared" si="33"/>
        <v/>
      </c>
      <c r="CT81" s="750" t="str">
        <f t="shared" si="34"/>
        <v/>
      </c>
      <c r="CU81" s="739" t="str">
        <f>IF($B81=0,"",SUMIFS(INPUT_DATA!AR:AR,INPUT_DATA!$A:$A,$B81,INPUT_DATA!$C:$C,"D"))</f>
        <v/>
      </c>
      <c r="CV81" s="739" t="str">
        <f>IF($B81=0,"",SUMIFS(INPUT_DATA!AS:AS,INPUT_DATA!$A:$A,$B81,INPUT_DATA!$C:$C,"D"))</f>
        <v/>
      </c>
      <c r="CW81" s="739" t="str">
        <f>IF($B81=0,"",SUMIFS(INPUT_DATA!AT:AT,INPUT_DATA!$A:$A,$B81,INPUT_DATA!$C:$C,"D"))</f>
        <v/>
      </c>
      <c r="CX81" s="739" t="str">
        <f t="shared" si="35"/>
        <v/>
      </c>
      <c r="CY81" s="750" t="str">
        <f t="shared" si="36"/>
        <v/>
      </c>
      <c r="CZ81" s="761" t="str">
        <f t="shared" si="37"/>
        <v/>
      </c>
      <c r="DA81" s="150"/>
    </row>
    <row r="82" spans="1:105" ht="13" x14ac:dyDescent="0.25">
      <c r="A82" s="172">
        <f t="shared" si="40"/>
        <v>-35</v>
      </c>
      <c r="B82" s="733">
        <f>INPUT_DATA!BQ69</f>
        <v>0</v>
      </c>
      <c r="C82" s="738" t="str">
        <f>IF($B82=0,"",SUMIFS(INPUT_DATA!D:D,INPUT_DATA!$A:$A,$B82,INPUT_DATA!$C:$C,"S"))</f>
        <v/>
      </c>
      <c r="D82" s="739" t="str">
        <f>IF($B82=0,"",SUMIFS(INPUT_DATA!E:E,INPUT_DATA!$A:$A,$B82,INPUT_DATA!$C:$C,"S"))</f>
        <v/>
      </c>
      <c r="E82" s="740" t="str">
        <f>IF($B82=0,"",SUMIFS(INPUT_DATA!F:F,INPUT_DATA!$A:$A,$B82,INPUT_DATA!$C:$C,"S"))</f>
        <v/>
      </c>
      <c r="F82" s="740" t="str">
        <f>IF($B82=0,"",SUMIFS(INPUT_DATA!G:G,INPUT_DATA!$A:$A,$B82,INPUT_DATA!$C:$C,"S"))</f>
        <v/>
      </c>
      <c r="G82" s="740" t="str">
        <f>IF($B82=0,"",SUMIFS(INPUT_DATA!H:H,INPUT_DATA!$A:$A,$B82,INPUT_DATA!$C:$C,"S"))</f>
        <v/>
      </c>
      <c r="H82" s="740" t="str">
        <f>IF($B82=0,"",SUMIFS(INPUT_DATA!I:I,INPUT_DATA!$A:$A,$B82,INPUT_DATA!$C:$C,"S"))</f>
        <v/>
      </c>
      <c r="I82" s="740" t="str">
        <f>IF($B82=0,"",SUMIFS(INPUT_DATA!J:J,INPUT_DATA!$A:$A,$B82,INPUT_DATA!$C:$C,"S"))</f>
        <v/>
      </c>
      <c r="J82" s="740" t="str">
        <f>IF($B82=0,"",SUMIFS(INPUT_DATA!K:K,INPUT_DATA!$A:$A,$B82,INPUT_DATA!$C:$C,"S"))</f>
        <v/>
      </c>
      <c r="K82" s="740" t="str">
        <f>IF($B82=0,"",SUMIFS(INPUT_DATA!L:L,INPUT_DATA!$A:$A,$B82,INPUT_DATA!$C:$C,"S"))</f>
        <v/>
      </c>
      <c r="L82" s="740" t="str">
        <f>IF($B82=0,"",SUMIFS(INPUT_DATA!M:M,INPUT_DATA!$A:$A,$B82,INPUT_DATA!$C:$C,"S"))</f>
        <v/>
      </c>
      <c r="M82" s="740" t="str">
        <f>IF($B82=0,"",SUMIFS(INPUT_DATA!N:N,INPUT_DATA!$A:$A,$B82,INPUT_DATA!$C:$C,"S"))</f>
        <v/>
      </c>
      <c r="N82" s="740" t="str">
        <f>IF($B82=0,"",SUMIFS(INPUT_DATA!O:O,INPUT_DATA!$A:$A,$B82,INPUT_DATA!$C:$C,"S"))</f>
        <v/>
      </c>
      <c r="O82" s="741" t="str">
        <f t="shared" si="38"/>
        <v/>
      </c>
      <c r="P82" s="742" t="str">
        <f>IF($B82=0,"",SUMIFS(INPUT_DATA!P:P,INPUT_DATA!$A:$A,$B82,INPUT_DATA!$C:$C,"S"))</f>
        <v/>
      </c>
      <c r="Q82" s="742" t="str">
        <f t="shared" si="39"/>
        <v/>
      </c>
      <c r="R82" s="748" t="str">
        <f>IF($B82=0,"",SUMIFS(INPUT_DATA!Q:Q,INPUT_DATA!$A:$A,$B82,INPUT_DATA!$C:$C,"S"))</f>
        <v/>
      </c>
      <c r="S82" s="748" t="str">
        <f>IF($B82=0,"",SUMIFS(INPUT_DATA!R:R,INPUT_DATA!$A:$A,$B82,INPUT_DATA!$C:$C,"S"))</f>
        <v/>
      </c>
      <c r="T82" s="748" t="str">
        <f>IF($B82=0,"",SUMIFS(INPUT_DATA!S:S,INPUT_DATA!$A:$A,$B82,INPUT_DATA!$C:$C,"S"))</f>
        <v/>
      </c>
      <c r="U82" s="313" t="str">
        <f>IF($B82=0,"",SUMIFS(INPUT_DATA!T:T,INPUT_DATA!$A:$A,$B82,INPUT_DATA!$C:$C,"S"))</f>
        <v/>
      </c>
      <c r="V82" s="313" t="str">
        <f>IF($B82=0,"",SUMIFS(INPUT_DATA!U:U,INPUT_DATA!$A:$A,$B82,INPUT_DATA!$C:$C,"S"))</f>
        <v/>
      </c>
      <c r="W82" s="313" t="str">
        <f>IF($B82=0,"",SUMIFS(INPUT_DATA!V:V,INPUT_DATA!$A:$A,$B82,INPUT_DATA!$C:$C,"S"))</f>
        <v/>
      </c>
      <c r="X82" s="313" t="str">
        <f>IF($B82=0,"",SUMIFS(INPUT_DATA!W:W,INPUT_DATA!$A:$A,$B82,INPUT_DATA!$C:$C,"S"))</f>
        <v/>
      </c>
      <c r="Y82" s="313" t="str">
        <f>IF($B82=0,"",SUMIFS(INPUT_DATA!X:X,INPUT_DATA!$A:$A,$B82,INPUT_DATA!$C:$C,"S"))</f>
        <v/>
      </c>
      <c r="Z82" s="313" t="str">
        <f>IF($B82=0,"",SUMIFS(INPUT_DATA!Y:Y,INPUT_DATA!$A:$A,$B82,INPUT_DATA!$C:$C,"S"))</f>
        <v/>
      </c>
      <c r="AA82" s="313" t="str">
        <f>IF($B82=0,"",SUMIFS(INPUT_DATA!Z:Z,INPUT_DATA!$A:$A,$B82,INPUT_DATA!$C:$C,"S"))</f>
        <v/>
      </c>
      <c r="AB82" s="313" t="str">
        <f>IF($B82=0,"",SUMIFS(INPUT_DATA!AA:AA,INPUT_DATA!$A:$A,$B82,INPUT_DATA!$C:$C,"S"))</f>
        <v/>
      </c>
      <c r="AC82" s="313" t="str">
        <f>IF($B82=0,"",SUMIFS(INPUT_DATA!AB:AB,INPUT_DATA!$A:$A,$B82,INPUT_DATA!$C:$C,"S"))</f>
        <v/>
      </c>
      <c r="AD82" s="313" t="str">
        <f>IF($B82=0,"",SUMIFS(INPUT_DATA!AC:AC,INPUT_DATA!$A:$A,$B82,INPUT_DATA!$C:$C,"S"))</f>
        <v/>
      </c>
      <c r="AE82" s="313" t="str">
        <f>IF($B82=0,"",SUMIFS(INPUT_DATA!AD:AD,INPUT_DATA!$A:$A,$B82,INPUT_DATA!$C:$C,"S"))</f>
        <v/>
      </c>
      <c r="AF82" s="313" t="str">
        <f>IF($B82=0,"",SUMIFS(INPUT_DATA!AE:AE,INPUT_DATA!$A:$A,$B82,INPUT_DATA!$C:$C,"S"))</f>
        <v/>
      </c>
      <c r="AG82" s="313" t="str">
        <f>IF($B82=0,"",SUMIFS(INPUT_DATA!AF:AF,INPUT_DATA!$A:$A,$B82,INPUT_DATA!$C:$C,"S"))</f>
        <v/>
      </c>
      <c r="AH82" s="313" t="str">
        <f>IF($B82=0,"",SUMIFS(INPUT_DATA!AG:AG,INPUT_DATA!$A:$A,$B82,INPUT_DATA!$C:$C,"S"))</f>
        <v/>
      </c>
      <c r="AI82" s="313" t="str">
        <f>IF($B82=0,"",SUMIFS(INPUT_DATA!AH:AH,INPUT_DATA!$A:$A,$B82,INPUT_DATA!$C:$C,"S"))</f>
        <v/>
      </c>
      <c r="AJ82" s="313" t="str">
        <f>IF($B82=0,"",SUMIFS(INPUT_DATA!AI:AI,INPUT_DATA!$A:$A,$B82,INPUT_DATA!$C:$C,"S"))</f>
        <v/>
      </c>
      <c r="AK82" s="313" t="str">
        <f>IF($B82=0,"",SUMIFS(INPUT_DATA!AJ:AJ,INPUT_DATA!$A:$A,$B82,INPUT_DATA!$C:$C,"S"))</f>
        <v/>
      </c>
      <c r="AL82" s="313" t="str">
        <f>IF($B82=0,"",SUMIFS(INPUT_DATA!AK:AK,INPUT_DATA!$A:$A,$B82,INPUT_DATA!$C:$C,"S"))</f>
        <v/>
      </c>
      <c r="AM82" s="313" t="str">
        <f>IF($B82=0,"",SUMIFS(INPUT_DATA!AL:AL,INPUT_DATA!$A:$A,$B82,INPUT_DATA!$C:$C,"S"))</f>
        <v/>
      </c>
      <c r="AN82" s="313" t="str">
        <f>IF($B82=0,"",SUMIFS(INPUT_DATA!AM:AM,INPUT_DATA!$A:$A,$B82,INPUT_DATA!$C:$C,"S"))</f>
        <v/>
      </c>
      <c r="AO82" s="313" t="str">
        <f>IF($B82=0,"",SUMIFS(INPUT_DATA!AN:AN,INPUT_DATA!$A:$A,$B82,INPUT_DATA!$C:$C,"S"))</f>
        <v/>
      </c>
      <c r="AP82" s="313" t="str">
        <f>IF($B82=0,"",SUMIFS(INPUT_DATA!AO:AO,INPUT_DATA!$A:$A,$B82,INPUT_DATA!$C:$C,"S"))</f>
        <v/>
      </c>
      <c r="AQ82" s="313" t="str">
        <f>IF($B82=0,"",SUMIFS(INPUT_DATA!AP:AP,INPUT_DATA!$A:$A,$B82,INPUT_DATA!$C:$C,"S"))</f>
        <v/>
      </c>
      <c r="AR82" s="313" t="str">
        <f>IF($B82=0,"",SUMIFS(INPUT_DATA!AQ:AQ,INPUT_DATA!$A:$A,$B82,INPUT_DATA!$C:$C,"S"))</f>
        <v/>
      </c>
      <c r="AS82" s="749" t="str">
        <f t="shared" si="29"/>
        <v/>
      </c>
      <c r="AT82" s="750" t="str">
        <f t="shared" si="30"/>
        <v/>
      </c>
      <c r="AU82" s="751" t="str">
        <f t="shared" si="31"/>
        <v/>
      </c>
      <c r="AV82" s="749" t="str">
        <f>IF($B82=0,"",SUMIFS(INPUT_DATA!AR:AR,INPUT_DATA!$A:$A,$B82,INPUT_DATA!$C:$C,"S"))</f>
        <v/>
      </c>
      <c r="AW82" s="750" t="str">
        <f>IF($B82=0,"",SUMIFS(INPUT_DATA!AS:AS,INPUT_DATA!$A:$A,$B82,INPUT_DATA!$C:$C,"S"))</f>
        <v/>
      </c>
      <c r="AX82" s="751" t="str">
        <f>IF($B82=0,"",SUMIFS(INPUT_DATA!AT:AT,INPUT_DATA!$A:$A,$B82,INPUT_DATA!$C:$C,"S"))</f>
        <v/>
      </c>
      <c r="AY82" s="749" t="str">
        <f t="shared" si="15"/>
        <v/>
      </c>
      <c r="AZ82" s="750" t="str">
        <f t="shared" si="16"/>
        <v/>
      </c>
      <c r="BA82" s="751" t="str">
        <f t="shared" si="17"/>
        <v/>
      </c>
      <c r="BB82" s="150"/>
      <c r="BC82" s="738" t="str">
        <f>IF($B82=0,"",SUMIFS(INPUT_DATA!D:D,INPUT_DATA!$A:$A,$B82,INPUT_DATA!$C:$C,"D"))</f>
        <v/>
      </c>
      <c r="BD82" s="312" t="str">
        <f>IF($B82=0,"",SUMIFS(INPUT_DATA!F:F,INPUT_DATA!$A:$A,$B82,INPUT_DATA!$C:$C,"D"))</f>
        <v/>
      </c>
      <c r="BE82" s="312" t="str">
        <f>IF($B82=0,"",SUMIFS(INPUT_DATA!G:G,INPUT_DATA!$A:$A,$B82,INPUT_DATA!$C:$C,"D"))</f>
        <v/>
      </c>
      <c r="BF82" s="312" t="str">
        <f>IF($B82=0,"",SUMIFS(INPUT_DATA!H:H,INPUT_DATA!$A:$A,$B82,INPUT_DATA!$C:$C,"D"))</f>
        <v/>
      </c>
      <c r="BG82" s="312" t="str">
        <f>IF($B82=0,"",SUMIFS(INPUT_DATA!I:I,INPUT_DATA!$A:$A,$B82,INPUT_DATA!$C:$C,"D"))</f>
        <v/>
      </c>
      <c r="BH82" s="312" t="str">
        <f>IF($B82=0,"",SUMIFS(INPUT_DATA!J:J,INPUT_DATA!$A:$A,$B82,INPUT_DATA!$C:$C,"D"))</f>
        <v/>
      </c>
      <c r="BI82" s="312" t="str">
        <f>IF($B82=0,"",SUMIFS(INPUT_DATA!K:K,INPUT_DATA!$A:$A,$B82,INPUT_DATA!$C:$C,"D"))</f>
        <v/>
      </c>
      <c r="BJ82" s="312" t="str">
        <f>IF($B82=0,"",SUMIFS(INPUT_DATA!L:L,INPUT_DATA!$A:$A,$B82,INPUT_DATA!$C:$C,"D"))</f>
        <v/>
      </c>
      <c r="BK82" s="312" t="str">
        <f>IF($B82=0,"",SUMIFS(INPUT_DATA!M:M,INPUT_DATA!$A:$A,$B82,INPUT_DATA!$C:$C,"D"))</f>
        <v/>
      </c>
      <c r="BL82" s="312" t="str">
        <f>IF($B82=0,"",SUMIFS(INPUT_DATA!N:N,INPUT_DATA!$A:$A,$B82,INPUT_DATA!$C:$C,"D"))</f>
        <v/>
      </c>
      <c r="BM82" s="312" t="str">
        <f>IF($B82=0,"",SUMIFS(INPUT_DATA!O:O,INPUT_DATA!$A:$A,$B82,INPUT_DATA!$C:$C,"D"))</f>
        <v/>
      </c>
      <c r="BN82" s="754" t="str">
        <f t="shared" si="18"/>
        <v/>
      </c>
      <c r="BO82" s="754" t="str">
        <f>IF($B82=0,"",SUMIFS(INPUT_DATA!O:O,INPUT_DATA!$A:$A,$B82,INPUT_DATA!$C:$C,"D"))</f>
        <v/>
      </c>
      <c r="BP82" s="754" t="str">
        <f t="shared" si="19"/>
        <v/>
      </c>
      <c r="BQ82" s="738" t="str">
        <f>IF($B82=0,"",SUMIFS(INPUT_DATA!Q:Q,INPUT_DATA!$A:$A,$B82,INPUT_DATA!$C:$C,"D"))</f>
        <v/>
      </c>
      <c r="BR82" s="760" t="str">
        <f>IF($B82=0,"",SUMIFS(INPUT_DATA!R:R,INPUT_DATA!$A:$A,$B82,INPUT_DATA!$C:$C,"D"))</f>
        <v/>
      </c>
      <c r="BS82" s="760" t="str">
        <f>IF($B82=0,"",SUMIFS(INPUT_DATA!S:S,INPUT_DATA!$A:$A,$B82,INPUT_DATA!$C:$C,"D"))</f>
        <v/>
      </c>
      <c r="BT82" s="312" t="str">
        <f>IF($B82=0,"",SUMIFS(INPUT_DATA!T:T,INPUT_DATA!$A:$A,$B82,INPUT_DATA!$C:$C,"D"))</f>
        <v/>
      </c>
      <c r="BU82" s="312" t="str">
        <f>IF($B82=0,"",SUMIFS(INPUT_DATA!U:U,INPUT_DATA!$A:$A,$B82,INPUT_DATA!$C:$C,"D"))</f>
        <v/>
      </c>
      <c r="BV82" s="312" t="str">
        <f>IF($B82=0,"",SUMIFS(INPUT_DATA!V:V,INPUT_DATA!$A:$A,$B82,INPUT_DATA!$C:$C,"D"))</f>
        <v/>
      </c>
      <c r="BW82" s="312" t="str">
        <f>IF($B82=0,"",SUMIFS(INPUT_DATA!W:W,INPUT_DATA!$A:$A,$B82,INPUT_DATA!$C:$C,"D"))</f>
        <v/>
      </c>
      <c r="BX82" s="312" t="str">
        <f>IF($B82=0,"",SUMIFS(INPUT_DATA!X:X,INPUT_DATA!$A:$A,$B82,INPUT_DATA!$C:$C,"D"))</f>
        <v/>
      </c>
      <c r="BY82" s="312" t="str">
        <f>IF($B82=0,"",SUMIFS(INPUT_DATA!Y:Y,INPUT_DATA!$A:$A,$B82,INPUT_DATA!$C:$C,"D"))</f>
        <v/>
      </c>
      <c r="BZ82" s="353" t="str">
        <f>IF($B82=0,"",SUMIFS(INPUT_DATA!Z:Z,INPUT_DATA!$A:$A,$B82,INPUT_DATA!$C:$C,"D"))</f>
        <v/>
      </c>
      <c r="CA82" s="353" t="str">
        <f>IF($B82=0,"",SUMIFS(INPUT_DATA!AA:AA,INPUT_DATA!$A:$A,$B82,INPUT_DATA!$C:$C,"D"))</f>
        <v/>
      </c>
      <c r="CB82" s="353" t="str">
        <f>IF($B82=0,"",SUMIFS(INPUT_DATA!AB:AB,INPUT_DATA!$A:$A,$B82,INPUT_DATA!$C:$C,"D"))</f>
        <v/>
      </c>
      <c r="CC82" s="312" t="str">
        <f>IF($B82=0,"",SUMIFS(INPUT_DATA!AC:AC,INPUT_DATA!$A:$A,$B82,INPUT_DATA!$C:$C,"D"))</f>
        <v/>
      </c>
      <c r="CD82" s="312" t="str">
        <f>IF($B82=0,"",SUMIFS(INPUT_DATA!AD:AD,INPUT_DATA!$A:$A,$B82,INPUT_DATA!$C:$C,"D"))</f>
        <v/>
      </c>
      <c r="CE82" s="312" t="str">
        <f>IF($B82=0,"",SUMIFS(INPUT_DATA!AE:AE,INPUT_DATA!$A:$A,$B82,INPUT_DATA!$C:$C,"D"))</f>
        <v/>
      </c>
      <c r="CF82" s="353" t="str">
        <f>IF($B82=0,"",SUMIFS(INPUT_DATA!AF:AF,INPUT_DATA!$A:$A,$B82,INPUT_DATA!$C:$C,"D"))</f>
        <v/>
      </c>
      <c r="CG82" s="353" t="str">
        <f>IF($B82=0,"",SUMIFS(INPUT_DATA!AG:AG,INPUT_DATA!$A:$A,$B82,INPUT_DATA!$C:$C,"D"))</f>
        <v/>
      </c>
      <c r="CH82" s="353" t="str">
        <f>IF($B82=0,"",SUMIFS(INPUT_DATA!AH:AH,INPUT_DATA!$A:$A,$B82,INPUT_DATA!$C:$C,"D"))</f>
        <v/>
      </c>
      <c r="CI82" s="153" t="str">
        <f>IF($B82=0,"",SUMIFS(INPUT_DATA!AI:AI,INPUT_DATA!$A:$A,$B82,INPUT_DATA!$C:$C,"D"))</f>
        <v/>
      </c>
      <c r="CJ82" s="153" t="str">
        <f>IF($B82=0,"",SUMIFS(INPUT_DATA!AJ:AJ,INPUT_DATA!$A:$A,$B82,INPUT_DATA!$C:$C,"D"))</f>
        <v/>
      </c>
      <c r="CK82" s="153" t="str">
        <f>IF($B82=0,"",SUMIFS(INPUT_DATA!AK:AK,INPUT_DATA!$A:$A,$B82,INPUT_DATA!$C:$C,"D"))</f>
        <v/>
      </c>
      <c r="CL82" s="153" t="str">
        <f>IF($B82=0,"",SUMIFS(INPUT_DATA!AL:AL,INPUT_DATA!$A:$A,$B82,INPUT_DATA!$C:$C,"D"))</f>
        <v/>
      </c>
      <c r="CM82" s="153" t="str">
        <f>IF($B82=0,"",SUMIFS(INPUT_DATA!AM:AM,INPUT_DATA!$A:$A,$B82,INPUT_DATA!$C:$C,"D"))</f>
        <v/>
      </c>
      <c r="CN82" s="153" t="str">
        <f>IF($B82=0,"",SUMIFS(INPUT_DATA!AN:AN,INPUT_DATA!$A:$A,$B82,INPUT_DATA!$C:$C,"D"))</f>
        <v/>
      </c>
      <c r="CO82" s="153" t="str">
        <f>IF($B82=0,"",SUMIFS(INPUT_DATA!AO:AO,INPUT_DATA!$A:$A,$B82,INPUT_DATA!$C:$C,"D"))</f>
        <v/>
      </c>
      <c r="CP82" s="153" t="str">
        <f>IF($B82=0,"",SUMIFS(INPUT_DATA!AP:AP,INPUT_DATA!$A:$A,$B82,INPUT_DATA!$C:$C,"D"))</f>
        <v/>
      </c>
      <c r="CQ82" s="153" t="str">
        <f>IF($B82=0,"",SUMIFS(INPUT_DATA!AQ:AQ,INPUT_DATA!$A:$A,$B82,INPUT_DATA!$C:$C,"D"))</f>
        <v/>
      </c>
      <c r="CR82" s="750" t="str">
        <f t="shared" si="32"/>
        <v/>
      </c>
      <c r="CS82" s="750" t="str">
        <f t="shared" si="33"/>
        <v/>
      </c>
      <c r="CT82" s="750" t="str">
        <f t="shared" si="34"/>
        <v/>
      </c>
      <c r="CU82" s="739" t="str">
        <f>IF($B82=0,"",SUMIFS(INPUT_DATA!AR:AR,INPUT_DATA!$A:$A,$B82,INPUT_DATA!$C:$C,"D"))</f>
        <v/>
      </c>
      <c r="CV82" s="739" t="str">
        <f>IF($B82=0,"",SUMIFS(INPUT_DATA!AS:AS,INPUT_DATA!$A:$A,$B82,INPUT_DATA!$C:$C,"D"))</f>
        <v/>
      </c>
      <c r="CW82" s="739" t="str">
        <f>IF($B82=0,"",SUMIFS(INPUT_DATA!AT:AT,INPUT_DATA!$A:$A,$B82,INPUT_DATA!$C:$C,"D"))</f>
        <v/>
      </c>
      <c r="CX82" s="739" t="str">
        <f t="shared" si="35"/>
        <v/>
      </c>
      <c r="CY82" s="750" t="str">
        <f t="shared" si="36"/>
        <v/>
      </c>
      <c r="CZ82" s="761" t="str">
        <f t="shared" si="37"/>
        <v/>
      </c>
      <c r="DA82" s="150"/>
    </row>
    <row r="83" spans="1:105" ht="13" x14ac:dyDescent="0.25">
      <c r="A83" s="172">
        <f t="shared" si="40"/>
        <v>-36</v>
      </c>
      <c r="B83" s="733">
        <f>INPUT_DATA!BQ70</f>
        <v>0</v>
      </c>
      <c r="C83" s="738" t="str">
        <f>IF($B83=0,"",SUMIFS(INPUT_DATA!D:D,INPUT_DATA!$A:$A,$B83,INPUT_DATA!$C:$C,"S"))</f>
        <v/>
      </c>
      <c r="D83" s="739" t="str">
        <f>IF($B83=0,"",SUMIFS(INPUT_DATA!E:E,INPUT_DATA!$A:$A,$B83,INPUT_DATA!$C:$C,"S"))</f>
        <v/>
      </c>
      <c r="E83" s="740" t="str">
        <f>IF($B83=0,"",SUMIFS(INPUT_DATA!F:F,INPUT_DATA!$A:$A,$B83,INPUT_DATA!$C:$C,"S"))</f>
        <v/>
      </c>
      <c r="F83" s="740" t="str">
        <f>IF($B83=0,"",SUMIFS(INPUT_DATA!G:G,INPUT_DATA!$A:$A,$B83,INPUT_DATA!$C:$C,"S"))</f>
        <v/>
      </c>
      <c r="G83" s="740" t="str">
        <f>IF($B83=0,"",SUMIFS(INPUT_DATA!H:H,INPUT_DATA!$A:$A,$B83,INPUT_DATA!$C:$C,"S"))</f>
        <v/>
      </c>
      <c r="H83" s="740" t="str">
        <f>IF($B83=0,"",SUMIFS(INPUT_DATA!I:I,INPUT_DATA!$A:$A,$B83,INPUT_DATA!$C:$C,"S"))</f>
        <v/>
      </c>
      <c r="I83" s="740" t="str">
        <f>IF($B83=0,"",SUMIFS(INPUT_DATA!J:J,INPUT_DATA!$A:$A,$B83,INPUT_DATA!$C:$C,"S"))</f>
        <v/>
      </c>
      <c r="J83" s="740" t="str">
        <f>IF($B83=0,"",SUMIFS(INPUT_DATA!K:K,INPUT_DATA!$A:$A,$B83,INPUT_DATA!$C:$C,"S"))</f>
        <v/>
      </c>
      <c r="K83" s="740" t="str">
        <f>IF($B83=0,"",SUMIFS(INPUT_DATA!L:L,INPUT_DATA!$A:$A,$B83,INPUT_DATA!$C:$C,"S"))</f>
        <v/>
      </c>
      <c r="L83" s="740" t="str">
        <f>IF($B83=0,"",SUMIFS(INPUT_DATA!M:M,INPUT_DATA!$A:$A,$B83,INPUT_DATA!$C:$C,"S"))</f>
        <v/>
      </c>
      <c r="M83" s="740" t="str">
        <f>IF($B83=0,"",SUMIFS(INPUT_DATA!N:N,INPUT_DATA!$A:$A,$B83,INPUT_DATA!$C:$C,"S"))</f>
        <v/>
      </c>
      <c r="N83" s="740" t="str">
        <f>IF($B83=0,"",SUMIFS(INPUT_DATA!O:O,INPUT_DATA!$A:$A,$B83,INPUT_DATA!$C:$C,"S"))</f>
        <v/>
      </c>
      <c r="O83" s="741" t="str">
        <f t="shared" si="38"/>
        <v/>
      </c>
      <c r="P83" s="742" t="str">
        <f>IF($B83=0,"",SUMIFS(INPUT_DATA!P:P,INPUT_DATA!$A:$A,$B83,INPUT_DATA!$C:$C,"S"))</f>
        <v/>
      </c>
      <c r="Q83" s="742" t="str">
        <f t="shared" si="39"/>
        <v/>
      </c>
      <c r="R83" s="748" t="str">
        <f>IF($B83=0,"",SUMIFS(INPUT_DATA!Q:Q,INPUT_DATA!$A:$A,$B83,INPUT_DATA!$C:$C,"S"))</f>
        <v/>
      </c>
      <c r="S83" s="748" t="str">
        <f>IF($B83=0,"",SUMIFS(INPUT_DATA!R:R,INPUT_DATA!$A:$A,$B83,INPUT_DATA!$C:$C,"S"))</f>
        <v/>
      </c>
      <c r="T83" s="748" t="str">
        <f>IF($B83=0,"",SUMIFS(INPUT_DATA!S:S,INPUT_DATA!$A:$A,$B83,INPUT_DATA!$C:$C,"S"))</f>
        <v/>
      </c>
      <c r="U83" s="313" t="str">
        <f>IF($B83=0,"",SUMIFS(INPUT_DATA!T:T,INPUT_DATA!$A:$A,$B83,INPUT_DATA!$C:$C,"S"))</f>
        <v/>
      </c>
      <c r="V83" s="313" t="str">
        <f>IF($B83=0,"",SUMIFS(INPUT_DATA!U:U,INPUT_DATA!$A:$A,$B83,INPUT_DATA!$C:$C,"S"))</f>
        <v/>
      </c>
      <c r="W83" s="313" t="str">
        <f>IF($B83=0,"",SUMIFS(INPUT_DATA!V:V,INPUT_DATA!$A:$A,$B83,INPUT_DATA!$C:$C,"S"))</f>
        <v/>
      </c>
      <c r="X83" s="313" t="str">
        <f>IF($B83=0,"",SUMIFS(INPUT_DATA!W:W,INPUT_DATA!$A:$A,$B83,INPUT_DATA!$C:$C,"S"))</f>
        <v/>
      </c>
      <c r="Y83" s="313" t="str">
        <f>IF($B83=0,"",SUMIFS(INPUT_DATA!X:X,INPUT_DATA!$A:$A,$B83,INPUT_DATA!$C:$C,"S"))</f>
        <v/>
      </c>
      <c r="Z83" s="313" t="str">
        <f>IF($B83=0,"",SUMIFS(INPUT_DATA!Y:Y,INPUT_DATA!$A:$A,$B83,INPUT_DATA!$C:$C,"S"))</f>
        <v/>
      </c>
      <c r="AA83" s="313" t="str">
        <f>IF($B83=0,"",SUMIFS(INPUT_DATA!Z:Z,INPUT_DATA!$A:$A,$B83,INPUT_DATA!$C:$C,"S"))</f>
        <v/>
      </c>
      <c r="AB83" s="313" t="str">
        <f>IF($B83=0,"",SUMIFS(INPUT_DATA!AA:AA,INPUT_DATA!$A:$A,$B83,INPUT_DATA!$C:$C,"S"))</f>
        <v/>
      </c>
      <c r="AC83" s="313" t="str">
        <f>IF($B83=0,"",SUMIFS(INPUT_DATA!AB:AB,INPUT_DATA!$A:$A,$B83,INPUT_DATA!$C:$C,"S"))</f>
        <v/>
      </c>
      <c r="AD83" s="313" t="str">
        <f>IF($B83=0,"",SUMIFS(INPUT_DATA!AC:AC,INPUT_DATA!$A:$A,$B83,INPUT_DATA!$C:$C,"S"))</f>
        <v/>
      </c>
      <c r="AE83" s="313" t="str">
        <f>IF($B83=0,"",SUMIFS(INPUT_DATA!AD:AD,INPUT_DATA!$A:$A,$B83,INPUT_DATA!$C:$C,"S"))</f>
        <v/>
      </c>
      <c r="AF83" s="313" t="str">
        <f>IF($B83=0,"",SUMIFS(INPUT_DATA!AE:AE,INPUT_DATA!$A:$A,$B83,INPUT_DATA!$C:$C,"S"))</f>
        <v/>
      </c>
      <c r="AG83" s="313" t="str">
        <f>IF($B83=0,"",SUMIFS(INPUT_DATA!AF:AF,INPUT_DATA!$A:$A,$B83,INPUT_DATA!$C:$C,"S"))</f>
        <v/>
      </c>
      <c r="AH83" s="313" t="str">
        <f>IF($B83=0,"",SUMIFS(INPUT_DATA!AG:AG,INPUT_DATA!$A:$A,$B83,INPUT_DATA!$C:$C,"S"))</f>
        <v/>
      </c>
      <c r="AI83" s="313" t="str">
        <f>IF($B83=0,"",SUMIFS(INPUT_DATA!AH:AH,INPUT_DATA!$A:$A,$B83,INPUT_DATA!$C:$C,"S"))</f>
        <v/>
      </c>
      <c r="AJ83" s="313" t="str">
        <f>IF($B83=0,"",SUMIFS(INPUT_DATA!AI:AI,INPUT_DATA!$A:$A,$B83,INPUT_DATA!$C:$C,"S"))</f>
        <v/>
      </c>
      <c r="AK83" s="313" t="str">
        <f>IF($B83=0,"",SUMIFS(INPUT_DATA!AJ:AJ,INPUT_DATA!$A:$A,$B83,INPUT_DATA!$C:$C,"S"))</f>
        <v/>
      </c>
      <c r="AL83" s="313" t="str">
        <f>IF($B83=0,"",SUMIFS(INPUT_DATA!AK:AK,INPUT_DATA!$A:$A,$B83,INPUT_DATA!$C:$C,"S"))</f>
        <v/>
      </c>
      <c r="AM83" s="313" t="str">
        <f>IF($B83=0,"",SUMIFS(INPUT_DATA!AL:AL,INPUT_DATA!$A:$A,$B83,INPUT_DATA!$C:$C,"S"))</f>
        <v/>
      </c>
      <c r="AN83" s="313" t="str">
        <f>IF($B83=0,"",SUMIFS(INPUT_DATA!AM:AM,INPUT_DATA!$A:$A,$B83,INPUT_DATA!$C:$C,"S"))</f>
        <v/>
      </c>
      <c r="AO83" s="313" t="str">
        <f>IF($B83=0,"",SUMIFS(INPUT_DATA!AN:AN,INPUT_DATA!$A:$A,$B83,INPUT_DATA!$C:$C,"S"))</f>
        <v/>
      </c>
      <c r="AP83" s="313" t="str">
        <f>IF($B83=0,"",SUMIFS(INPUT_DATA!AO:AO,INPUT_DATA!$A:$A,$B83,INPUT_DATA!$C:$C,"S"))</f>
        <v/>
      </c>
      <c r="AQ83" s="313" t="str">
        <f>IF($B83=0,"",SUMIFS(INPUT_DATA!AP:AP,INPUT_DATA!$A:$A,$B83,INPUT_DATA!$C:$C,"S"))</f>
        <v/>
      </c>
      <c r="AR83" s="313" t="str">
        <f>IF($B83=0,"",SUMIFS(INPUT_DATA!AQ:AQ,INPUT_DATA!$A:$A,$B83,INPUT_DATA!$C:$C,"S"))</f>
        <v/>
      </c>
      <c r="AS83" s="749" t="str">
        <f t="shared" si="29"/>
        <v/>
      </c>
      <c r="AT83" s="750" t="str">
        <f t="shared" si="30"/>
        <v/>
      </c>
      <c r="AU83" s="751" t="str">
        <f t="shared" si="31"/>
        <v/>
      </c>
      <c r="AV83" s="749" t="str">
        <f>IF($B83=0,"",SUMIFS(INPUT_DATA!AR:AR,INPUT_DATA!$A:$A,$B83,INPUT_DATA!$C:$C,"S"))</f>
        <v/>
      </c>
      <c r="AW83" s="750" t="str">
        <f>IF($B83=0,"",SUMIFS(INPUT_DATA!AS:AS,INPUT_DATA!$A:$A,$B83,INPUT_DATA!$C:$C,"S"))</f>
        <v/>
      </c>
      <c r="AX83" s="751" t="str">
        <f>IF($B83=0,"",SUMIFS(INPUT_DATA!AT:AT,INPUT_DATA!$A:$A,$B83,INPUT_DATA!$C:$C,"S"))</f>
        <v/>
      </c>
      <c r="AY83" s="749" t="str">
        <f t="shared" ref="AY83:AY87" si="41">IF($B83=0,"",AS83-AV83)</f>
        <v/>
      </c>
      <c r="AZ83" s="750" t="str">
        <f t="shared" ref="AZ83:AZ87" si="42">IF($B83=0,"",AT83-AW83)</f>
        <v/>
      </c>
      <c r="BA83" s="751" t="str">
        <f t="shared" ref="BA83:BA87" si="43">IF($B83=0,"",AU83-AX83)</f>
        <v/>
      </c>
      <c r="BB83" s="150"/>
      <c r="BC83" s="738" t="str">
        <f>IF($B83=0,"",SUMIFS(INPUT_DATA!D:D,INPUT_DATA!$A:$A,$B83,INPUT_DATA!$C:$C,"D"))</f>
        <v/>
      </c>
      <c r="BD83" s="312" t="str">
        <f>IF($B83=0,"",SUMIFS(INPUT_DATA!F:F,INPUT_DATA!$A:$A,$B83,INPUT_DATA!$C:$C,"D"))</f>
        <v/>
      </c>
      <c r="BE83" s="312" t="str">
        <f>IF($B83=0,"",SUMIFS(INPUT_DATA!G:G,INPUT_DATA!$A:$A,$B83,INPUT_DATA!$C:$C,"D"))</f>
        <v/>
      </c>
      <c r="BF83" s="312" t="str">
        <f>IF($B83=0,"",SUMIFS(INPUT_DATA!H:H,INPUT_DATA!$A:$A,$B83,INPUT_DATA!$C:$C,"D"))</f>
        <v/>
      </c>
      <c r="BG83" s="312" t="str">
        <f>IF($B83=0,"",SUMIFS(INPUT_DATA!I:I,INPUT_DATA!$A:$A,$B83,INPUT_DATA!$C:$C,"D"))</f>
        <v/>
      </c>
      <c r="BH83" s="312" t="str">
        <f>IF($B83=0,"",SUMIFS(INPUT_DATA!J:J,INPUT_DATA!$A:$A,$B83,INPUT_DATA!$C:$C,"D"))</f>
        <v/>
      </c>
      <c r="BI83" s="312" t="str">
        <f>IF($B83=0,"",SUMIFS(INPUT_DATA!K:K,INPUT_DATA!$A:$A,$B83,INPUT_DATA!$C:$C,"D"))</f>
        <v/>
      </c>
      <c r="BJ83" s="312" t="str">
        <f>IF($B83=0,"",SUMIFS(INPUT_DATA!L:L,INPUT_DATA!$A:$A,$B83,INPUT_DATA!$C:$C,"D"))</f>
        <v/>
      </c>
      <c r="BK83" s="312" t="str">
        <f>IF($B83=0,"",SUMIFS(INPUT_DATA!M:M,INPUT_DATA!$A:$A,$B83,INPUT_DATA!$C:$C,"D"))</f>
        <v/>
      </c>
      <c r="BL83" s="312" t="str">
        <f>IF($B83=0,"",SUMIFS(INPUT_DATA!N:N,INPUT_DATA!$A:$A,$B83,INPUT_DATA!$C:$C,"D"))</f>
        <v/>
      </c>
      <c r="BM83" s="312" t="str">
        <f>IF($B83=0,"",SUMIFS(INPUT_DATA!O:O,INPUT_DATA!$A:$A,$B83,INPUT_DATA!$C:$C,"D"))</f>
        <v/>
      </c>
      <c r="BN83" s="754" t="str">
        <f t="shared" ref="BN83:BN87" si="44">IF($B83=0,"",BC83-BD83-BE83+BF83+BG83+BH83-BI83+BJ83-BK83-BL83-BM83)</f>
        <v/>
      </c>
      <c r="BO83" s="754" t="str">
        <f>IF($B83=0,"",SUMIFS(INPUT_DATA!O:O,INPUT_DATA!$A:$A,$B83,INPUT_DATA!$C:$C,"D"))</f>
        <v/>
      </c>
      <c r="BP83" s="754" t="str">
        <f t="shared" ref="BP83:BP87" si="45">IF($B83=0,"",BN83-BO83)</f>
        <v/>
      </c>
      <c r="BQ83" s="738" t="str">
        <f>IF($B83=0,"",SUMIFS(INPUT_DATA!Q:Q,INPUT_DATA!$A:$A,$B83,INPUT_DATA!$C:$C,"D"))</f>
        <v/>
      </c>
      <c r="BR83" s="760" t="str">
        <f>IF($B83=0,"",SUMIFS(INPUT_DATA!R:R,INPUT_DATA!$A:$A,$B83,INPUT_DATA!$C:$C,"D"))</f>
        <v/>
      </c>
      <c r="BS83" s="760" t="str">
        <f>IF($B83=0,"",SUMIFS(INPUT_DATA!S:S,INPUT_DATA!$A:$A,$B83,INPUT_DATA!$C:$C,"D"))</f>
        <v/>
      </c>
      <c r="BT83" s="312" t="str">
        <f>IF($B83=0,"",SUMIFS(INPUT_DATA!T:T,INPUT_DATA!$A:$A,$B83,INPUT_DATA!$C:$C,"D"))</f>
        <v/>
      </c>
      <c r="BU83" s="312" t="str">
        <f>IF($B83=0,"",SUMIFS(INPUT_DATA!U:U,INPUT_DATA!$A:$A,$B83,INPUT_DATA!$C:$C,"D"))</f>
        <v/>
      </c>
      <c r="BV83" s="312" t="str">
        <f>IF($B83=0,"",SUMIFS(INPUT_DATA!V:V,INPUT_DATA!$A:$A,$B83,INPUT_DATA!$C:$C,"D"))</f>
        <v/>
      </c>
      <c r="BW83" s="312" t="str">
        <f>IF($B83=0,"",SUMIFS(INPUT_DATA!W:W,INPUT_DATA!$A:$A,$B83,INPUT_DATA!$C:$C,"D"))</f>
        <v/>
      </c>
      <c r="BX83" s="312" t="str">
        <f>IF($B83=0,"",SUMIFS(INPUT_DATA!X:X,INPUT_DATA!$A:$A,$B83,INPUT_DATA!$C:$C,"D"))</f>
        <v/>
      </c>
      <c r="BY83" s="312" t="str">
        <f>IF($B83=0,"",SUMIFS(INPUT_DATA!Y:Y,INPUT_DATA!$A:$A,$B83,INPUT_DATA!$C:$C,"D"))</f>
        <v/>
      </c>
      <c r="BZ83" s="353" t="str">
        <f>IF($B83=0,"",SUMIFS(INPUT_DATA!Z:Z,INPUT_DATA!$A:$A,$B83,INPUT_DATA!$C:$C,"D"))</f>
        <v/>
      </c>
      <c r="CA83" s="353" t="str">
        <f>IF($B83=0,"",SUMIFS(INPUT_DATA!AA:AA,INPUT_DATA!$A:$A,$B83,INPUT_DATA!$C:$C,"D"))</f>
        <v/>
      </c>
      <c r="CB83" s="353" t="str">
        <f>IF($B83=0,"",SUMIFS(INPUT_DATA!AB:AB,INPUT_DATA!$A:$A,$B83,INPUT_DATA!$C:$C,"D"))</f>
        <v/>
      </c>
      <c r="CC83" s="312" t="str">
        <f>IF($B83=0,"",SUMIFS(INPUT_DATA!AC:AC,INPUT_DATA!$A:$A,$B83,INPUT_DATA!$C:$C,"D"))</f>
        <v/>
      </c>
      <c r="CD83" s="312" t="str">
        <f>IF($B83=0,"",SUMIFS(INPUT_DATA!AD:AD,INPUT_DATA!$A:$A,$B83,INPUT_DATA!$C:$C,"D"))</f>
        <v/>
      </c>
      <c r="CE83" s="312" t="str">
        <f>IF($B83=0,"",SUMIFS(INPUT_DATA!AE:AE,INPUT_DATA!$A:$A,$B83,INPUT_DATA!$C:$C,"D"))</f>
        <v/>
      </c>
      <c r="CF83" s="353" t="str">
        <f>IF($B83=0,"",SUMIFS(INPUT_DATA!AF:AF,INPUT_DATA!$A:$A,$B83,INPUT_DATA!$C:$C,"D"))</f>
        <v/>
      </c>
      <c r="CG83" s="353" t="str">
        <f>IF($B83=0,"",SUMIFS(INPUT_DATA!AG:AG,INPUT_DATA!$A:$A,$B83,INPUT_DATA!$C:$C,"D"))</f>
        <v/>
      </c>
      <c r="CH83" s="353" t="str">
        <f>IF($B83=0,"",SUMIFS(INPUT_DATA!AH:AH,INPUT_DATA!$A:$A,$B83,INPUT_DATA!$C:$C,"D"))</f>
        <v/>
      </c>
      <c r="CI83" s="153" t="str">
        <f>IF($B83=0,"",SUMIFS(INPUT_DATA!AI:AI,INPUT_DATA!$A:$A,$B83,INPUT_DATA!$C:$C,"D"))</f>
        <v/>
      </c>
      <c r="CJ83" s="153" t="str">
        <f>IF($B83=0,"",SUMIFS(INPUT_DATA!AJ:AJ,INPUT_DATA!$A:$A,$B83,INPUT_DATA!$C:$C,"D"))</f>
        <v/>
      </c>
      <c r="CK83" s="153" t="str">
        <f>IF($B83=0,"",SUMIFS(INPUT_DATA!AK:AK,INPUT_DATA!$A:$A,$B83,INPUT_DATA!$C:$C,"D"))</f>
        <v/>
      </c>
      <c r="CL83" s="153" t="str">
        <f>IF($B83=0,"",SUMIFS(INPUT_DATA!AL:AL,INPUT_DATA!$A:$A,$B83,INPUT_DATA!$C:$C,"D"))</f>
        <v/>
      </c>
      <c r="CM83" s="153" t="str">
        <f>IF($B83=0,"",SUMIFS(INPUT_DATA!AM:AM,INPUT_DATA!$A:$A,$B83,INPUT_DATA!$C:$C,"D"))</f>
        <v/>
      </c>
      <c r="CN83" s="153" t="str">
        <f>IF($B83=0,"",SUMIFS(INPUT_DATA!AN:AN,INPUT_DATA!$A:$A,$B83,INPUT_DATA!$C:$C,"D"))</f>
        <v/>
      </c>
      <c r="CO83" s="153" t="str">
        <f>IF($B83=0,"",SUMIFS(INPUT_DATA!AO:AO,INPUT_DATA!$A:$A,$B83,INPUT_DATA!$C:$C,"D"))</f>
        <v/>
      </c>
      <c r="CP83" s="153" t="str">
        <f>IF($B83=0,"",SUMIFS(INPUT_DATA!AP:AP,INPUT_DATA!$A:$A,$B83,INPUT_DATA!$C:$C,"D"))</f>
        <v/>
      </c>
      <c r="CQ83" s="153" t="str">
        <f>IF($B83=0,"",SUMIFS(INPUT_DATA!AQ:AQ,INPUT_DATA!$A:$A,$B83,INPUT_DATA!$C:$C,"D"))</f>
        <v/>
      </c>
      <c r="CR83" s="750" t="str">
        <f t="shared" si="32"/>
        <v/>
      </c>
      <c r="CS83" s="750" t="str">
        <f t="shared" si="33"/>
        <v/>
      </c>
      <c r="CT83" s="750" t="str">
        <f t="shared" si="34"/>
        <v/>
      </c>
      <c r="CU83" s="739" t="str">
        <f>IF($B83=0,"",SUMIFS(INPUT_DATA!AR:AR,INPUT_DATA!$A:$A,$B83,INPUT_DATA!$C:$C,"D"))</f>
        <v/>
      </c>
      <c r="CV83" s="739" t="str">
        <f>IF($B83=0,"",SUMIFS(INPUT_DATA!AS:AS,INPUT_DATA!$A:$A,$B83,INPUT_DATA!$C:$C,"D"))</f>
        <v/>
      </c>
      <c r="CW83" s="739" t="str">
        <f>IF($B83=0,"",SUMIFS(INPUT_DATA!AT:AT,INPUT_DATA!$A:$A,$B83,INPUT_DATA!$C:$C,"D"))</f>
        <v/>
      </c>
      <c r="CX83" s="739" t="str">
        <f t="shared" si="35"/>
        <v/>
      </c>
      <c r="CY83" s="750" t="str">
        <f t="shared" si="36"/>
        <v/>
      </c>
      <c r="CZ83" s="761" t="str">
        <f t="shared" si="37"/>
        <v/>
      </c>
      <c r="DA83" s="150"/>
    </row>
    <row r="84" spans="1:105" ht="13" x14ac:dyDescent="0.25">
      <c r="A84" s="172">
        <f t="shared" si="40"/>
        <v>-37</v>
      </c>
      <c r="B84" s="733">
        <f>INPUT_DATA!BQ71</f>
        <v>0</v>
      </c>
      <c r="C84" s="738" t="str">
        <f>IF($B84=0,"",SUMIFS(INPUT_DATA!D:D,INPUT_DATA!$A:$A,$B84,INPUT_DATA!$C:$C,"S"))</f>
        <v/>
      </c>
      <c r="D84" s="739" t="str">
        <f>IF($B84=0,"",SUMIFS(INPUT_DATA!E:E,INPUT_DATA!$A:$A,$B84,INPUT_DATA!$C:$C,"S"))</f>
        <v/>
      </c>
      <c r="E84" s="740" t="str">
        <f>IF($B84=0,"",SUMIFS(INPUT_DATA!F:F,INPUT_DATA!$A:$A,$B84,INPUT_DATA!$C:$C,"S"))</f>
        <v/>
      </c>
      <c r="F84" s="740" t="str">
        <f>IF($B84=0,"",SUMIFS(INPUT_DATA!G:G,INPUT_DATA!$A:$A,$B84,INPUT_DATA!$C:$C,"S"))</f>
        <v/>
      </c>
      <c r="G84" s="740" t="str">
        <f>IF($B84=0,"",SUMIFS(INPUT_DATA!H:H,INPUT_DATA!$A:$A,$B84,INPUT_DATA!$C:$C,"S"))</f>
        <v/>
      </c>
      <c r="H84" s="740" t="str">
        <f>IF($B84=0,"",SUMIFS(INPUT_DATA!I:I,INPUT_DATA!$A:$A,$B84,INPUT_DATA!$C:$C,"S"))</f>
        <v/>
      </c>
      <c r="I84" s="740" t="str">
        <f>IF($B84=0,"",SUMIFS(INPUT_DATA!J:J,INPUT_DATA!$A:$A,$B84,INPUT_DATA!$C:$C,"S"))</f>
        <v/>
      </c>
      <c r="J84" s="740" t="str">
        <f>IF($B84=0,"",SUMIFS(INPUT_DATA!K:K,INPUT_DATA!$A:$A,$B84,INPUT_DATA!$C:$C,"S"))</f>
        <v/>
      </c>
      <c r="K84" s="740" t="str">
        <f>IF($B84=0,"",SUMIFS(INPUT_DATA!L:L,INPUT_DATA!$A:$A,$B84,INPUT_DATA!$C:$C,"S"))</f>
        <v/>
      </c>
      <c r="L84" s="740" t="str">
        <f>IF($B84=0,"",SUMIFS(INPUT_DATA!M:M,INPUT_DATA!$A:$A,$B84,INPUT_DATA!$C:$C,"S"))</f>
        <v/>
      </c>
      <c r="M84" s="740" t="str">
        <f>IF($B84=0,"",SUMIFS(INPUT_DATA!N:N,INPUT_DATA!$A:$A,$B84,INPUT_DATA!$C:$C,"S"))</f>
        <v/>
      </c>
      <c r="N84" s="740" t="str">
        <f>IF($B84=0,"",SUMIFS(INPUT_DATA!O:O,INPUT_DATA!$A:$A,$B84,INPUT_DATA!$C:$C,"S"))</f>
        <v/>
      </c>
      <c r="O84" s="741" t="str">
        <f t="shared" si="38"/>
        <v/>
      </c>
      <c r="P84" s="742" t="str">
        <f>IF($B84=0,"",SUMIFS(INPUT_DATA!P:P,INPUT_DATA!$A:$A,$B84,INPUT_DATA!$C:$C,"S"))</f>
        <v/>
      </c>
      <c r="Q84" s="742" t="str">
        <f t="shared" si="39"/>
        <v/>
      </c>
      <c r="R84" s="748" t="str">
        <f>IF($B84=0,"",SUMIFS(INPUT_DATA!Q:Q,INPUT_DATA!$A:$A,$B84,INPUT_DATA!$C:$C,"S"))</f>
        <v/>
      </c>
      <c r="S84" s="748" t="str">
        <f>IF($B84=0,"",SUMIFS(INPUT_DATA!R:R,INPUT_DATA!$A:$A,$B84,INPUT_DATA!$C:$C,"S"))</f>
        <v/>
      </c>
      <c r="T84" s="748" t="str">
        <f>IF($B84=0,"",SUMIFS(INPUT_DATA!S:S,INPUT_DATA!$A:$A,$B84,INPUT_DATA!$C:$C,"S"))</f>
        <v/>
      </c>
      <c r="U84" s="313" t="str">
        <f>IF($B84=0,"",SUMIFS(INPUT_DATA!T:T,INPUT_DATA!$A:$A,$B84,INPUT_DATA!$C:$C,"S"))</f>
        <v/>
      </c>
      <c r="V84" s="313" t="str">
        <f>IF($B84=0,"",SUMIFS(INPUT_DATA!U:U,INPUT_DATA!$A:$A,$B84,INPUT_DATA!$C:$C,"S"))</f>
        <v/>
      </c>
      <c r="W84" s="313" t="str">
        <f>IF($B84=0,"",SUMIFS(INPUT_DATA!V:V,INPUT_DATA!$A:$A,$B84,INPUT_DATA!$C:$C,"S"))</f>
        <v/>
      </c>
      <c r="X84" s="313" t="str">
        <f>IF($B84=0,"",SUMIFS(INPUT_DATA!W:W,INPUT_DATA!$A:$A,$B84,INPUT_DATA!$C:$C,"S"))</f>
        <v/>
      </c>
      <c r="Y84" s="313" t="str">
        <f>IF($B84=0,"",SUMIFS(INPUT_DATA!X:X,INPUT_DATA!$A:$A,$B84,INPUT_DATA!$C:$C,"S"))</f>
        <v/>
      </c>
      <c r="Z84" s="313" t="str">
        <f>IF($B84=0,"",SUMIFS(INPUT_DATA!Y:Y,INPUT_DATA!$A:$A,$B84,INPUT_DATA!$C:$C,"S"))</f>
        <v/>
      </c>
      <c r="AA84" s="313" t="str">
        <f>IF($B84=0,"",SUMIFS(INPUT_DATA!Z:Z,INPUT_DATA!$A:$A,$B84,INPUT_DATA!$C:$C,"S"))</f>
        <v/>
      </c>
      <c r="AB84" s="313" t="str">
        <f>IF($B84=0,"",SUMIFS(INPUT_DATA!AA:AA,INPUT_DATA!$A:$A,$B84,INPUT_DATA!$C:$C,"S"))</f>
        <v/>
      </c>
      <c r="AC84" s="313" t="str">
        <f>IF($B84=0,"",SUMIFS(INPUT_DATA!AB:AB,INPUT_DATA!$A:$A,$B84,INPUT_DATA!$C:$C,"S"))</f>
        <v/>
      </c>
      <c r="AD84" s="313" t="str">
        <f>IF($B84=0,"",SUMIFS(INPUT_DATA!AC:AC,INPUT_DATA!$A:$A,$B84,INPUT_DATA!$C:$C,"S"))</f>
        <v/>
      </c>
      <c r="AE84" s="313" t="str">
        <f>IF($B84=0,"",SUMIFS(INPUT_DATA!AD:AD,INPUT_DATA!$A:$A,$B84,INPUT_DATA!$C:$C,"S"))</f>
        <v/>
      </c>
      <c r="AF84" s="313" t="str">
        <f>IF($B84=0,"",SUMIFS(INPUT_DATA!AE:AE,INPUT_DATA!$A:$A,$B84,INPUT_DATA!$C:$C,"S"))</f>
        <v/>
      </c>
      <c r="AG84" s="313" t="str">
        <f>IF($B84=0,"",SUMIFS(INPUT_DATA!AF:AF,INPUT_DATA!$A:$A,$B84,INPUT_DATA!$C:$C,"S"))</f>
        <v/>
      </c>
      <c r="AH84" s="313" t="str">
        <f>IF($B84=0,"",SUMIFS(INPUT_DATA!AG:AG,INPUT_DATA!$A:$A,$B84,INPUT_DATA!$C:$C,"S"))</f>
        <v/>
      </c>
      <c r="AI84" s="313" t="str">
        <f>IF($B84=0,"",SUMIFS(INPUT_DATA!AH:AH,INPUT_DATA!$A:$A,$B84,INPUT_DATA!$C:$C,"S"))</f>
        <v/>
      </c>
      <c r="AJ84" s="313" t="str">
        <f>IF($B84=0,"",SUMIFS(INPUT_DATA!AI:AI,INPUT_DATA!$A:$A,$B84,INPUT_DATA!$C:$C,"S"))</f>
        <v/>
      </c>
      <c r="AK84" s="313" t="str">
        <f>IF($B84=0,"",SUMIFS(INPUT_DATA!AJ:AJ,INPUT_DATA!$A:$A,$B84,INPUT_DATA!$C:$C,"S"))</f>
        <v/>
      </c>
      <c r="AL84" s="313" t="str">
        <f>IF($B84=0,"",SUMIFS(INPUT_DATA!AK:AK,INPUT_DATA!$A:$A,$B84,INPUT_DATA!$C:$C,"S"))</f>
        <v/>
      </c>
      <c r="AM84" s="313" t="str">
        <f>IF($B84=0,"",SUMIFS(INPUT_DATA!AL:AL,INPUT_DATA!$A:$A,$B84,INPUT_DATA!$C:$C,"S"))</f>
        <v/>
      </c>
      <c r="AN84" s="313" t="str">
        <f>IF($B84=0,"",SUMIFS(INPUT_DATA!AM:AM,INPUT_DATA!$A:$A,$B84,INPUT_DATA!$C:$C,"S"))</f>
        <v/>
      </c>
      <c r="AO84" s="313" t="str">
        <f>IF($B84=0,"",SUMIFS(INPUT_DATA!AN:AN,INPUT_DATA!$A:$A,$B84,INPUT_DATA!$C:$C,"S"))</f>
        <v/>
      </c>
      <c r="AP84" s="313" t="str">
        <f>IF($B84=0,"",SUMIFS(INPUT_DATA!AO:AO,INPUT_DATA!$A:$A,$B84,INPUT_DATA!$C:$C,"S"))</f>
        <v/>
      </c>
      <c r="AQ84" s="313" t="str">
        <f>IF($B84=0,"",SUMIFS(INPUT_DATA!AP:AP,INPUT_DATA!$A:$A,$B84,INPUT_DATA!$C:$C,"S"))</f>
        <v/>
      </c>
      <c r="AR84" s="313" t="str">
        <f>IF($B84=0,"",SUMIFS(INPUT_DATA!AQ:AQ,INPUT_DATA!$A:$A,$B84,INPUT_DATA!$C:$C,"S"))</f>
        <v/>
      </c>
      <c r="AS84" s="749" t="str">
        <f t="shared" si="29"/>
        <v/>
      </c>
      <c r="AT84" s="750" t="str">
        <f t="shared" si="30"/>
        <v/>
      </c>
      <c r="AU84" s="751" t="str">
        <f t="shared" si="31"/>
        <v/>
      </c>
      <c r="AV84" s="749" t="str">
        <f>IF($B84=0,"",SUMIFS(INPUT_DATA!AR:AR,INPUT_DATA!$A:$A,$B84,INPUT_DATA!$C:$C,"S"))</f>
        <v/>
      </c>
      <c r="AW84" s="750" t="str">
        <f>IF($B84=0,"",SUMIFS(INPUT_DATA!AS:AS,INPUT_DATA!$A:$A,$B84,INPUT_DATA!$C:$C,"S"))</f>
        <v/>
      </c>
      <c r="AX84" s="751" t="str">
        <f>IF($B84=0,"",SUMIFS(INPUT_DATA!AT:AT,INPUT_DATA!$A:$A,$B84,INPUT_DATA!$C:$C,"S"))</f>
        <v/>
      </c>
      <c r="AY84" s="749" t="str">
        <f t="shared" si="41"/>
        <v/>
      </c>
      <c r="AZ84" s="750" t="str">
        <f t="shared" si="42"/>
        <v/>
      </c>
      <c r="BA84" s="751" t="str">
        <f t="shared" si="43"/>
        <v/>
      </c>
      <c r="BB84" s="150"/>
      <c r="BC84" s="738" t="str">
        <f>IF($B84=0,"",SUMIFS(INPUT_DATA!D:D,INPUT_DATA!$A:$A,$B84,INPUT_DATA!$C:$C,"D"))</f>
        <v/>
      </c>
      <c r="BD84" s="312" t="str">
        <f>IF($B84=0,"",SUMIFS(INPUT_DATA!F:F,INPUT_DATA!$A:$A,$B84,INPUT_DATA!$C:$C,"D"))</f>
        <v/>
      </c>
      <c r="BE84" s="312" t="str">
        <f>IF($B84=0,"",SUMIFS(INPUT_DATA!G:G,INPUT_DATA!$A:$A,$B84,INPUT_DATA!$C:$C,"D"))</f>
        <v/>
      </c>
      <c r="BF84" s="312" t="str">
        <f>IF($B84=0,"",SUMIFS(INPUT_DATA!H:H,INPUT_DATA!$A:$A,$B84,INPUT_DATA!$C:$C,"D"))</f>
        <v/>
      </c>
      <c r="BG84" s="312" t="str">
        <f>IF($B84=0,"",SUMIFS(INPUT_DATA!I:I,INPUT_DATA!$A:$A,$B84,INPUT_DATA!$C:$C,"D"))</f>
        <v/>
      </c>
      <c r="BH84" s="312" t="str">
        <f>IF($B84=0,"",SUMIFS(INPUT_DATA!J:J,INPUT_DATA!$A:$A,$B84,INPUT_DATA!$C:$C,"D"))</f>
        <v/>
      </c>
      <c r="BI84" s="312" t="str">
        <f>IF($B84=0,"",SUMIFS(INPUT_DATA!K:K,INPUT_DATA!$A:$A,$B84,INPUT_DATA!$C:$C,"D"))</f>
        <v/>
      </c>
      <c r="BJ84" s="312" t="str">
        <f>IF($B84=0,"",SUMIFS(INPUT_DATA!L:L,INPUT_DATA!$A:$A,$B84,INPUT_DATA!$C:$C,"D"))</f>
        <v/>
      </c>
      <c r="BK84" s="312" t="str">
        <f>IF($B84=0,"",SUMIFS(INPUT_DATA!M:M,INPUT_DATA!$A:$A,$B84,INPUT_DATA!$C:$C,"D"))</f>
        <v/>
      </c>
      <c r="BL84" s="312" t="str">
        <f>IF($B84=0,"",SUMIFS(INPUT_DATA!N:N,INPUT_DATA!$A:$A,$B84,INPUT_DATA!$C:$C,"D"))</f>
        <v/>
      </c>
      <c r="BM84" s="312" t="str">
        <f>IF($B84=0,"",SUMIFS(INPUT_DATA!O:O,INPUT_DATA!$A:$A,$B84,INPUT_DATA!$C:$C,"D"))</f>
        <v/>
      </c>
      <c r="BN84" s="754" t="str">
        <f t="shared" si="44"/>
        <v/>
      </c>
      <c r="BO84" s="754" t="str">
        <f>IF($B84=0,"",SUMIFS(INPUT_DATA!O:O,INPUT_DATA!$A:$A,$B84,INPUT_DATA!$C:$C,"D"))</f>
        <v/>
      </c>
      <c r="BP84" s="754" t="str">
        <f t="shared" si="45"/>
        <v/>
      </c>
      <c r="BQ84" s="738" t="str">
        <f>IF($B84=0,"",SUMIFS(INPUT_DATA!Q:Q,INPUT_DATA!$A:$A,$B84,INPUT_DATA!$C:$C,"D"))</f>
        <v/>
      </c>
      <c r="BR84" s="760" t="str">
        <f>IF($B84=0,"",SUMIFS(INPUT_DATA!R:R,INPUT_DATA!$A:$A,$B84,INPUT_DATA!$C:$C,"D"))</f>
        <v/>
      </c>
      <c r="BS84" s="760" t="str">
        <f>IF($B84=0,"",SUMIFS(INPUT_DATA!S:S,INPUT_DATA!$A:$A,$B84,INPUT_DATA!$C:$C,"D"))</f>
        <v/>
      </c>
      <c r="BT84" s="312" t="str">
        <f>IF($B84=0,"",SUMIFS(INPUT_DATA!T:T,INPUT_DATA!$A:$A,$B84,INPUT_DATA!$C:$C,"D"))</f>
        <v/>
      </c>
      <c r="BU84" s="312" t="str">
        <f>IF($B84=0,"",SUMIFS(INPUT_DATA!U:U,INPUT_DATA!$A:$A,$B84,INPUT_DATA!$C:$C,"D"))</f>
        <v/>
      </c>
      <c r="BV84" s="312" t="str">
        <f>IF($B84=0,"",SUMIFS(INPUT_DATA!V:V,INPUT_DATA!$A:$A,$B84,INPUT_DATA!$C:$C,"D"))</f>
        <v/>
      </c>
      <c r="BW84" s="312" t="str">
        <f>IF($B84=0,"",SUMIFS(INPUT_DATA!W:W,INPUT_DATA!$A:$A,$B84,INPUT_DATA!$C:$C,"D"))</f>
        <v/>
      </c>
      <c r="BX84" s="312" t="str">
        <f>IF($B84=0,"",SUMIFS(INPUT_DATA!X:X,INPUT_DATA!$A:$A,$B84,INPUT_DATA!$C:$C,"D"))</f>
        <v/>
      </c>
      <c r="BY84" s="312" t="str">
        <f>IF($B84=0,"",SUMIFS(INPUT_DATA!Y:Y,INPUT_DATA!$A:$A,$B84,INPUT_DATA!$C:$C,"D"))</f>
        <v/>
      </c>
      <c r="BZ84" s="353" t="str">
        <f>IF($B84=0,"",SUMIFS(INPUT_DATA!Z:Z,INPUT_DATA!$A:$A,$B84,INPUT_DATA!$C:$C,"D"))</f>
        <v/>
      </c>
      <c r="CA84" s="353" t="str">
        <f>IF($B84=0,"",SUMIFS(INPUT_DATA!AA:AA,INPUT_DATA!$A:$A,$B84,INPUT_DATA!$C:$C,"D"))</f>
        <v/>
      </c>
      <c r="CB84" s="353" t="str">
        <f>IF($B84=0,"",SUMIFS(INPUT_DATA!AB:AB,INPUT_DATA!$A:$A,$B84,INPUT_DATA!$C:$C,"D"))</f>
        <v/>
      </c>
      <c r="CC84" s="312" t="str">
        <f>IF($B84=0,"",SUMIFS(INPUT_DATA!AC:AC,INPUT_DATA!$A:$A,$B84,INPUT_DATA!$C:$C,"D"))</f>
        <v/>
      </c>
      <c r="CD84" s="312" t="str">
        <f>IF($B84=0,"",SUMIFS(INPUT_DATA!AD:AD,INPUT_DATA!$A:$A,$B84,INPUT_DATA!$C:$C,"D"))</f>
        <v/>
      </c>
      <c r="CE84" s="312" t="str">
        <f>IF($B84=0,"",SUMIFS(INPUT_DATA!AE:AE,INPUT_DATA!$A:$A,$B84,INPUT_DATA!$C:$C,"D"))</f>
        <v/>
      </c>
      <c r="CF84" s="353" t="str">
        <f>IF($B84=0,"",SUMIFS(INPUT_DATA!AF:AF,INPUT_DATA!$A:$A,$B84,INPUT_DATA!$C:$C,"D"))</f>
        <v/>
      </c>
      <c r="CG84" s="353" t="str">
        <f>IF($B84=0,"",SUMIFS(INPUT_DATA!AG:AG,INPUT_DATA!$A:$A,$B84,INPUT_DATA!$C:$C,"D"))</f>
        <v/>
      </c>
      <c r="CH84" s="353" t="str">
        <f>IF($B84=0,"",SUMIFS(INPUT_DATA!AH:AH,INPUT_DATA!$A:$A,$B84,INPUT_DATA!$C:$C,"D"))</f>
        <v/>
      </c>
      <c r="CI84" s="153" t="str">
        <f>IF($B84=0,"",SUMIFS(INPUT_DATA!AI:AI,INPUT_DATA!$A:$A,$B84,INPUT_DATA!$C:$C,"D"))</f>
        <v/>
      </c>
      <c r="CJ84" s="153" t="str">
        <f>IF($B84=0,"",SUMIFS(INPUT_DATA!AJ:AJ,INPUT_DATA!$A:$A,$B84,INPUT_DATA!$C:$C,"D"))</f>
        <v/>
      </c>
      <c r="CK84" s="153" t="str">
        <f>IF($B84=0,"",SUMIFS(INPUT_DATA!AK:AK,INPUT_DATA!$A:$A,$B84,INPUT_DATA!$C:$C,"D"))</f>
        <v/>
      </c>
      <c r="CL84" s="153" t="str">
        <f>IF($B84=0,"",SUMIFS(INPUT_DATA!AL:AL,INPUT_DATA!$A:$A,$B84,INPUT_DATA!$C:$C,"D"))</f>
        <v/>
      </c>
      <c r="CM84" s="153" t="str">
        <f>IF($B84=0,"",SUMIFS(INPUT_DATA!AM:AM,INPUT_DATA!$A:$A,$B84,INPUT_DATA!$C:$C,"D"))</f>
        <v/>
      </c>
      <c r="CN84" s="153" t="str">
        <f>IF($B84=0,"",SUMIFS(INPUT_DATA!AN:AN,INPUT_DATA!$A:$A,$B84,INPUT_DATA!$C:$C,"D"))</f>
        <v/>
      </c>
      <c r="CO84" s="153" t="str">
        <f>IF($B84=0,"",SUMIFS(INPUT_DATA!AO:AO,INPUT_DATA!$A:$A,$B84,INPUT_DATA!$C:$C,"D"))</f>
        <v/>
      </c>
      <c r="CP84" s="153" t="str">
        <f>IF($B84=0,"",SUMIFS(INPUT_DATA!AP:AP,INPUT_DATA!$A:$A,$B84,INPUT_DATA!$C:$C,"D"))</f>
        <v/>
      </c>
      <c r="CQ84" s="153" t="str">
        <f>IF($B84=0,"",SUMIFS(INPUT_DATA!AQ:AQ,INPUT_DATA!$A:$A,$B84,INPUT_DATA!$C:$C,"D"))</f>
        <v/>
      </c>
      <c r="CR84" s="750" t="str">
        <f t="shared" si="32"/>
        <v/>
      </c>
      <c r="CS84" s="750" t="str">
        <f t="shared" si="33"/>
        <v/>
      </c>
      <c r="CT84" s="750" t="str">
        <f t="shared" si="34"/>
        <v/>
      </c>
      <c r="CU84" s="739" t="str">
        <f>IF($B84=0,"",SUMIFS(INPUT_DATA!AR:AR,INPUT_DATA!$A:$A,$B84,INPUT_DATA!$C:$C,"D"))</f>
        <v/>
      </c>
      <c r="CV84" s="739" t="str">
        <f>IF($B84=0,"",SUMIFS(INPUT_DATA!AS:AS,INPUT_DATA!$A:$A,$B84,INPUT_DATA!$C:$C,"D"))</f>
        <v/>
      </c>
      <c r="CW84" s="739" t="str">
        <f>IF($B84=0,"",SUMIFS(INPUT_DATA!AT:AT,INPUT_DATA!$A:$A,$B84,INPUT_DATA!$C:$C,"D"))</f>
        <v/>
      </c>
      <c r="CX84" s="739" t="str">
        <f t="shared" si="35"/>
        <v/>
      </c>
      <c r="CY84" s="750" t="str">
        <f t="shared" si="36"/>
        <v/>
      </c>
      <c r="CZ84" s="761" t="str">
        <f t="shared" si="37"/>
        <v/>
      </c>
      <c r="DA84" s="150"/>
    </row>
    <row r="85" spans="1:105" ht="13" x14ac:dyDescent="0.25">
      <c r="A85" s="172">
        <f t="shared" si="40"/>
        <v>-38</v>
      </c>
      <c r="B85" s="733">
        <f>INPUT_DATA!BQ72</f>
        <v>0</v>
      </c>
      <c r="C85" s="738" t="str">
        <f>IF($B85=0,"",SUMIFS(INPUT_DATA!D:D,INPUT_DATA!$A:$A,$B85,INPUT_DATA!$C:$C,"S"))</f>
        <v/>
      </c>
      <c r="D85" s="739" t="str">
        <f>IF($B85=0,"",SUMIFS(INPUT_DATA!E:E,INPUT_DATA!$A:$A,$B85,INPUT_DATA!$C:$C,"S"))</f>
        <v/>
      </c>
      <c r="E85" s="740" t="str">
        <f>IF($B85=0,"",SUMIFS(INPUT_DATA!F:F,INPUT_DATA!$A:$A,$B85,INPUT_DATA!$C:$C,"S"))</f>
        <v/>
      </c>
      <c r="F85" s="740" t="str">
        <f>IF($B85=0,"",SUMIFS(INPUT_DATA!G:G,INPUT_DATA!$A:$A,$B85,INPUT_DATA!$C:$C,"S"))</f>
        <v/>
      </c>
      <c r="G85" s="740" t="str">
        <f>IF($B85=0,"",SUMIFS(INPUT_DATA!H:H,INPUT_DATA!$A:$A,$B85,INPUT_DATA!$C:$C,"S"))</f>
        <v/>
      </c>
      <c r="H85" s="740" t="str">
        <f>IF($B85=0,"",SUMIFS(INPUT_DATA!I:I,INPUT_DATA!$A:$A,$B85,INPUT_DATA!$C:$C,"S"))</f>
        <v/>
      </c>
      <c r="I85" s="740" t="str">
        <f>IF($B85=0,"",SUMIFS(INPUT_DATA!J:J,INPUT_DATA!$A:$A,$B85,INPUT_DATA!$C:$C,"S"))</f>
        <v/>
      </c>
      <c r="J85" s="740" t="str">
        <f>IF($B85=0,"",SUMIFS(INPUT_DATA!K:K,INPUT_DATA!$A:$A,$B85,INPUT_DATA!$C:$C,"S"))</f>
        <v/>
      </c>
      <c r="K85" s="740" t="str">
        <f>IF($B85=0,"",SUMIFS(INPUT_DATA!L:L,INPUT_DATA!$A:$A,$B85,INPUT_DATA!$C:$C,"S"))</f>
        <v/>
      </c>
      <c r="L85" s="740" t="str">
        <f>IF($B85=0,"",SUMIFS(INPUT_DATA!M:M,INPUT_DATA!$A:$A,$B85,INPUT_DATA!$C:$C,"S"))</f>
        <v/>
      </c>
      <c r="M85" s="740" t="str">
        <f>IF($B85=0,"",SUMIFS(INPUT_DATA!N:N,INPUT_DATA!$A:$A,$B85,INPUT_DATA!$C:$C,"S"))</f>
        <v/>
      </c>
      <c r="N85" s="740" t="str">
        <f>IF($B85=0,"",SUMIFS(INPUT_DATA!O:O,INPUT_DATA!$A:$A,$B85,INPUT_DATA!$C:$C,"S"))</f>
        <v/>
      </c>
      <c r="O85" s="741" t="str">
        <f t="shared" si="38"/>
        <v/>
      </c>
      <c r="P85" s="742" t="str">
        <f>IF($B85=0,"",SUMIFS(INPUT_DATA!P:P,INPUT_DATA!$A:$A,$B85,INPUT_DATA!$C:$C,"S"))</f>
        <v/>
      </c>
      <c r="Q85" s="742" t="str">
        <f t="shared" si="39"/>
        <v/>
      </c>
      <c r="R85" s="748" t="str">
        <f>IF($B85=0,"",SUMIFS(INPUT_DATA!Q:Q,INPUT_DATA!$A:$A,$B85,INPUT_DATA!$C:$C,"S"))</f>
        <v/>
      </c>
      <c r="S85" s="748" t="str">
        <f>IF($B85=0,"",SUMIFS(INPUT_DATA!R:R,INPUT_DATA!$A:$A,$B85,INPUT_DATA!$C:$C,"S"))</f>
        <v/>
      </c>
      <c r="T85" s="748" t="str">
        <f>IF($B85=0,"",SUMIFS(INPUT_DATA!S:S,INPUT_DATA!$A:$A,$B85,INPUT_DATA!$C:$C,"S"))</f>
        <v/>
      </c>
      <c r="U85" s="313" t="str">
        <f>IF($B85=0,"",SUMIFS(INPUT_DATA!T:T,INPUT_DATA!$A:$A,$B85,INPUT_DATA!$C:$C,"S"))</f>
        <v/>
      </c>
      <c r="V85" s="313" t="str">
        <f>IF($B85=0,"",SUMIFS(INPUT_DATA!U:U,INPUT_DATA!$A:$A,$B85,INPUT_DATA!$C:$C,"S"))</f>
        <v/>
      </c>
      <c r="W85" s="313" t="str">
        <f>IF($B85=0,"",SUMIFS(INPUT_DATA!V:V,INPUT_DATA!$A:$A,$B85,INPUT_DATA!$C:$C,"S"))</f>
        <v/>
      </c>
      <c r="X85" s="313" t="str">
        <f>IF($B85=0,"",SUMIFS(INPUT_DATA!W:W,INPUT_DATA!$A:$A,$B85,INPUT_DATA!$C:$C,"S"))</f>
        <v/>
      </c>
      <c r="Y85" s="313" t="str">
        <f>IF($B85=0,"",SUMIFS(INPUT_DATA!X:X,INPUT_DATA!$A:$A,$B85,INPUT_DATA!$C:$C,"S"))</f>
        <v/>
      </c>
      <c r="Z85" s="313" t="str">
        <f>IF($B85=0,"",SUMIFS(INPUT_DATA!Y:Y,INPUT_DATA!$A:$A,$B85,INPUT_DATA!$C:$C,"S"))</f>
        <v/>
      </c>
      <c r="AA85" s="313" t="str">
        <f>IF($B85=0,"",SUMIFS(INPUT_DATA!Z:Z,INPUT_DATA!$A:$A,$B85,INPUT_DATA!$C:$C,"S"))</f>
        <v/>
      </c>
      <c r="AB85" s="313" t="str">
        <f>IF($B85=0,"",SUMIFS(INPUT_DATA!AA:AA,INPUT_DATA!$A:$A,$B85,INPUT_DATA!$C:$C,"S"))</f>
        <v/>
      </c>
      <c r="AC85" s="313" t="str">
        <f>IF($B85=0,"",SUMIFS(INPUT_DATA!AB:AB,INPUT_DATA!$A:$A,$B85,INPUT_DATA!$C:$C,"S"))</f>
        <v/>
      </c>
      <c r="AD85" s="313" t="str">
        <f>IF($B85=0,"",SUMIFS(INPUT_DATA!AC:AC,INPUT_DATA!$A:$A,$B85,INPUT_DATA!$C:$C,"S"))</f>
        <v/>
      </c>
      <c r="AE85" s="313" t="str">
        <f>IF($B85=0,"",SUMIFS(INPUT_DATA!AD:AD,INPUT_DATA!$A:$A,$B85,INPUT_DATA!$C:$C,"S"))</f>
        <v/>
      </c>
      <c r="AF85" s="313" t="str">
        <f>IF($B85=0,"",SUMIFS(INPUT_DATA!AE:AE,INPUT_DATA!$A:$A,$B85,INPUT_DATA!$C:$C,"S"))</f>
        <v/>
      </c>
      <c r="AG85" s="313" t="str">
        <f>IF($B85=0,"",SUMIFS(INPUT_DATA!AF:AF,INPUT_DATA!$A:$A,$B85,INPUT_DATA!$C:$C,"S"))</f>
        <v/>
      </c>
      <c r="AH85" s="313" t="str">
        <f>IF($B85=0,"",SUMIFS(INPUT_DATA!AG:AG,INPUT_DATA!$A:$A,$B85,INPUT_DATA!$C:$C,"S"))</f>
        <v/>
      </c>
      <c r="AI85" s="313" t="str">
        <f>IF($B85=0,"",SUMIFS(INPUT_DATA!AH:AH,INPUT_DATA!$A:$A,$B85,INPUT_DATA!$C:$C,"S"))</f>
        <v/>
      </c>
      <c r="AJ85" s="313" t="str">
        <f>IF($B85=0,"",SUMIFS(INPUT_DATA!AI:AI,INPUT_DATA!$A:$A,$B85,INPUT_DATA!$C:$C,"S"))</f>
        <v/>
      </c>
      <c r="AK85" s="313" t="str">
        <f>IF($B85=0,"",SUMIFS(INPUT_DATA!AJ:AJ,INPUT_DATA!$A:$A,$B85,INPUT_DATA!$C:$C,"S"))</f>
        <v/>
      </c>
      <c r="AL85" s="313" t="str">
        <f>IF($B85=0,"",SUMIFS(INPUT_DATA!AK:AK,INPUT_DATA!$A:$A,$B85,INPUT_DATA!$C:$C,"S"))</f>
        <v/>
      </c>
      <c r="AM85" s="313" t="str">
        <f>IF($B85=0,"",SUMIFS(INPUT_DATA!AL:AL,INPUT_DATA!$A:$A,$B85,INPUT_DATA!$C:$C,"S"))</f>
        <v/>
      </c>
      <c r="AN85" s="313" t="str">
        <f>IF($B85=0,"",SUMIFS(INPUT_DATA!AM:AM,INPUT_DATA!$A:$A,$B85,INPUT_DATA!$C:$C,"S"))</f>
        <v/>
      </c>
      <c r="AO85" s="313" t="str">
        <f>IF($B85=0,"",SUMIFS(INPUT_DATA!AN:AN,INPUT_DATA!$A:$A,$B85,INPUT_DATA!$C:$C,"S"))</f>
        <v/>
      </c>
      <c r="AP85" s="313" t="str">
        <f>IF($B85=0,"",SUMIFS(INPUT_DATA!AO:AO,INPUT_DATA!$A:$A,$B85,INPUT_DATA!$C:$C,"S"))</f>
        <v/>
      </c>
      <c r="AQ85" s="313" t="str">
        <f>IF($B85=0,"",SUMIFS(INPUT_DATA!AP:AP,INPUT_DATA!$A:$A,$B85,INPUT_DATA!$C:$C,"S"))</f>
        <v/>
      </c>
      <c r="AR85" s="313" t="str">
        <f>IF($B85=0,"",SUMIFS(INPUT_DATA!AQ:AQ,INPUT_DATA!$A:$A,$B85,INPUT_DATA!$C:$C,"S"))</f>
        <v/>
      </c>
      <c r="AS85" s="749" t="str">
        <f t="shared" si="29"/>
        <v/>
      </c>
      <c r="AT85" s="750" t="str">
        <f t="shared" si="30"/>
        <v/>
      </c>
      <c r="AU85" s="751" t="str">
        <f t="shared" si="31"/>
        <v/>
      </c>
      <c r="AV85" s="749" t="str">
        <f>IF($B85=0,"",SUMIFS(INPUT_DATA!AR:AR,INPUT_DATA!$A:$A,$B85,INPUT_DATA!$C:$C,"S"))</f>
        <v/>
      </c>
      <c r="AW85" s="750" t="str">
        <f>IF($B85=0,"",SUMIFS(INPUT_DATA!AS:AS,INPUT_DATA!$A:$A,$B85,INPUT_DATA!$C:$C,"S"))</f>
        <v/>
      </c>
      <c r="AX85" s="751" t="str">
        <f>IF($B85=0,"",SUMIFS(INPUT_DATA!AT:AT,INPUT_DATA!$A:$A,$B85,INPUT_DATA!$C:$C,"S"))</f>
        <v/>
      </c>
      <c r="AY85" s="749" t="str">
        <f t="shared" si="41"/>
        <v/>
      </c>
      <c r="AZ85" s="750" t="str">
        <f t="shared" si="42"/>
        <v/>
      </c>
      <c r="BA85" s="751" t="str">
        <f t="shared" si="43"/>
        <v/>
      </c>
      <c r="BB85" s="150"/>
      <c r="BC85" s="738" t="str">
        <f>IF($B85=0,"",SUMIFS(INPUT_DATA!D:D,INPUT_DATA!$A:$A,$B85,INPUT_DATA!$C:$C,"D"))</f>
        <v/>
      </c>
      <c r="BD85" s="312" t="str">
        <f>IF($B85=0,"",SUMIFS(INPUT_DATA!F:F,INPUT_DATA!$A:$A,$B85,INPUT_DATA!$C:$C,"D"))</f>
        <v/>
      </c>
      <c r="BE85" s="312" t="str">
        <f>IF($B85=0,"",SUMIFS(INPUT_DATA!G:G,INPUT_DATA!$A:$A,$B85,INPUT_DATA!$C:$C,"D"))</f>
        <v/>
      </c>
      <c r="BF85" s="312" t="str">
        <f>IF($B85=0,"",SUMIFS(INPUT_DATA!H:H,INPUT_DATA!$A:$A,$B85,INPUT_DATA!$C:$C,"D"))</f>
        <v/>
      </c>
      <c r="BG85" s="312" t="str">
        <f>IF($B85=0,"",SUMIFS(INPUT_DATA!I:I,INPUT_DATA!$A:$A,$B85,INPUT_DATA!$C:$C,"D"))</f>
        <v/>
      </c>
      <c r="BH85" s="312" t="str">
        <f>IF($B85=0,"",SUMIFS(INPUT_DATA!J:J,INPUT_DATA!$A:$A,$B85,INPUT_DATA!$C:$C,"D"))</f>
        <v/>
      </c>
      <c r="BI85" s="312" t="str">
        <f>IF($B85=0,"",SUMIFS(INPUT_DATA!K:K,INPUT_DATA!$A:$A,$B85,INPUT_DATA!$C:$C,"D"))</f>
        <v/>
      </c>
      <c r="BJ85" s="312" t="str">
        <f>IF($B85=0,"",SUMIFS(INPUT_DATA!L:L,INPUT_DATA!$A:$A,$B85,INPUT_DATA!$C:$C,"D"))</f>
        <v/>
      </c>
      <c r="BK85" s="312" t="str">
        <f>IF($B85=0,"",SUMIFS(INPUT_DATA!M:M,INPUT_DATA!$A:$A,$B85,INPUT_DATA!$C:$C,"D"))</f>
        <v/>
      </c>
      <c r="BL85" s="312" t="str">
        <f>IF($B85=0,"",SUMIFS(INPUT_DATA!N:N,INPUT_DATA!$A:$A,$B85,INPUT_DATA!$C:$C,"D"))</f>
        <v/>
      </c>
      <c r="BM85" s="312" t="str">
        <f>IF($B85=0,"",SUMIFS(INPUT_DATA!O:O,INPUT_DATA!$A:$A,$B85,INPUT_DATA!$C:$C,"D"))</f>
        <v/>
      </c>
      <c r="BN85" s="754" t="str">
        <f t="shared" si="44"/>
        <v/>
      </c>
      <c r="BO85" s="754" t="str">
        <f>IF($B85=0,"",SUMIFS(INPUT_DATA!O:O,INPUT_DATA!$A:$A,$B85,INPUT_DATA!$C:$C,"D"))</f>
        <v/>
      </c>
      <c r="BP85" s="754" t="str">
        <f t="shared" si="45"/>
        <v/>
      </c>
      <c r="BQ85" s="738" t="str">
        <f>IF($B85=0,"",SUMIFS(INPUT_DATA!Q:Q,INPUT_DATA!$A:$A,$B85,INPUT_DATA!$C:$C,"D"))</f>
        <v/>
      </c>
      <c r="BR85" s="760" t="str">
        <f>IF($B85=0,"",SUMIFS(INPUT_DATA!R:R,INPUT_DATA!$A:$A,$B85,INPUT_DATA!$C:$C,"D"))</f>
        <v/>
      </c>
      <c r="BS85" s="760" t="str">
        <f>IF($B85=0,"",SUMIFS(INPUT_DATA!S:S,INPUT_DATA!$A:$A,$B85,INPUT_DATA!$C:$C,"D"))</f>
        <v/>
      </c>
      <c r="BT85" s="312" t="str">
        <f>IF($B85=0,"",SUMIFS(INPUT_DATA!T:T,INPUT_DATA!$A:$A,$B85,INPUT_DATA!$C:$C,"D"))</f>
        <v/>
      </c>
      <c r="BU85" s="312" t="str">
        <f>IF($B85=0,"",SUMIFS(INPUT_DATA!U:U,INPUT_DATA!$A:$A,$B85,INPUT_DATA!$C:$C,"D"))</f>
        <v/>
      </c>
      <c r="BV85" s="312" t="str">
        <f>IF($B85=0,"",SUMIFS(INPUT_DATA!V:V,INPUT_DATA!$A:$A,$B85,INPUT_DATA!$C:$C,"D"))</f>
        <v/>
      </c>
      <c r="BW85" s="312" t="str">
        <f>IF($B85=0,"",SUMIFS(INPUT_DATA!W:W,INPUT_DATA!$A:$A,$B85,INPUT_DATA!$C:$C,"D"))</f>
        <v/>
      </c>
      <c r="BX85" s="312" t="str">
        <f>IF($B85=0,"",SUMIFS(INPUT_DATA!X:X,INPUT_DATA!$A:$A,$B85,INPUT_DATA!$C:$C,"D"))</f>
        <v/>
      </c>
      <c r="BY85" s="312" t="str">
        <f>IF($B85=0,"",SUMIFS(INPUT_DATA!Y:Y,INPUT_DATA!$A:$A,$B85,INPUT_DATA!$C:$C,"D"))</f>
        <v/>
      </c>
      <c r="BZ85" s="353" t="str">
        <f>IF($B85=0,"",SUMIFS(INPUT_DATA!Z:Z,INPUT_DATA!$A:$A,$B85,INPUT_DATA!$C:$C,"D"))</f>
        <v/>
      </c>
      <c r="CA85" s="353" t="str">
        <f>IF($B85=0,"",SUMIFS(INPUT_DATA!AA:AA,INPUT_DATA!$A:$A,$B85,INPUT_DATA!$C:$C,"D"))</f>
        <v/>
      </c>
      <c r="CB85" s="353" t="str">
        <f>IF($B85=0,"",SUMIFS(INPUT_DATA!AB:AB,INPUT_DATA!$A:$A,$B85,INPUT_DATA!$C:$C,"D"))</f>
        <v/>
      </c>
      <c r="CC85" s="312" t="str">
        <f>IF($B85=0,"",SUMIFS(INPUT_DATA!AC:AC,INPUT_DATA!$A:$A,$B85,INPUT_DATA!$C:$C,"D"))</f>
        <v/>
      </c>
      <c r="CD85" s="312" t="str">
        <f>IF($B85=0,"",SUMIFS(INPUT_DATA!AD:AD,INPUT_DATA!$A:$A,$B85,INPUT_DATA!$C:$C,"D"))</f>
        <v/>
      </c>
      <c r="CE85" s="312" t="str">
        <f>IF($B85=0,"",SUMIFS(INPUT_DATA!AE:AE,INPUT_DATA!$A:$A,$B85,INPUT_DATA!$C:$C,"D"))</f>
        <v/>
      </c>
      <c r="CF85" s="353" t="str">
        <f>IF($B85=0,"",SUMIFS(INPUT_DATA!AF:AF,INPUT_DATA!$A:$A,$B85,INPUT_DATA!$C:$C,"D"))</f>
        <v/>
      </c>
      <c r="CG85" s="353" t="str">
        <f>IF($B85=0,"",SUMIFS(INPUT_DATA!AG:AG,INPUT_DATA!$A:$A,$B85,INPUT_DATA!$C:$C,"D"))</f>
        <v/>
      </c>
      <c r="CH85" s="353" t="str">
        <f>IF($B85=0,"",SUMIFS(INPUT_DATA!AH:AH,INPUT_DATA!$A:$A,$B85,INPUT_DATA!$C:$C,"D"))</f>
        <v/>
      </c>
      <c r="CI85" s="153" t="str">
        <f>IF($B85=0,"",SUMIFS(INPUT_DATA!AI:AI,INPUT_DATA!$A:$A,$B85,INPUT_DATA!$C:$C,"D"))</f>
        <v/>
      </c>
      <c r="CJ85" s="153" t="str">
        <f>IF($B85=0,"",SUMIFS(INPUT_DATA!AJ:AJ,INPUT_DATA!$A:$A,$B85,INPUT_DATA!$C:$C,"D"))</f>
        <v/>
      </c>
      <c r="CK85" s="153" t="str">
        <f>IF($B85=0,"",SUMIFS(INPUT_DATA!AK:AK,INPUT_DATA!$A:$A,$B85,INPUT_DATA!$C:$C,"D"))</f>
        <v/>
      </c>
      <c r="CL85" s="153" t="str">
        <f>IF($B85=0,"",SUMIFS(INPUT_DATA!AL:AL,INPUT_DATA!$A:$A,$B85,INPUT_DATA!$C:$C,"D"))</f>
        <v/>
      </c>
      <c r="CM85" s="153" t="str">
        <f>IF($B85=0,"",SUMIFS(INPUT_DATA!AM:AM,INPUT_DATA!$A:$A,$B85,INPUT_DATA!$C:$C,"D"))</f>
        <v/>
      </c>
      <c r="CN85" s="153" t="str">
        <f>IF($B85=0,"",SUMIFS(INPUT_DATA!AN:AN,INPUT_DATA!$A:$A,$B85,INPUT_DATA!$C:$C,"D"))</f>
        <v/>
      </c>
      <c r="CO85" s="153" t="str">
        <f>IF($B85=0,"",SUMIFS(INPUT_DATA!AO:AO,INPUT_DATA!$A:$A,$B85,INPUT_DATA!$C:$C,"D"))</f>
        <v/>
      </c>
      <c r="CP85" s="153" t="str">
        <f>IF($B85=0,"",SUMIFS(INPUT_DATA!AP:AP,INPUT_DATA!$A:$A,$B85,INPUT_DATA!$C:$C,"D"))</f>
        <v/>
      </c>
      <c r="CQ85" s="153" t="str">
        <f>IF($B85=0,"",SUMIFS(INPUT_DATA!AQ:AQ,INPUT_DATA!$A:$A,$B85,INPUT_DATA!$C:$C,"D"))</f>
        <v/>
      </c>
      <c r="CR85" s="750" t="str">
        <f t="shared" si="32"/>
        <v/>
      </c>
      <c r="CS85" s="750" t="str">
        <f t="shared" si="33"/>
        <v/>
      </c>
      <c r="CT85" s="750" t="str">
        <f t="shared" si="34"/>
        <v/>
      </c>
      <c r="CU85" s="739" t="str">
        <f>IF($B85=0,"",SUMIFS(INPUT_DATA!AR:AR,INPUT_DATA!$A:$A,$B85,INPUT_DATA!$C:$C,"D"))</f>
        <v/>
      </c>
      <c r="CV85" s="739" t="str">
        <f>IF($B85=0,"",SUMIFS(INPUT_DATA!AS:AS,INPUT_DATA!$A:$A,$B85,INPUT_DATA!$C:$C,"D"))</f>
        <v/>
      </c>
      <c r="CW85" s="739" t="str">
        <f>IF($B85=0,"",SUMIFS(INPUT_DATA!AT:AT,INPUT_DATA!$A:$A,$B85,INPUT_DATA!$C:$C,"D"))</f>
        <v/>
      </c>
      <c r="CX85" s="739" t="str">
        <f t="shared" si="35"/>
        <v/>
      </c>
      <c r="CY85" s="750" t="str">
        <f t="shared" si="36"/>
        <v/>
      </c>
      <c r="CZ85" s="761" t="str">
        <f t="shared" si="37"/>
        <v/>
      </c>
      <c r="DA85" s="150"/>
    </row>
    <row r="86" spans="1:105" ht="13" x14ac:dyDescent="0.25">
      <c r="A86" s="172">
        <f t="shared" si="40"/>
        <v>-39</v>
      </c>
      <c r="B86" s="733">
        <f>INPUT_DATA!BQ73</f>
        <v>0</v>
      </c>
      <c r="C86" s="738" t="str">
        <f>IF($B86=0,"",SUMIFS(INPUT_DATA!D:D,INPUT_DATA!$A:$A,$B86,INPUT_DATA!$C:$C,"S"))</f>
        <v/>
      </c>
      <c r="D86" s="739" t="str">
        <f>IF($B86=0,"",SUMIFS(INPUT_DATA!E:E,INPUT_DATA!$A:$A,$B86,INPUT_DATA!$C:$C,"S"))</f>
        <v/>
      </c>
      <c r="E86" s="740" t="str">
        <f>IF($B86=0,"",SUMIFS(INPUT_DATA!F:F,INPUT_DATA!$A:$A,$B86,INPUT_DATA!$C:$C,"S"))</f>
        <v/>
      </c>
      <c r="F86" s="740" t="str">
        <f>IF($B86=0,"",SUMIFS(INPUT_DATA!G:G,INPUT_DATA!$A:$A,$B86,INPUT_DATA!$C:$C,"S"))</f>
        <v/>
      </c>
      <c r="G86" s="740" t="str">
        <f>IF($B86=0,"",SUMIFS(INPUT_DATA!H:H,INPUT_DATA!$A:$A,$B86,INPUT_DATA!$C:$C,"S"))</f>
        <v/>
      </c>
      <c r="H86" s="740" t="str">
        <f>IF($B86=0,"",SUMIFS(INPUT_DATA!I:I,INPUT_DATA!$A:$A,$B86,INPUT_DATA!$C:$C,"S"))</f>
        <v/>
      </c>
      <c r="I86" s="740" t="str">
        <f>IF($B86=0,"",SUMIFS(INPUT_DATA!J:J,INPUT_DATA!$A:$A,$B86,INPUT_DATA!$C:$C,"S"))</f>
        <v/>
      </c>
      <c r="J86" s="740" t="str">
        <f>IF($B86=0,"",SUMIFS(INPUT_DATA!K:K,INPUT_DATA!$A:$A,$B86,INPUT_DATA!$C:$C,"S"))</f>
        <v/>
      </c>
      <c r="K86" s="740" t="str">
        <f>IF($B86=0,"",SUMIFS(INPUT_DATA!L:L,INPUT_DATA!$A:$A,$B86,INPUT_DATA!$C:$C,"S"))</f>
        <v/>
      </c>
      <c r="L86" s="740" t="str">
        <f>IF($B86=0,"",SUMIFS(INPUT_DATA!M:M,INPUT_DATA!$A:$A,$B86,INPUT_DATA!$C:$C,"S"))</f>
        <v/>
      </c>
      <c r="M86" s="740" t="str">
        <f>IF($B86=0,"",SUMIFS(INPUT_DATA!N:N,INPUT_DATA!$A:$A,$B86,INPUT_DATA!$C:$C,"S"))</f>
        <v/>
      </c>
      <c r="N86" s="740" t="str">
        <f>IF($B86=0,"",SUMIFS(INPUT_DATA!O:O,INPUT_DATA!$A:$A,$B86,INPUT_DATA!$C:$C,"S"))</f>
        <v/>
      </c>
      <c r="O86" s="741" t="str">
        <f t="shared" si="38"/>
        <v/>
      </c>
      <c r="P86" s="742" t="str">
        <f>IF($B86=0,"",SUMIFS(INPUT_DATA!P:P,INPUT_DATA!$A:$A,$B86,INPUT_DATA!$C:$C,"S"))</f>
        <v/>
      </c>
      <c r="Q86" s="742" t="str">
        <f t="shared" si="39"/>
        <v/>
      </c>
      <c r="R86" s="748" t="str">
        <f>IF($B86=0,"",SUMIFS(INPUT_DATA!Q:Q,INPUT_DATA!$A:$A,$B86,INPUT_DATA!$C:$C,"S"))</f>
        <v/>
      </c>
      <c r="S86" s="748" t="str">
        <f>IF($B86=0,"",SUMIFS(INPUT_DATA!R:R,INPUT_DATA!$A:$A,$B86,INPUT_DATA!$C:$C,"S"))</f>
        <v/>
      </c>
      <c r="T86" s="748" t="str">
        <f>IF($B86=0,"",SUMIFS(INPUT_DATA!S:S,INPUT_DATA!$A:$A,$B86,INPUT_DATA!$C:$C,"S"))</f>
        <v/>
      </c>
      <c r="U86" s="313" t="str">
        <f>IF($B86=0,"",SUMIFS(INPUT_DATA!T:T,INPUT_DATA!$A:$A,$B86,INPUT_DATA!$C:$C,"S"))</f>
        <v/>
      </c>
      <c r="V86" s="313" t="str">
        <f>IF($B86=0,"",SUMIFS(INPUT_DATA!U:U,INPUT_DATA!$A:$A,$B86,INPUT_DATA!$C:$C,"S"))</f>
        <v/>
      </c>
      <c r="W86" s="313" t="str">
        <f>IF($B86=0,"",SUMIFS(INPUT_DATA!V:V,INPUT_DATA!$A:$A,$B86,INPUT_DATA!$C:$C,"S"))</f>
        <v/>
      </c>
      <c r="X86" s="313" t="str">
        <f>IF($B86=0,"",SUMIFS(INPUT_DATA!W:W,INPUT_DATA!$A:$A,$B86,INPUT_DATA!$C:$C,"S"))</f>
        <v/>
      </c>
      <c r="Y86" s="313" t="str">
        <f>IF($B86=0,"",SUMIFS(INPUT_DATA!X:X,INPUT_DATA!$A:$A,$B86,INPUT_DATA!$C:$C,"S"))</f>
        <v/>
      </c>
      <c r="Z86" s="313" t="str">
        <f>IF($B86=0,"",SUMIFS(INPUT_DATA!Y:Y,INPUT_DATA!$A:$A,$B86,INPUT_DATA!$C:$C,"S"))</f>
        <v/>
      </c>
      <c r="AA86" s="313" t="str">
        <f>IF($B86=0,"",SUMIFS(INPUT_DATA!Z:Z,INPUT_DATA!$A:$A,$B86,INPUT_DATA!$C:$C,"S"))</f>
        <v/>
      </c>
      <c r="AB86" s="313" t="str">
        <f>IF($B86=0,"",SUMIFS(INPUT_DATA!AA:AA,INPUT_DATA!$A:$A,$B86,INPUT_DATA!$C:$C,"S"))</f>
        <v/>
      </c>
      <c r="AC86" s="313" t="str">
        <f>IF($B86=0,"",SUMIFS(INPUT_DATA!AB:AB,INPUT_DATA!$A:$A,$B86,INPUT_DATA!$C:$C,"S"))</f>
        <v/>
      </c>
      <c r="AD86" s="313" t="str">
        <f>IF($B86=0,"",SUMIFS(INPUT_DATA!AC:AC,INPUT_DATA!$A:$A,$B86,INPUT_DATA!$C:$C,"S"))</f>
        <v/>
      </c>
      <c r="AE86" s="313" t="str">
        <f>IF($B86=0,"",SUMIFS(INPUT_DATA!AD:AD,INPUT_DATA!$A:$A,$B86,INPUT_DATA!$C:$C,"S"))</f>
        <v/>
      </c>
      <c r="AF86" s="313" t="str">
        <f>IF($B86=0,"",SUMIFS(INPUT_DATA!AE:AE,INPUT_DATA!$A:$A,$B86,INPUT_DATA!$C:$C,"S"))</f>
        <v/>
      </c>
      <c r="AG86" s="313" t="str">
        <f>IF($B86=0,"",SUMIFS(INPUT_DATA!AF:AF,INPUT_DATA!$A:$A,$B86,INPUT_DATA!$C:$C,"S"))</f>
        <v/>
      </c>
      <c r="AH86" s="313" t="str">
        <f>IF($B86=0,"",SUMIFS(INPUT_DATA!AG:AG,INPUT_DATA!$A:$A,$B86,INPUT_DATA!$C:$C,"S"))</f>
        <v/>
      </c>
      <c r="AI86" s="313" t="str">
        <f>IF($B86=0,"",SUMIFS(INPUT_DATA!AH:AH,INPUT_DATA!$A:$A,$B86,INPUT_DATA!$C:$C,"S"))</f>
        <v/>
      </c>
      <c r="AJ86" s="313" t="str">
        <f>IF($B86=0,"",SUMIFS(INPUT_DATA!AI:AI,INPUT_DATA!$A:$A,$B86,INPUT_DATA!$C:$C,"S"))</f>
        <v/>
      </c>
      <c r="AK86" s="313" t="str">
        <f>IF($B86=0,"",SUMIFS(INPUT_DATA!AJ:AJ,INPUT_DATA!$A:$A,$B86,INPUT_DATA!$C:$C,"S"))</f>
        <v/>
      </c>
      <c r="AL86" s="313" t="str">
        <f>IF($B86=0,"",SUMIFS(INPUT_DATA!AK:AK,INPUT_DATA!$A:$A,$B86,INPUT_DATA!$C:$C,"S"))</f>
        <v/>
      </c>
      <c r="AM86" s="313" t="str">
        <f>IF($B86=0,"",SUMIFS(INPUT_DATA!AL:AL,INPUT_DATA!$A:$A,$B86,INPUT_DATA!$C:$C,"S"))</f>
        <v/>
      </c>
      <c r="AN86" s="313" t="str">
        <f>IF($B86=0,"",SUMIFS(INPUT_DATA!AM:AM,INPUT_DATA!$A:$A,$B86,INPUT_DATA!$C:$C,"S"))</f>
        <v/>
      </c>
      <c r="AO86" s="313" t="str">
        <f>IF($B86=0,"",SUMIFS(INPUT_DATA!AN:AN,INPUT_DATA!$A:$A,$B86,INPUT_DATA!$C:$C,"S"))</f>
        <v/>
      </c>
      <c r="AP86" s="313" t="str">
        <f>IF($B86=0,"",SUMIFS(INPUT_DATA!AO:AO,INPUT_DATA!$A:$A,$B86,INPUT_DATA!$C:$C,"S"))</f>
        <v/>
      </c>
      <c r="AQ86" s="313" t="str">
        <f>IF($B86=0,"",SUMIFS(INPUT_DATA!AP:AP,INPUT_DATA!$A:$A,$B86,INPUT_DATA!$C:$C,"S"))</f>
        <v/>
      </c>
      <c r="AR86" s="313" t="str">
        <f>IF($B86=0,"",SUMIFS(INPUT_DATA!AQ:AQ,INPUT_DATA!$A:$A,$B86,INPUT_DATA!$C:$C,"S"))</f>
        <v/>
      </c>
      <c r="AS86" s="749" t="str">
        <f t="shared" si="29"/>
        <v/>
      </c>
      <c r="AT86" s="750" t="str">
        <f t="shared" si="30"/>
        <v/>
      </c>
      <c r="AU86" s="751" t="str">
        <f t="shared" si="31"/>
        <v/>
      </c>
      <c r="AV86" s="749" t="str">
        <f>IF($B86=0,"",SUMIFS(INPUT_DATA!AR:AR,INPUT_DATA!$A:$A,$B86,INPUT_DATA!$C:$C,"S"))</f>
        <v/>
      </c>
      <c r="AW86" s="750" t="str">
        <f>IF($B86=0,"",SUMIFS(INPUT_DATA!AS:AS,INPUT_DATA!$A:$A,$B86,INPUT_DATA!$C:$C,"S"))</f>
        <v/>
      </c>
      <c r="AX86" s="751" t="str">
        <f>IF($B86=0,"",SUMIFS(INPUT_DATA!AT:AT,INPUT_DATA!$A:$A,$B86,INPUT_DATA!$C:$C,"S"))</f>
        <v/>
      </c>
      <c r="AY86" s="749" t="str">
        <f t="shared" si="41"/>
        <v/>
      </c>
      <c r="AZ86" s="750" t="str">
        <f t="shared" si="42"/>
        <v/>
      </c>
      <c r="BA86" s="751" t="str">
        <f t="shared" si="43"/>
        <v/>
      </c>
      <c r="BB86" s="150"/>
      <c r="BC86" s="738" t="str">
        <f>IF($B86=0,"",SUMIFS(INPUT_DATA!D:D,INPUT_DATA!$A:$A,$B86,INPUT_DATA!$C:$C,"D"))</f>
        <v/>
      </c>
      <c r="BD86" s="312" t="str">
        <f>IF($B86=0,"",SUMIFS(INPUT_DATA!F:F,INPUT_DATA!$A:$A,$B86,INPUT_DATA!$C:$C,"D"))</f>
        <v/>
      </c>
      <c r="BE86" s="312" t="str">
        <f>IF($B86=0,"",SUMIFS(INPUT_DATA!G:G,INPUT_DATA!$A:$A,$B86,INPUT_DATA!$C:$C,"D"))</f>
        <v/>
      </c>
      <c r="BF86" s="312" t="str">
        <f>IF($B86=0,"",SUMIFS(INPUT_DATA!H:H,INPUT_DATA!$A:$A,$B86,INPUT_DATA!$C:$C,"D"))</f>
        <v/>
      </c>
      <c r="BG86" s="312" t="str">
        <f>IF($B86=0,"",SUMIFS(INPUT_DATA!I:I,INPUT_DATA!$A:$A,$B86,INPUT_DATA!$C:$C,"D"))</f>
        <v/>
      </c>
      <c r="BH86" s="312" t="str">
        <f>IF($B86=0,"",SUMIFS(INPUT_DATA!J:J,INPUT_DATA!$A:$A,$B86,INPUT_DATA!$C:$C,"D"))</f>
        <v/>
      </c>
      <c r="BI86" s="312" t="str">
        <f>IF($B86=0,"",SUMIFS(INPUT_DATA!K:K,INPUT_DATA!$A:$A,$B86,INPUT_DATA!$C:$C,"D"))</f>
        <v/>
      </c>
      <c r="BJ86" s="312" t="str">
        <f>IF($B86=0,"",SUMIFS(INPUT_DATA!L:L,INPUT_DATA!$A:$A,$B86,INPUT_DATA!$C:$C,"D"))</f>
        <v/>
      </c>
      <c r="BK86" s="312" t="str">
        <f>IF($B86=0,"",SUMIFS(INPUT_DATA!M:M,INPUT_DATA!$A:$A,$B86,INPUT_DATA!$C:$C,"D"))</f>
        <v/>
      </c>
      <c r="BL86" s="312" t="str">
        <f>IF($B86=0,"",SUMIFS(INPUT_DATA!N:N,INPUT_DATA!$A:$A,$B86,INPUT_DATA!$C:$C,"D"))</f>
        <v/>
      </c>
      <c r="BM86" s="312" t="str">
        <f>IF($B86=0,"",SUMIFS(INPUT_DATA!O:O,INPUT_DATA!$A:$A,$B86,INPUT_DATA!$C:$C,"D"))</f>
        <v/>
      </c>
      <c r="BN86" s="754" t="str">
        <f t="shared" si="44"/>
        <v/>
      </c>
      <c r="BO86" s="754" t="str">
        <f>IF($B86=0,"",SUMIFS(INPUT_DATA!O:O,INPUT_DATA!$A:$A,$B86,INPUT_DATA!$C:$C,"D"))</f>
        <v/>
      </c>
      <c r="BP86" s="754" t="str">
        <f t="shared" si="45"/>
        <v/>
      </c>
      <c r="BQ86" s="738" t="str">
        <f>IF($B86=0,"",SUMIFS(INPUT_DATA!Q:Q,INPUT_DATA!$A:$A,$B86,INPUT_DATA!$C:$C,"D"))</f>
        <v/>
      </c>
      <c r="BR86" s="760" t="str">
        <f>IF($B86=0,"",SUMIFS(INPUT_DATA!R:R,INPUT_DATA!$A:$A,$B86,INPUT_DATA!$C:$C,"D"))</f>
        <v/>
      </c>
      <c r="BS86" s="760" t="str">
        <f>IF($B86=0,"",SUMIFS(INPUT_DATA!S:S,INPUT_DATA!$A:$A,$B86,INPUT_DATA!$C:$C,"D"))</f>
        <v/>
      </c>
      <c r="BT86" s="312" t="str">
        <f>IF($B86=0,"",SUMIFS(INPUT_DATA!T:T,INPUT_DATA!$A:$A,$B86,INPUT_DATA!$C:$C,"D"))</f>
        <v/>
      </c>
      <c r="BU86" s="312" t="str">
        <f>IF($B86=0,"",SUMIFS(INPUT_DATA!U:U,INPUT_DATA!$A:$A,$B86,INPUT_DATA!$C:$C,"D"))</f>
        <v/>
      </c>
      <c r="BV86" s="312" t="str">
        <f>IF($B86=0,"",SUMIFS(INPUT_DATA!V:V,INPUT_DATA!$A:$A,$B86,INPUT_DATA!$C:$C,"D"))</f>
        <v/>
      </c>
      <c r="BW86" s="312" t="str">
        <f>IF($B86=0,"",SUMIFS(INPUT_DATA!W:W,INPUT_DATA!$A:$A,$B86,INPUT_DATA!$C:$C,"D"))</f>
        <v/>
      </c>
      <c r="BX86" s="312" t="str">
        <f>IF($B86=0,"",SUMIFS(INPUT_DATA!X:X,INPUT_DATA!$A:$A,$B86,INPUT_DATA!$C:$C,"D"))</f>
        <v/>
      </c>
      <c r="BY86" s="312" t="str">
        <f>IF($B86=0,"",SUMIFS(INPUT_DATA!Y:Y,INPUT_DATA!$A:$A,$B86,INPUT_DATA!$C:$C,"D"))</f>
        <v/>
      </c>
      <c r="BZ86" s="353" t="str">
        <f>IF($B86=0,"",SUMIFS(INPUT_DATA!Z:Z,INPUT_DATA!$A:$A,$B86,INPUT_DATA!$C:$C,"D"))</f>
        <v/>
      </c>
      <c r="CA86" s="353" t="str">
        <f>IF($B86=0,"",SUMIFS(INPUT_DATA!AA:AA,INPUT_DATA!$A:$A,$B86,INPUT_DATA!$C:$C,"D"))</f>
        <v/>
      </c>
      <c r="CB86" s="353" t="str">
        <f>IF($B86=0,"",SUMIFS(INPUT_DATA!AB:AB,INPUT_DATA!$A:$A,$B86,INPUT_DATA!$C:$C,"D"))</f>
        <v/>
      </c>
      <c r="CC86" s="312" t="str">
        <f>IF($B86=0,"",SUMIFS(INPUT_DATA!AC:AC,INPUT_DATA!$A:$A,$B86,INPUT_DATA!$C:$C,"D"))</f>
        <v/>
      </c>
      <c r="CD86" s="312" t="str">
        <f>IF($B86=0,"",SUMIFS(INPUT_DATA!AD:AD,INPUT_DATA!$A:$A,$B86,INPUT_DATA!$C:$C,"D"))</f>
        <v/>
      </c>
      <c r="CE86" s="312" t="str">
        <f>IF($B86=0,"",SUMIFS(INPUT_DATA!AE:AE,INPUT_DATA!$A:$A,$B86,INPUT_DATA!$C:$C,"D"))</f>
        <v/>
      </c>
      <c r="CF86" s="353" t="str">
        <f>IF($B86=0,"",SUMIFS(INPUT_DATA!AF:AF,INPUT_DATA!$A:$A,$B86,INPUT_DATA!$C:$C,"D"))</f>
        <v/>
      </c>
      <c r="CG86" s="353" t="str">
        <f>IF($B86=0,"",SUMIFS(INPUT_DATA!AG:AG,INPUT_DATA!$A:$A,$B86,INPUT_DATA!$C:$C,"D"))</f>
        <v/>
      </c>
      <c r="CH86" s="353" t="str">
        <f>IF($B86=0,"",SUMIFS(INPUT_DATA!AH:AH,INPUT_DATA!$A:$A,$B86,INPUT_DATA!$C:$C,"D"))</f>
        <v/>
      </c>
      <c r="CI86" s="153" t="str">
        <f>IF($B86=0,"",SUMIFS(INPUT_DATA!AI:AI,INPUT_DATA!$A:$A,$B86,INPUT_DATA!$C:$C,"D"))</f>
        <v/>
      </c>
      <c r="CJ86" s="153" t="str">
        <f>IF($B86=0,"",SUMIFS(INPUT_DATA!AJ:AJ,INPUT_DATA!$A:$A,$B86,INPUT_DATA!$C:$C,"D"))</f>
        <v/>
      </c>
      <c r="CK86" s="153" t="str">
        <f>IF($B86=0,"",SUMIFS(INPUT_DATA!AK:AK,INPUT_DATA!$A:$A,$B86,INPUT_DATA!$C:$C,"D"))</f>
        <v/>
      </c>
      <c r="CL86" s="153" t="str">
        <f>IF($B86=0,"",SUMIFS(INPUT_DATA!AL:AL,INPUT_DATA!$A:$A,$B86,INPUT_DATA!$C:$C,"D"))</f>
        <v/>
      </c>
      <c r="CM86" s="153" t="str">
        <f>IF($B86=0,"",SUMIFS(INPUT_DATA!AM:AM,INPUT_DATA!$A:$A,$B86,INPUT_DATA!$C:$C,"D"))</f>
        <v/>
      </c>
      <c r="CN86" s="153" t="str">
        <f>IF($B86=0,"",SUMIFS(INPUT_DATA!AN:AN,INPUT_DATA!$A:$A,$B86,INPUT_DATA!$C:$C,"D"))</f>
        <v/>
      </c>
      <c r="CO86" s="153" t="str">
        <f>IF($B86=0,"",SUMIFS(INPUT_DATA!AO:AO,INPUT_DATA!$A:$A,$B86,INPUT_DATA!$C:$C,"D"))</f>
        <v/>
      </c>
      <c r="CP86" s="153" t="str">
        <f>IF($B86=0,"",SUMIFS(INPUT_DATA!AP:AP,INPUT_DATA!$A:$A,$B86,INPUT_DATA!$C:$C,"D"))</f>
        <v/>
      </c>
      <c r="CQ86" s="153" t="str">
        <f>IF($B86=0,"",SUMIFS(INPUT_DATA!AQ:AQ,INPUT_DATA!$A:$A,$B86,INPUT_DATA!$C:$C,"D"))</f>
        <v/>
      </c>
      <c r="CR86" s="750" t="str">
        <f t="shared" si="32"/>
        <v/>
      </c>
      <c r="CS86" s="750" t="str">
        <f t="shared" si="33"/>
        <v/>
      </c>
      <c r="CT86" s="750" t="str">
        <f t="shared" si="34"/>
        <v/>
      </c>
      <c r="CU86" s="739" t="str">
        <f>IF($B86=0,"",SUMIFS(INPUT_DATA!AR:AR,INPUT_DATA!$A:$A,$B86,INPUT_DATA!$C:$C,"D"))</f>
        <v/>
      </c>
      <c r="CV86" s="739" t="str">
        <f>IF($B86=0,"",SUMIFS(INPUT_DATA!AS:AS,INPUT_DATA!$A:$A,$B86,INPUT_DATA!$C:$C,"D"))</f>
        <v/>
      </c>
      <c r="CW86" s="739" t="str">
        <f>IF($B86=0,"",SUMIFS(INPUT_DATA!AT:AT,INPUT_DATA!$A:$A,$B86,INPUT_DATA!$C:$C,"D"))</f>
        <v/>
      </c>
      <c r="CX86" s="739" t="str">
        <f t="shared" si="35"/>
        <v/>
      </c>
      <c r="CY86" s="750" t="str">
        <f t="shared" si="36"/>
        <v/>
      </c>
      <c r="CZ86" s="761" t="str">
        <f t="shared" si="37"/>
        <v/>
      </c>
      <c r="DA86" s="150"/>
    </row>
    <row r="87" spans="1:105" ht="13.5" thickBot="1" x14ac:dyDescent="0.3">
      <c r="A87" s="172">
        <f t="shared" si="40"/>
        <v>-40</v>
      </c>
      <c r="B87" s="734">
        <f>INPUT_DATA!BQ74</f>
        <v>0</v>
      </c>
      <c r="C87" s="743" t="str">
        <f>IF($B87=0,"",SUMIFS(INPUT_DATA!D:D,INPUT_DATA!$A:$A,$B87,INPUT_DATA!$C:$C,"S"))</f>
        <v/>
      </c>
      <c r="D87" s="744" t="str">
        <f>IF($B87=0,"",SUMIFS(INPUT_DATA!E:E,INPUT_DATA!$A:$A,$B87,INPUT_DATA!$C:$C,"S"))</f>
        <v/>
      </c>
      <c r="E87" s="745" t="str">
        <f>IF($B87=0,"",SUMIFS(INPUT_DATA!F:F,INPUT_DATA!$A:$A,$B87,INPUT_DATA!$C:$C,"S"))</f>
        <v/>
      </c>
      <c r="F87" s="745" t="str">
        <f>IF($B87=0,"",SUMIFS(INPUT_DATA!G:G,INPUT_DATA!$A:$A,$B87,INPUT_DATA!$C:$C,"S"))</f>
        <v/>
      </c>
      <c r="G87" s="745" t="str">
        <f>IF($B87=0,"",SUMIFS(INPUT_DATA!H:H,INPUT_DATA!$A:$A,$B87,INPUT_DATA!$C:$C,"S"))</f>
        <v/>
      </c>
      <c r="H87" s="745" t="str">
        <f>IF($B87=0,"",SUMIFS(INPUT_DATA!I:I,INPUT_DATA!$A:$A,$B87,INPUT_DATA!$C:$C,"S"))</f>
        <v/>
      </c>
      <c r="I87" s="745" t="str">
        <f>IF($B87=0,"",SUMIFS(INPUT_DATA!J:J,INPUT_DATA!$A:$A,$B87,INPUT_DATA!$C:$C,"S"))</f>
        <v/>
      </c>
      <c r="J87" s="745" t="str">
        <f>IF($B87=0,"",SUMIFS(INPUT_DATA!K:K,INPUT_DATA!$A:$A,$B87,INPUT_DATA!$C:$C,"S"))</f>
        <v/>
      </c>
      <c r="K87" s="745" t="str">
        <f>IF($B87=0,"",SUMIFS(INPUT_DATA!L:L,INPUT_DATA!$A:$A,$B87,INPUT_DATA!$C:$C,"S"))</f>
        <v/>
      </c>
      <c r="L87" s="745" t="str">
        <f>IF($B87=0,"",SUMIFS(INPUT_DATA!M:M,INPUT_DATA!$A:$A,$B87,INPUT_DATA!$C:$C,"S"))</f>
        <v/>
      </c>
      <c r="M87" s="745" t="str">
        <f>IF($B87=0,"",SUMIFS(INPUT_DATA!N:N,INPUT_DATA!$A:$A,$B87,INPUT_DATA!$C:$C,"S"))</f>
        <v/>
      </c>
      <c r="N87" s="745" t="str">
        <f>IF($B87=0,"",SUMIFS(INPUT_DATA!O:O,INPUT_DATA!$A:$A,$B87,INPUT_DATA!$C:$C,"S"))</f>
        <v/>
      </c>
      <c r="O87" s="746" t="str">
        <f t="shared" si="38"/>
        <v/>
      </c>
      <c r="P87" s="747" t="str">
        <f>IF($B87=0,"",SUMIFS(INPUT_DATA!P:P,INPUT_DATA!$A:$A,$B87,INPUT_DATA!$C:$C,"S"))</f>
        <v/>
      </c>
      <c r="Q87" s="747" t="str">
        <f t="shared" si="39"/>
        <v/>
      </c>
      <c r="R87" s="748" t="str">
        <f>IF($B87=0,"",SUMIFS(INPUT_DATA!Q:Q,INPUT_DATA!$A:$A,$B87,INPUT_DATA!$C:$C,"S"))</f>
        <v/>
      </c>
      <c r="S87" s="748" t="str">
        <f>IF($B87=0,"",SUMIFS(INPUT_DATA!R:R,INPUT_DATA!$A:$A,$B87,INPUT_DATA!$C:$C,"S"))</f>
        <v/>
      </c>
      <c r="T87" s="748" t="str">
        <f>IF($B87=0,"",SUMIFS(INPUT_DATA!S:S,INPUT_DATA!$A:$A,$B87,INPUT_DATA!$C:$C,"S"))</f>
        <v/>
      </c>
      <c r="U87" s="313" t="str">
        <f>IF($B87=0,"",SUMIFS(INPUT_DATA!T:T,INPUT_DATA!$A:$A,$B87,INPUT_DATA!$C:$C,"S"))</f>
        <v/>
      </c>
      <c r="V87" s="313" t="str">
        <f>IF($B87=0,"",SUMIFS(INPUT_DATA!U:U,INPUT_DATA!$A:$A,$B87,INPUT_DATA!$C:$C,"S"))</f>
        <v/>
      </c>
      <c r="W87" s="313" t="str">
        <f>IF($B87=0,"",SUMIFS(INPUT_DATA!V:V,INPUT_DATA!$A:$A,$B87,INPUT_DATA!$C:$C,"S"))</f>
        <v/>
      </c>
      <c r="X87" s="313" t="str">
        <f>IF($B87=0,"",SUMIFS(INPUT_DATA!W:W,INPUT_DATA!$A:$A,$B87,INPUT_DATA!$C:$C,"S"))</f>
        <v/>
      </c>
      <c r="Y87" s="313" t="str">
        <f>IF($B87=0,"",SUMIFS(INPUT_DATA!X:X,INPUT_DATA!$A:$A,$B87,INPUT_DATA!$C:$C,"S"))</f>
        <v/>
      </c>
      <c r="Z87" s="313" t="str">
        <f>IF($B87=0,"",SUMIFS(INPUT_DATA!Y:Y,INPUT_DATA!$A:$A,$B87,INPUT_DATA!$C:$C,"S"))</f>
        <v/>
      </c>
      <c r="AA87" s="313" t="str">
        <f>IF($B87=0,"",SUMIFS(INPUT_DATA!Z:Z,INPUT_DATA!$A:$A,$B87,INPUT_DATA!$C:$C,"S"))</f>
        <v/>
      </c>
      <c r="AB87" s="313" t="str">
        <f>IF($B87=0,"",SUMIFS(INPUT_DATA!AA:AA,INPUT_DATA!$A:$A,$B87,INPUT_DATA!$C:$C,"S"))</f>
        <v/>
      </c>
      <c r="AC87" s="313" t="str">
        <f>IF($B87=0,"",SUMIFS(INPUT_DATA!AB:AB,INPUT_DATA!$A:$A,$B87,INPUT_DATA!$C:$C,"S"))</f>
        <v/>
      </c>
      <c r="AD87" s="313" t="str">
        <f>IF($B87=0,"",SUMIFS(INPUT_DATA!AC:AC,INPUT_DATA!$A:$A,$B87,INPUT_DATA!$C:$C,"S"))</f>
        <v/>
      </c>
      <c r="AE87" s="313" t="str">
        <f>IF($B87=0,"",SUMIFS(INPUT_DATA!AD:AD,INPUT_DATA!$A:$A,$B87,INPUT_DATA!$C:$C,"S"))</f>
        <v/>
      </c>
      <c r="AF87" s="313" t="str">
        <f>IF($B87=0,"",SUMIFS(INPUT_DATA!AE:AE,INPUT_DATA!$A:$A,$B87,INPUT_DATA!$C:$C,"S"))</f>
        <v/>
      </c>
      <c r="AG87" s="313" t="str">
        <f>IF($B87=0,"",SUMIFS(INPUT_DATA!AF:AF,INPUT_DATA!$A:$A,$B87,INPUT_DATA!$C:$C,"S"))</f>
        <v/>
      </c>
      <c r="AH87" s="313" t="str">
        <f>IF($B87=0,"",SUMIFS(INPUT_DATA!AG:AG,INPUT_DATA!$A:$A,$B87,INPUT_DATA!$C:$C,"S"))</f>
        <v/>
      </c>
      <c r="AI87" s="313" t="str">
        <f>IF($B87=0,"",SUMIFS(INPUT_DATA!AH:AH,INPUT_DATA!$A:$A,$B87,INPUT_DATA!$C:$C,"S"))</f>
        <v/>
      </c>
      <c r="AJ87" s="313" t="str">
        <f>IF($B87=0,"",SUMIFS(INPUT_DATA!AI:AI,INPUT_DATA!$A:$A,$B87,INPUT_DATA!$C:$C,"S"))</f>
        <v/>
      </c>
      <c r="AK87" s="313" t="str">
        <f>IF($B87=0,"",SUMIFS(INPUT_DATA!AJ:AJ,INPUT_DATA!$A:$A,$B87,INPUT_DATA!$C:$C,"S"))</f>
        <v/>
      </c>
      <c r="AL87" s="313" t="str">
        <f>IF($B87=0,"",SUMIFS(INPUT_DATA!AK:AK,INPUT_DATA!$A:$A,$B87,INPUT_DATA!$C:$C,"S"))</f>
        <v/>
      </c>
      <c r="AM87" s="313" t="str">
        <f>IF($B87=0,"",SUMIFS(INPUT_DATA!AL:AL,INPUT_DATA!$A:$A,$B87,INPUT_DATA!$C:$C,"S"))</f>
        <v/>
      </c>
      <c r="AN87" s="313" t="str">
        <f>IF($B87=0,"",SUMIFS(INPUT_DATA!AM:AM,INPUT_DATA!$A:$A,$B87,INPUT_DATA!$C:$C,"S"))</f>
        <v/>
      </c>
      <c r="AO87" s="313" t="str">
        <f>IF($B87=0,"",SUMIFS(INPUT_DATA!AN:AN,INPUT_DATA!$A:$A,$B87,INPUT_DATA!$C:$C,"S"))</f>
        <v/>
      </c>
      <c r="AP87" s="313" t="str">
        <f>IF($B87=0,"",SUMIFS(INPUT_DATA!AO:AO,INPUT_DATA!$A:$A,$B87,INPUT_DATA!$C:$C,"S"))</f>
        <v/>
      </c>
      <c r="AQ87" s="313" t="str">
        <f>IF($B87=0,"",SUMIFS(INPUT_DATA!AP:AP,INPUT_DATA!$A:$A,$B87,INPUT_DATA!$C:$C,"S"))</f>
        <v/>
      </c>
      <c r="AR87" s="313" t="str">
        <f>IF($B87=0,"",SUMIFS(INPUT_DATA!AQ:AQ,INPUT_DATA!$A:$A,$B87,INPUT_DATA!$C:$C,"S"))</f>
        <v/>
      </c>
      <c r="AS87" s="749" t="str">
        <f t="shared" ref="AS87" si="46">IF($B87=0,"",R87+U87-X87-AA87-AD87-AG87+AJ87-AM87-AP87)</f>
        <v/>
      </c>
      <c r="AT87" s="750" t="str">
        <f t="shared" ref="AT87" si="47">IF($B87=0,"",S87+V87-Y87-AB87-AE87-AH87+AK87-AN87-AQ87)</f>
        <v/>
      </c>
      <c r="AU87" s="751" t="str">
        <f t="shared" ref="AU87" si="48">IF($B87=0,"",T87+W87-Z87-AC87-AF87-AI87+AL87-AO87-AR87)</f>
        <v/>
      </c>
      <c r="AV87" s="749" t="str">
        <f>IF($B87=0,"",SUMIFS(INPUT_DATA!AR:AR,INPUT_DATA!$A:$A,$B87,INPUT_DATA!$C:$C,"S"))</f>
        <v/>
      </c>
      <c r="AW87" s="750" t="str">
        <f>IF($B87=0,"",SUMIFS(INPUT_DATA!AS:AS,INPUT_DATA!$A:$A,$B87,INPUT_DATA!$C:$C,"S"))</f>
        <v/>
      </c>
      <c r="AX87" s="751" t="str">
        <f>IF($B87=0,"",SUMIFS(INPUT_DATA!AT:AT,INPUT_DATA!$A:$A,$B87,INPUT_DATA!$C:$C,"S"))</f>
        <v/>
      </c>
      <c r="AY87" s="749" t="str">
        <f t="shared" si="41"/>
        <v/>
      </c>
      <c r="AZ87" s="750" t="str">
        <f t="shared" si="42"/>
        <v/>
      </c>
      <c r="BA87" s="751" t="str">
        <f t="shared" si="43"/>
        <v/>
      </c>
      <c r="BB87" s="150"/>
      <c r="BC87" s="738" t="str">
        <f>IF($B87=0,"",SUMIFS(INPUT_DATA!D:D,INPUT_DATA!$A:$A,$B87,INPUT_DATA!$C:$C,"D"))</f>
        <v/>
      </c>
      <c r="BD87" s="755" t="str">
        <f>IF($B87=0,"",SUMIFS(INPUT_DATA!F:F,INPUT_DATA!$A:$A,$B87,INPUT_DATA!$C:$C,"D"))</f>
        <v/>
      </c>
      <c r="BE87" s="756" t="str">
        <f>IF($B87=0,"",SUMIFS(INPUT_DATA!G:G,INPUT_DATA!$A:$A,$B87,INPUT_DATA!$C:$C,"D"))</f>
        <v/>
      </c>
      <c r="BF87" s="756" t="str">
        <f>IF($B87=0,"",SUMIFS(INPUT_DATA!H:H,INPUT_DATA!$A:$A,$B87,INPUT_DATA!$C:$C,"D"))</f>
        <v/>
      </c>
      <c r="BG87" s="756" t="str">
        <f>IF($B87=0,"",SUMIFS(INPUT_DATA!I:I,INPUT_DATA!$A:$A,$B87,INPUT_DATA!$C:$C,"D"))</f>
        <v/>
      </c>
      <c r="BH87" s="756" t="str">
        <f>IF($B87=0,"",SUMIFS(INPUT_DATA!J:J,INPUT_DATA!$A:$A,$B87,INPUT_DATA!$C:$C,"D"))</f>
        <v/>
      </c>
      <c r="BI87" s="756" t="str">
        <f>IF($B87=0,"",SUMIFS(INPUT_DATA!K:K,INPUT_DATA!$A:$A,$B87,INPUT_DATA!$C:$C,"D"))</f>
        <v/>
      </c>
      <c r="BJ87" s="756" t="str">
        <f>IF($B87=0,"",SUMIFS(INPUT_DATA!L:L,INPUT_DATA!$A:$A,$B87,INPUT_DATA!$C:$C,"D"))</f>
        <v/>
      </c>
      <c r="BK87" s="756" t="str">
        <f>IF($B87=0,"",SUMIFS(INPUT_DATA!M:M,INPUT_DATA!$A:$A,$B87,INPUT_DATA!$C:$C,"D"))</f>
        <v/>
      </c>
      <c r="BL87" s="756" t="str">
        <f>IF($B87=0,"",SUMIFS(INPUT_DATA!N:N,INPUT_DATA!$A:$A,$B87,INPUT_DATA!$C:$C,"D"))</f>
        <v/>
      </c>
      <c r="BM87" s="756" t="str">
        <f>IF($B87=0,"",SUMIFS(INPUT_DATA!O:O,INPUT_DATA!$A:$A,$B87,INPUT_DATA!$C:$C,"D"))</f>
        <v/>
      </c>
      <c r="BN87" s="757" t="str">
        <f t="shared" si="44"/>
        <v/>
      </c>
      <c r="BO87" s="757" t="str">
        <f>IF($B87=0,"",SUMIFS(INPUT_DATA!O:O,INPUT_DATA!$A:$A,$B87,INPUT_DATA!$C:$C,"D"))</f>
        <v/>
      </c>
      <c r="BP87" s="758" t="str">
        <f t="shared" si="45"/>
        <v/>
      </c>
      <c r="BQ87" s="738" t="str">
        <f>IF($B87=0,"",SUMIFS(INPUT_DATA!Q:Q,INPUT_DATA!$A:$A,$B87,INPUT_DATA!$C:$C,"D"))</f>
        <v/>
      </c>
      <c r="BR87" s="760" t="str">
        <f>IF($B87=0,"",SUMIFS(INPUT_DATA!R:R,INPUT_DATA!$A:$A,$B87,INPUT_DATA!$C:$C,"D"))</f>
        <v/>
      </c>
      <c r="BS87" s="760" t="str">
        <f>IF($B87=0,"",SUMIFS(INPUT_DATA!S:S,INPUT_DATA!$A:$A,$B87,INPUT_DATA!$C:$C,"D"))</f>
        <v/>
      </c>
      <c r="BT87" s="312" t="str">
        <f>IF($B87=0,"",SUMIFS(INPUT_DATA!T:T,INPUT_DATA!$A:$A,$B87,INPUT_DATA!$C:$C,"D"))</f>
        <v/>
      </c>
      <c r="BU87" s="312" t="str">
        <f>IF($B87=0,"",SUMIFS(INPUT_DATA!U:U,INPUT_DATA!$A:$A,$B87,INPUT_DATA!$C:$C,"D"))</f>
        <v/>
      </c>
      <c r="BV87" s="312" t="str">
        <f>IF($B87=0,"",SUMIFS(INPUT_DATA!V:V,INPUT_DATA!$A:$A,$B87,INPUT_DATA!$C:$C,"D"))</f>
        <v/>
      </c>
      <c r="BW87" s="312" t="str">
        <f>IF($B87=0,"",SUMIFS(INPUT_DATA!W:W,INPUT_DATA!$A:$A,$B87,INPUT_DATA!$C:$C,"D"))</f>
        <v/>
      </c>
      <c r="BX87" s="312" t="str">
        <f>IF($B87=0,"",SUMIFS(INPUT_DATA!X:X,INPUT_DATA!$A:$A,$B87,INPUT_DATA!$C:$C,"D"))</f>
        <v/>
      </c>
      <c r="BY87" s="312" t="str">
        <f>IF($B87=0,"",SUMIFS(INPUT_DATA!Y:Y,INPUT_DATA!$A:$A,$B87,INPUT_DATA!$C:$C,"D"))</f>
        <v/>
      </c>
      <c r="BZ87" s="353" t="str">
        <f>IF($B87=0,"",SUMIFS(INPUT_DATA!Z:Z,INPUT_DATA!$A:$A,$B87,INPUT_DATA!$C:$C,"D"))</f>
        <v/>
      </c>
      <c r="CA87" s="353" t="str">
        <f>IF($B87=0,"",SUMIFS(INPUT_DATA!AA:AA,INPUT_DATA!$A:$A,$B87,INPUT_DATA!$C:$C,"D"))</f>
        <v/>
      </c>
      <c r="CB87" s="353" t="str">
        <f>IF($B87=0,"",SUMIFS(INPUT_DATA!AB:AB,INPUT_DATA!$A:$A,$B87,INPUT_DATA!$C:$C,"D"))</f>
        <v/>
      </c>
      <c r="CC87" s="312" t="str">
        <f>IF($B87=0,"",SUMIFS(INPUT_DATA!AC:AC,INPUT_DATA!$A:$A,$B87,INPUT_DATA!$C:$C,"D"))</f>
        <v/>
      </c>
      <c r="CD87" s="312" t="str">
        <f>IF($B87=0,"",SUMIFS(INPUT_DATA!AD:AD,INPUT_DATA!$A:$A,$B87,INPUT_DATA!$C:$C,"D"))</f>
        <v/>
      </c>
      <c r="CE87" s="312" t="str">
        <f>IF($B87=0,"",SUMIFS(INPUT_DATA!AE:AE,INPUT_DATA!$A:$A,$B87,INPUT_DATA!$C:$C,"D"))</f>
        <v/>
      </c>
      <c r="CF87" s="353" t="str">
        <f>IF($B87=0,"",SUMIFS(INPUT_DATA!AF:AF,INPUT_DATA!$A:$A,$B87,INPUT_DATA!$C:$C,"D"))</f>
        <v/>
      </c>
      <c r="CG87" s="353" t="str">
        <f>IF($B87=0,"",SUMIFS(INPUT_DATA!AG:AG,INPUT_DATA!$A:$A,$B87,INPUT_DATA!$C:$C,"D"))</f>
        <v/>
      </c>
      <c r="CH87" s="353" t="str">
        <f>IF($B87=0,"",SUMIFS(INPUT_DATA!AH:AH,INPUT_DATA!$A:$A,$B87,INPUT_DATA!$C:$C,"D"))</f>
        <v/>
      </c>
      <c r="CI87" s="153" t="str">
        <f>IF($B87=0,"",SUMIFS(INPUT_DATA!AI:AI,INPUT_DATA!$A:$A,$B87,INPUT_DATA!$C:$C,"D"))</f>
        <v/>
      </c>
      <c r="CJ87" s="153" t="str">
        <f>IF($B87=0,"",SUMIFS(INPUT_DATA!AJ:AJ,INPUT_DATA!$A:$A,$B87,INPUT_DATA!$C:$C,"D"))</f>
        <v/>
      </c>
      <c r="CK87" s="153" t="str">
        <f>IF($B87=0,"",SUMIFS(INPUT_DATA!AK:AK,INPUT_DATA!$A:$A,$B87,INPUT_DATA!$C:$C,"D"))</f>
        <v/>
      </c>
      <c r="CL87" s="153" t="str">
        <f>IF($B87=0,"",SUMIFS(INPUT_DATA!AL:AL,INPUT_DATA!$A:$A,$B87,INPUT_DATA!$C:$C,"D"))</f>
        <v/>
      </c>
      <c r="CM87" s="153" t="str">
        <f>IF($B87=0,"",SUMIFS(INPUT_DATA!AM:AM,INPUT_DATA!$A:$A,$B87,INPUT_DATA!$C:$C,"D"))</f>
        <v/>
      </c>
      <c r="CN87" s="153" t="str">
        <f>IF($B87=0,"",SUMIFS(INPUT_DATA!AN:AN,INPUT_DATA!$A:$A,$B87,INPUT_DATA!$C:$C,"D"))</f>
        <v/>
      </c>
      <c r="CO87" s="153" t="str">
        <f>IF($B87=0,"",SUMIFS(INPUT_DATA!AO:AO,INPUT_DATA!$A:$A,$B87,INPUT_DATA!$C:$C,"D"))</f>
        <v/>
      </c>
      <c r="CP87" s="153" t="str">
        <f>IF($B87=0,"",SUMIFS(INPUT_DATA!AP:AP,INPUT_DATA!$A:$A,$B87,INPUT_DATA!$C:$C,"D"))</f>
        <v/>
      </c>
      <c r="CQ87" s="153" t="str">
        <f>IF($B87=0,"",SUMIFS(INPUT_DATA!AQ:AQ,INPUT_DATA!$A:$A,$B87,INPUT_DATA!$C:$C,"D"))</f>
        <v/>
      </c>
      <c r="CR87" s="750" t="str">
        <f t="shared" ref="CR87" si="49">IF($B87=0,"",BQ87+BT87-BW87-BZ87-CC87+CF87-CI87-CL87-CO87)</f>
        <v/>
      </c>
      <c r="CS87" s="750" t="str">
        <f t="shared" ref="CS87" si="50">IF($B87=0,"",BR87+BU87-BX87-CA87-CD87+CG87-CJ87-CM87-CP87)</f>
        <v/>
      </c>
      <c r="CT87" s="750" t="str">
        <f t="shared" ref="CT87" si="51">IF($B87=0,"",BS87+BV87-BY87-CB87-CE87+CH87-CK87-CN87-CQ87)</f>
        <v/>
      </c>
      <c r="CU87" s="739" t="str">
        <f>IF($B87=0,"",SUMIFS(INPUT_DATA!AR:AR,INPUT_DATA!$A:$A,$B87,INPUT_DATA!$C:$C,"D"))</f>
        <v/>
      </c>
      <c r="CV87" s="739" t="str">
        <f>IF($B87=0,"",SUMIFS(INPUT_DATA!AS:AS,INPUT_DATA!$A:$A,$B87,INPUT_DATA!$C:$C,"D"))</f>
        <v/>
      </c>
      <c r="CW87" s="739" t="str">
        <f>IF($B87=0,"",SUMIFS(INPUT_DATA!AT:AT,INPUT_DATA!$A:$A,$B87,INPUT_DATA!$C:$C,"D"))</f>
        <v/>
      </c>
      <c r="CX87" s="739" t="str">
        <f t="shared" ref="CX87" si="52">IF($B87=0,"",CR87-CU87)</f>
        <v/>
      </c>
      <c r="CY87" s="750" t="str">
        <f t="shared" ref="CY87" si="53">IF($B87=0,"",CS87-CV87)</f>
        <v/>
      </c>
      <c r="CZ87" s="761" t="str">
        <f t="shared" ref="CZ87" si="54">IF($B87=0,"",CT87-CW87)</f>
        <v/>
      </c>
      <c r="DA87" s="150"/>
    </row>
    <row r="88" spans="1:105" x14ac:dyDescent="0.25">
      <c r="O88" s="3"/>
      <c r="P88" s="3"/>
      <c r="Q88" s="3"/>
    </row>
  </sheetData>
  <mergeCells count="26">
    <mergeCell ref="BM14:BM15"/>
    <mergeCell ref="BI14:BI15"/>
    <mergeCell ref="Q14:Q15"/>
    <mergeCell ref="BP14:BP15"/>
    <mergeCell ref="B14:B15"/>
    <mergeCell ref="C14:C15"/>
    <mergeCell ref="E14:E15"/>
    <mergeCell ref="F14:F15"/>
    <mergeCell ref="D14:D15"/>
    <mergeCell ref="J14:J15"/>
    <mergeCell ref="N14:N15"/>
    <mergeCell ref="O14:O15"/>
    <mergeCell ref="BO14:BO15"/>
    <mergeCell ref="BN14:BN15"/>
    <mergeCell ref="BD14:BD15"/>
    <mergeCell ref="BE14:BE15"/>
    <mergeCell ref="BL14:BL15"/>
    <mergeCell ref="G14:I14"/>
    <mergeCell ref="M14:M15"/>
    <mergeCell ref="L14:L15"/>
    <mergeCell ref="BK14:BK15"/>
    <mergeCell ref="BC14:BC15"/>
    <mergeCell ref="K14:K15"/>
    <mergeCell ref="P14:P15"/>
    <mergeCell ref="BF14:BH14"/>
    <mergeCell ref="BJ14:BJ15"/>
  </mergeCells>
  <conditionalFormatting sqref="B18:B87">
    <cfRule type="cellIs" dxfId="50" priority="1" operator="lessThanOrEqual">
      <formula>0</formula>
    </cfRule>
  </conditionalFormatting>
  <pageMargins left="0.7" right="0.7" top="0.75" bottom="0.75" header="0.3" footer="0.3"/>
  <pageSetup paperSize="9" orientation="portrait" r:id="rId1"/>
  <ignoredErrors>
    <ignoredError sqref="D23 E23:N23 O23:Q23 BN17:BN87"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0" tint="-0.249977111117893"/>
  </sheetPr>
  <dimension ref="B3:AX121"/>
  <sheetViews>
    <sheetView showGridLines="0" topLeftCell="N1" zoomScale="80" zoomScaleNormal="80" workbookViewId="0">
      <selection activeCell="T14" sqref="T14"/>
    </sheetView>
  </sheetViews>
  <sheetFormatPr defaultColWidth="9.1796875" defaultRowHeight="12.5" x14ac:dyDescent="0.25"/>
  <cols>
    <col min="1" max="1" width="3" customWidth="1"/>
    <col min="2" max="2" width="18" bestFit="1" customWidth="1"/>
    <col min="3" max="3" width="16" customWidth="1"/>
    <col min="4" max="4" width="1.453125" customWidth="1"/>
    <col min="5" max="22" width="20.1796875" customWidth="1"/>
    <col min="23" max="23" width="2.453125" customWidth="1"/>
    <col min="24" max="42" width="20.1796875" customWidth="1"/>
    <col min="43" max="43" width="2.453125" customWidth="1"/>
    <col min="45" max="45" width="20.1796875" customWidth="1"/>
    <col min="47" max="47" width="12.453125" bestFit="1" customWidth="1"/>
    <col min="48" max="48" width="14.81640625" bestFit="1" customWidth="1"/>
    <col min="50" max="50" width="20.1796875" customWidth="1"/>
  </cols>
  <sheetData>
    <row r="3" spans="2:50" x14ac:dyDescent="0.25">
      <c r="AC3" s="5"/>
      <c r="AD3" s="5"/>
      <c r="AE3" s="5"/>
      <c r="AF3" s="5"/>
    </row>
    <row r="7" spans="2:50" ht="15.5" x14ac:dyDescent="0.25">
      <c r="B7" s="628" t="s">
        <v>731</v>
      </c>
      <c r="C7" s="617"/>
      <c r="D7" s="617"/>
      <c r="E7" s="617"/>
      <c r="F7" s="598"/>
      <c r="G7" s="598"/>
      <c r="H7" s="598"/>
      <c r="I7" s="598"/>
      <c r="J7" s="598"/>
      <c r="K7" s="598"/>
      <c r="L7" s="598"/>
      <c r="M7" s="598"/>
      <c r="N7" s="598"/>
      <c r="O7" s="598"/>
      <c r="P7" s="617"/>
      <c r="Q7" s="598"/>
      <c r="R7" s="598"/>
      <c r="S7" s="598"/>
      <c r="T7" s="617"/>
      <c r="U7" s="617"/>
      <c r="V7" s="617"/>
      <c r="W7" s="617"/>
      <c r="X7" s="598"/>
      <c r="Y7" s="598"/>
      <c r="Z7" s="598"/>
      <c r="AA7" s="598"/>
      <c r="AB7" s="598"/>
      <c r="AC7" s="598"/>
      <c r="AD7" s="598"/>
      <c r="AE7" s="598"/>
      <c r="AF7" s="598"/>
      <c r="AG7" s="598"/>
      <c r="AH7" s="598"/>
      <c r="AI7" s="598"/>
      <c r="AJ7" s="598"/>
      <c r="AK7" s="598"/>
      <c r="AL7" s="598"/>
      <c r="AM7" s="598"/>
      <c r="AN7" s="598"/>
      <c r="AO7" s="598"/>
      <c r="AP7" s="598"/>
      <c r="AQ7" s="598"/>
    </row>
    <row r="8" spans="2:50" x14ac:dyDescent="0.25">
      <c r="V8" s="4"/>
      <c r="AC8" s="5"/>
      <c r="AD8" s="5"/>
      <c r="AE8" s="5"/>
      <c r="AF8" s="5"/>
      <c r="AP8" s="4"/>
      <c r="AS8" s="4"/>
    </row>
    <row r="9" spans="2:50" x14ac:dyDescent="0.25">
      <c r="G9" s="5"/>
      <c r="P9" s="5"/>
      <c r="Q9" s="5"/>
      <c r="S9" s="5"/>
      <c r="T9" s="5"/>
      <c r="U9" s="5"/>
      <c r="V9" s="5"/>
      <c r="X9" s="5"/>
      <c r="Y9" s="5"/>
      <c r="Z9" s="5"/>
      <c r="AA9" s="5"/>
      <c r="AB9" s="932"/>
      <c r="AC9" s="5"/>
    </row>
    <row r="10" spans="2:50" ht="13" thickBot="1" x14ac:dyDescent="0.3">
      <c r="R10" s="5"/>
      <c r="S10" s="5"/>
      <c r="T10" s="5"/>
      <c r="V10" s="4"/>
      <c r="AP10" s="4"/>
      <c r="AS10" s="4"/>
    </row>
    <row r="11" spans="2:50" ht="13.5" customHeight="1" thickBot="1" x14ac:dyDescent="0.3">
      <c r="B11" s="695" t="s">
        <v>694</v>
      </c>
      <c r="C11" s="695"/>
      <c r="E11" s="629" t="s">
        <v>210</v>
      </c>
      <c r="F11" s="630"/>
      <c r="G11" s="630"/>
      <c r="H11" s="630"/>
      <c r="I11" s="630"/>
      <c r="J11" s="630"/>
      <c r="K11" s="630"/>
      <c r="L11" s="630"/>
      <c r="M11" s="630"/>
      <c r="N11" s="630"/>
      <c r="O11" s="630"/>
      <c r="P11" s="630"/>
      <c r="Q11" s="630"/>
      <c r="R11" s="630"/>
      <c r="S11" s="630"/>
      <c r="T11" s="630"/>
      <c r="U11" s="630"/>
      <c r="V11" s="631"/>
      <c r="X11" s="327" t="s">
        <v>211</v>
      </c>
      <c r="Y11" s="328"/>
      <c r="Z11" s="328"/>
      <c r="AA11" s="328"/>
      <c r="AB11" s="328"/>
      <c r="AC11" s="328"/>
      <c r="AD11" s="328"/>
      <c r="AE11" s="328"/>
      <c r="AF11" s="328"/>
      <c r="AG11" s="328"/>
      <c r="AH11" s="328"/>
      <c r="AI11" s="328"/>
      <c r="AJ11" s="328"/>
      <c r="AK11" s="328"/>
      <c r="AL11" s="328"/>
      <c r="AM11" s="328"/>
      <c r="AN11" s="328"/>
      <c r="AO11" s="328"/>
      <c r="AP11" s="329"/>
      <c r="AS11" s="354"/>
      <c r="AX11" s="405"/>
    </row>
    <row r="12" spans="2:50" ht="49.5" customHeight="1" thickBot="1" x14ac:dyDescent="0.3">
      <c r="B12" s="146" t="s">
        <v>96</v>
      </c>
      <c r="C12" s="147" t="s">
        <v>97</v>
      </c>
      <c r="E12" s="348" t="s">
        <v>139</v>
      </c>
      <c r="F12" s="349" t="s">
        <v>140</v>
      </c>
      <c r="G12" s="349" t="s">
        <v>141</v>
      </c>
      <c r="H12" s="349" t="s">
        <v>142</v>
      </c>
      <c r="I12" s="349" t="s">
        <v>143</v>
      </c>
      <c r="J12" s="349" t="s">
        <v>144</v>
      </c>
      <c r="K12" s="349" t="s">
        <v>904</v>
      </c>
      <c r="L12" s="349" t="s">
        <v>905</v>
      </c>
      <c r="M12" s="349" t="s">
        <v>906</v>
      </c>
      <c r="N12" s="349" t="s">
        <v>145</v>
      </c>
      <c r="O12" s="349" t="s">
        <v>147</v>
      </c>
      <c r="P12" s="349" t="s">
        <v>146</v>
      </c>
      <c r="Q12" s="347" t="s">
        <v>148</v>
      </c>
      <c r="R12" s="347" t="s">
        <v>854</v>
      </c>
      <c r="S12" s="347" t="s">
        <v>239</v>
      </c>
      <c r="T12" s="347" t="s">
        <v>149</v>
      </c>
      <c r="U12" s="347" t="s">
        <v>150</v>
      </c>
      <c r="V12" s="314" t="s">
        <v>208</v>
      </c>
      <c r="X12" s="330" t="s">
        <v>139</v>
      </c>
      <c r="Y12" s="331" t="s">
        <v>140</v>
      </c>
      <c r="Z12" s="331" t="s">
        <v>141</v>
      </c>
      <c r="AA12" s="331" t="s">
        <v>142</v>
      </c>
      <c r="AB12" s="331" t="s">
        <v>143</v>
      </c>
      <c r="AC12" s="331" t="s">
        <v>144</v>
      </c>
      <c r="AD12" s="331" t="s">
        <v>904</v>
      </c>
      <c r="AE12" s="331" t="s">
        <v>905</v>
      </c>
      <c r="AF12" s="331" t="s">
        <v>906</v>
      </c>
      <c r="AG12" s="331" t="s">
        <v>145</v>
      </c>
      <c r="AH12" s="331" t="s">
        <v>147</v>
      </c>
      <c r="AI12" s="331" t="s">
        <v>146</v>
      </c>
      <c r="AJ12" s="332" t="s">
        <v>148</v>
      </c>
      <c r="AK12" s="332" t="s">
        <v>854</v>
      </c>
      <c r="AL12" s="332" t="s">
        <v>239</v>
      </c>
      <c r="AM12" s="332" t="s">
        <v>855</v>
      </c>
      <c r="AN12" s="332" t="s">
        <v>149</v>
      </c>
      <c r="AO12" s="332" t="s">
        <v>150</v>
      </c>
      <c r="AP12" s="314" t="s">
        <v>208</v>
      </c>
      <c r="AS12" s="314" t="s">
        <v>2</v>
      </c>
      <c r="AU12" s="390" t="s">
        <v>237</v>
      </c>
      <c r="AV12" s="390" t="s">
        <v>238</v>
      </c>
      <c r="AX12" s="404" t="s">
        <v>239</v>
      </c>
    </row>
    <row r="13" spans="2:50" s="2" customFormat="1" ht="13" x14ac:dyDescent="0.3">
      <c r="B13" s="765">
        <f>C14+1</f>
        <v>45444</v>
      </c>
      <c r="C13" s="768">
        <f>'03 - Monthly Asset Follow up'!B17</f>
        <v>45473</v>
      </c>
      <c r="E13" s="771">
        <f>IF($C13=0,"",SUMIFS(INPUT_DATA!AU:AU,INPUT_DATA!$A:$A,$C13,INPUT_DATA!$C:$C,"S"))</f>
        <v>4795029.0699999994</v>
      </c>
      <c r="F13" s="773">
        <f>IF($C13=0,"",SUMIFS(INPUT_DATA!AV:AV,INPUT_DATA!$A:$A,$C13,INPUT_DATA!$C:$C,"S"))</f>
        <v>45633.520000000019</v>
      </c>
      <c r="G13" s="772">
        <f>IF($C13=0,"",SUMIFS(INPUT_DATA!AW:AW,INPUT_DATA!$A:$A,$C13,INPUT_DATA!$C:$C,"S"))</f>
        <v>667655.79</v>
      </c>
      <c r="H13" s="371">
        <f>IF($C13=0,"",E13+F13+G13)</f>
        <v>5508318.3799999999</v>
      </c>
      <c r="I13" s="772">
        <f>IF($C13=0,"",SUMIFS(INPUT_DATA!AY:AY,INPUT_DATA!$A:$A,$C13,INPUT_DATA!$C:$C,"S"))</f>
        <v>836869.96000000054</v>
      </c>
      <c r="J13" s="772">
        <f>IF($C13=0,"",SUMIFS(INPUT_DATA!AZ:AZ,INPUT_DATA!$A:$A,$C13,INPUT_DATA!$C:$C,"S"))</f>
        <v>6985.619999999999</v>
      </c>
      <c r="K13" s="772">
        <f>IF($C13=0,"",SUMIFS(INPUT_DATA!BA:BA,INPUT_DATA!$A:$A,$C13,INPUT_DATA!$C:$C,"S"))</f>
        <v>66.449999999999989</v>
      </c>
      <c r="L13" s="772">
        <f>IF($C13=0,"",SUMIFS(INPUT_DATA!BB:BB,INPUT_DATA!$A:$A,$C13,INPUT_DATA!$C:$C,"S"))</f>
        <v>94.960000000000022</v>
      </c>
      <c r="M13" s="772">
        <f>IF($C13=0,"",SUMIFS(INPUT_DATA!BC:BC,INPUT_DATA!$A:$A,$C13,INPUT_DATA!$C:$C,"S"))</f>
        <v>0</v>
      </c>
      <c r="N13" s="772">
        <f>IF($C13=0,"",SUMIFS(INPUT_DATA!BD:BD,INPUT_DATA!$A:$A,$C13,INPUT_DATA!$C:$C,"S"))</f>
        <v>746.26</v>
      </c>
      <c r="O13" s="772">
        <f>IF($C13=0,"",SUMIFS(INPUT_DATA!BE:BE,INPUT_DATA!$A:$A,$C13,INPUT_DATA!$C:$C,"S"))</f>
        <v>334.82</v>
      </c>
      <c r="P13" s="772">
        <f>IF($C13=0,"",SUMIFS(INPUT_DATA!BF:BF,INPUT_DATA!$A:$A,$C13,INPUT_DATA!$C:$C,"S"))</f>
        <v>0</v>
      </c>
      <c r="Q13" s="373">
        <f>IF($C13=0,"",I13+J13+K13+L13+M13+N13+O13+P13)</f>
        <v>845098.07000000041</v>
      </c>
      <c r="R13" s="781">
        <f>IF($C13=0,"",SUMIFS(INPUT_DATA!BH:BH,INPUT_DATA!$A:$A,$C13,INPUT_DATA!$C:$C,"S"))</f>
        <v>0</v>
      </c>
      <c r="S13" s="781">
        <f>IF($C13=0,"",SUMIFS(INPUT_DATA!BI:BI,INPUT_DATA!$A:$A,$C13,INPUT_DATA!$C:$C,"S"))</f>
        <v>0</v>
      </c>
      <c r="T13" s="373">
        <f>IF($C13=0,"",H13+Q13+R13-S13)</f>
        <v>6353416.4500000002</v>
      </c>
      <c r="U13" s="374">
        <f>IF($C13=0,"",SUMIFS(INPUT_DATA!BL:BL,INPUT_DATA!$A:$A,$C13,INPUT_DATA!$C:$C,"S"))</f>
        <v>6353416.4499999927</v>
      </c>
      <c r="V13" s="369">
        <f>IF($C13=0,"",T13-U13)</f>
        <v>7.4505805969238281E-9</v>
      </c>
      <c r="X13" s="763">
        <f>IF($C13=0,"",SUMIFS(INPUT_DATA!AU:AU,INPUT_DATA!$A:$A,$C13,INPUT_DATA!$C:$C,"D"))</f>
        <v>0</v>
      </c>
      <c r="Y13" s="772">
        <f>IF($C13=0,"",SUMIFS(INPUT_DATA!AV:AV,INPUT_DATA!$A:$A,$C13,INPUT_DATA!$C:$C,"D"))</f>
        <v>0</v>
      </c>
      <c r="Z13" s="772">
        <f>IF($C13=0,"",SUMIFS(INPUT_DATA!AW:AW,INPUT_DATA!$A:$A,$C13,INPUT_DATA!$C:$C,"D"))</f>
        <v>0</v>
      </c>
      <c r="AA13" s="371">
        <f>IF($C13=0,"",X13+Y13+Z13)</f>
        <v>0</v>
      </c>
      <c r="AB13" s="772">
        <f>IF($C13=0,"",SUMIFS(INPUT_DATA!AX:AX,INPUT_DATA!$A:$A,$C13,INPUT_DATA!$C:$C,"D"))</f>
        <v>0</v>
      </c>
      <c r="AC13" s="772">
        <f>IF($C13=0,"",SUMIFS(INPUT_DATA!AY:AY,INPUT_DATA!$A:$A,$C13,INPUT_DATA!$C:$C,"D"))</f>
        <v>0</v>
      </c>
      <c r="AD13" s="772">
        <f>IF($C13=0,"",SUMIFS(INPUT_DATA!AZ:AZ,INPUT_DATA!$A:$A,$C13,INPUT_DATA!$C:$C,"D"))</f>
        <v>0</v>
      </c>
      <c r="AE13" s="772">
        <f>IF($C13=0,"",SUMIFS(INPUT_DATA!BA:BA,INPUT_DATA!$A:$A,$C13,INPUT_DATA!$C:$C,"D"))</f>
        <v>0</v>
      </c>
      <c r="AF13" s="772">
        <f>IF($C13=0,"",SUMIFS(INPUT_DATA!BB:BB,INPUT_DATA!$A:$A,$C13,INPUT_DATA!$C:$C,"D"))</f>
        <v>0</v>
      </c>
      <c r="AG13" s="772">
        <f>IF($C13=0,"",SUMIFS(INPUT_DATA!BC:BC,INPUT_DATA!$A:$A,$C13,INPUT_DATA!$C:$C,"D"))</f>
        <v>0</v>
      </c>
      <c r="AH13" s="772">
        <f>IF($C13=0,"",SUMIFS(INPUT_DATA!BD:BD,INPUT_DATA!$A:$A,$C13,INPUT_DATA!$C:$C,"D"))</f>
        <v>0</v>
      </c>
      <c r="AI13" s="772">
        <f>IF($C13=0,"",SUMIFS(INPUT_DATA!BE:BE,INPUT_DATA!$A:$A,$C13,INPUT_DATA!$C:$C,"D"))</f>
        <v>0</v>
      </c>
      <c r="AJ13" s="373">
        <f>IF($C13=0,"",AB13+AC13+AD13+AE13+AF13+AG13+AH13+AI13)</f>
        <v>0</v>
      </c>
      <c r="AK13" s="781">
        <f>IF($C13=0,"",SUMIFS(INPUT_DATA!BG:BG,INPUT_DATA!$A:$A,$C13,INPUT_DATA!$C:$C,"D"))</f>
        <v>0</v>
      </c>
      <c r="AL13" s="781">
        <f>IF($C13=0,"",SUMIFS(INPUT_DATA!BH:BH,INPUT_DATA!$A:$A,$C13,INPUT_DATA!$C:$C,"D"))</f>
        <v>0</v>
      </c>
      <c r="AM13" s="781">
        <f>IF($C13=0,"",SUMIFS(INPUT_DATA!BI:BI,INPUT_DATA!$A:$A,$C13,INPUT_DATA!$C:$C,"D"))</f>
        <v>0</v>
      </c>
      <c r="AN13" s="373">
        <f>IF($C13=0,"",AA13+AJ13+AK13-AL13-AM13)</f>
        <v>0</v>
      </c>
      <c r="AO13" s="374">
        <f>IF($C13=0,"",SUMIFS(INPUT_DATA!BK:BK,INPUT_DATA!$A:$A,$C13,INPUT_DATA!$C:$C,"D"))</f>
        <v>0</v>
      </c>
      <c r="AP13" s="369">
        <f>IF($C13=0,"",AN13-AO13)</f>
        <v>0</v>
      </c>
      <c r="AS13" s="369">
        <f>IF($C13=0,"",T13+AO13)</f>
        <v>6353416.4500000002</v>
      </c>
      <c r="AT13" s="370"/>
      <c r="AU13" s="391">
        <f>IF($C13=0,"",'03 - Monthly Asset Follow up'!E17+'03 - Monthly Asset Follow up'!F17-'03 - Monthly Asset Follow up'!U17+'03 - Monthly Asset Follow up'!X17-H13)</f>
        <v>-2.7939677238464355E-9</v>
      </c>
      <c r="AV13" s="391">
        <f>IF($C13=0,"",'03 - Monthly Asset Follow up'!BD17+'03 - Monthly Asset Follow up'!BE17-'03 - Monthly Asset Follow up'!BT17+'03 - Monthly Asset Follow up'!BW17)</f>
        <v>0</v>
      </c>
      <c r="AX13" s="372"/>
    </row>
    <row r="14" spans="2:50" s="2" customFormat="1" ht="13" x14ac:dyDescent="0.3">
      <c r="B14" s="766">
        <f>IF(C15=0,"",C15+1)</f>
        <v>45413</v>
      </c>
      <c r="C14" s="769">
        <f>'03 - Monthly Asset Follow up'!B18</f>
        <v>45443</v>
      </c>
      <c r="E14" s="762">
        <f>IF($C14=0,"",SUMIFS(INPUT_DATA!AU:AU,INPUT_DATA!$A:$A,$C14,INPUT_DATA!$C:$C,"S"))</f>
        <v>4846408.2700000014</v>
      </c>
      <c r="F14" s="774">
        <f>IF($C14=0,"",SUMIFS(INPUT_DATA!AV:AV,INPUT_DATA!$A:$A,$C14,INPUT_DATA!$C:$C,"S"))</f>
        <v>71288.189999999988</v>
      </c>
      <c r="G14" s="774">
        <f>IF($C14=0,"",SUMIFS(INPUT_DATA!AW:AW,INPUT_DATA!$A:$A,$C14,INPUT_DATA!$C:$C,"S"))</f>
        <v>581914.99</v>
      </c>
      <c r="H14" s="775">
        <f t="shared" ref="H14:H77" si="0">IF($C14=0,"",E14+F14+G14)</f>
        <v>5499611.450000002</v>
      </c>
      <c r="I14" s="774">
        <f>IF($C14=0,"",SUMIFS(INPUT_DATA!AY:AY,INPUT_DATA!$A:$A,$C14,INPUT_DATA!$C:$C,"S"))</f>
        <v>848277.42000000027</v>
      </c>
      <c r="J14" s="774">
        <f>IF($C14=0,"",SUMIFS(INPUT_DATA!AZ:AZ,INPUT_DATA!$A:$A,$C14,INPUT_DATA!$C:$C,"S"))</f>
        <v>4392.8799999999992</v>
      </c>
      <c r="K14" s="774">
        <f>IF($C14=0,"",SUMIFS(INPUT_DATA!BA:BA,INPUT_DATA!$A:$A,$C14,INPUT_DATA!$C:$C,"S"))</f>
        <v>66.680000000000021</v>
      </c>
      <c r="L14" s="774">
        <f>IF($C14=0,"",SUMIFS(INPUT_DATA!BB:BB,INPUT_DATA!$A:$A,$C14,INPUT_DATA!$C:$C,"S"))</f>
        <v>83.94999999999996</v>
      </c>
      <c r="M14" s="774">
        <f>IF($C14=0,"",SUMIFS(INPUT_DATA!BC:BC,INPUT_DATA!$A:$A,$C14,INPUT_DATA!$C:$C,"S"))</f>
        <v>0</v>
      </c>
      <c r="N14" s="774">
        <f>IF($C14=0,"",SUMIFS(INPUT_DATA!BD:BD,INPUT_DATA!$A:$A,$C14,INPUT_DATA!$C:$C,"S"))</f>
        <v>1290.83</v>
      </c>
      <c r="O14" s="774">
        <f>IF($C14=0,"",SUMIFS(INPUT_DATA!BE:BE,INPUT_DATA!$A:$A,$C14,INPUT_DATA!$C:$C,"S"))</f>
        <v>11.33</v>
      </c>
      <c r="P14" s="774">
        <f>IF($C14=0,"",SUMIFS(INPUT_DATA!BF:BF,INPUT_DATA!$A:$A,$C14,INPUT_DATA!$C:$C,"S"))</f>
        <v>0</v>
      </c>
      <c r="Q14" s="780">
        <f>IF($C14=0,"",I14+J14+K14+L14+M14+N14+O14+P14)</f>
        <v>854123.0900000002</v>
      </c>
      <c r="R14" s="782">
        <f>IF($C14=0,"",SUMIFS(INPUT_DATA!BH:BH,INPUT_DATA!$A:$A,$C14,INPUT_DATA!$C:$C,"S"))</f>
        <v>0</v>
      </c>
      <c r="S14" s="782">
        <f>IF($C14=0,"",SUMIFS(INPUT_DATA!BI:BI,INPUT_DATA!$A:$A,$C14,INPUT_DATA!$C:$C,"S"))</f>
        <v>0</v>
      </c>
      <c r="T14" s="780">
        <f>IF($C14=0,"",H14+Q14+R14-S14)</f>
        <v>6353734.5400000019</v>
      </c>
      <c r="U14" s="785">
        <f>IF($C14=0,"",SUMIFS(INPUT_DATA!BL:BL,INPUT_DATA!$A:$A,$C14,INPUT_DATA!$C:$C,"S"))</f>
        <v>6353734.540000001</v>
      </c>
      <c r="V14" s="369">
        <f t="shared" ref="V14:V77" si="1">IF($C14=0,"",T14-U14)</f>
        <v>9.3132257461547852E-10</v>
      </c>
      <c r="X14" s="762">
        <f>IF($C14=0,"",SUMIFS(INPUT_DATA!AU:AU,INPUT_DATA!$A:$A,$C14,INPUT_DATA!$C:$C,"D"))</f>
        <v>0</v>
      </c>
      <c r="Y14" s="774">
        <f>IF($C14=0,"",SUMIFS(INPUT_DATA!AV:AV,INPUT_DATA!$A:$A,$C14,INPUT_DATA!$C:$C,"D"))</f>
        <v>0</v>
      </c>
      <c r="Z14" s="774">
        <f>IF($C14=0,"",SUMIFS(INPUT_DATA!AW:AW,INPUT_DATA!$A:$A,$C14,INPUT_DATA!$C:$C,"D"))</f>
        <v>0</v>
      </c>
      <c r="AA14" s="775">
        <f t="shared" ref="AA14:AA77" si="2">IF($C14=0,"",X14+Y14+Z14)</f>
        <v>0</v>
      </c>
      <c r="AB14" s="774">
        <f>IF($C14=0,"",SUMIFS(INPUT_DATA!AX:AX,INPUT_DATA!$A:$A,$C14,INPUT_DATA!$C:$C,"D"))</f>
        <v>0</v>
      </c>
      <c r="AC14" s="774">
        <f>IF($C14=0,"",SUMIFS(INPUT_DATA!AY:AY,INPUT_DATA!$A:$A,$C14,INPUT_DATA!$C:$C,"D"))</f>
        <v>0</v>
      </c>
      <c r="AD14" s="774">
        <f>IF($C14=0,"",SUMIFS(INPUT_DATA!AZ:AZ,INPUT_DATA!$A:$A,$C14,INPUT_DATA!$C:$C,"D"))</f>
        <v>0</v>
      </c>
      <c r="AE14" s="774">
        <f>IF($C14=0,"",SUMIFS(INPUT_DATA!BA:BA,INPUT_DATA!$A:$A,$C14,INPUT_DATA!$C:$C,"D"))</f>
        <v>0</v>
      </c>
      <c r="AF14" s="774">
        <f>IF($C14=0,"",SUMIFS(INPUT_DATA!BB:BB,INPUT_DATA!$A:$A,$C14,INPUT_DATA!$C:$C,"D"))</f>
        <v>0</v>
      </c>
      <c r="AG14" s="774">
        <f>IF($C14=0,"",SUMIFS(INPUT_DATA!BC:BC,INPUT_DATA!$A:$A,$C14,INPUT_DATA!$C:$C,"D"))</f>
        <v>0</v>
      </c>
      <c r="AH14" s="774">
        <f>IF($C14=0,"",SUMIFS(INPUT_DATA!BD:BD,INPUT_DATA!$A:$A,$C14,INPUT_DATA!$C:$C,"D"))</f>
        <v>0</v>
      </c>
      <c r="AI14" s="774">
        <f>IF($C14=0,"",SUMIFS(INPUT_DATA!BE:BE,INPUT_DATA!$A:$A,$C14,INPUT_DATA!$C:$C,"D"))</f>
        <v>0</v>
      </c>
      <c r="AJ14" s="780">
        <f t="shared" ref="AJ14:AJ77" si="3">IF($C14=0,"",AB14+AC14+AD14+AE14+AF14+AG14+AH14+AI14)</f>
        <v>0</v>
      </c>
      <c r="AK14" s="782">
        <f>IF($C14=0,"",SUMIFS(INPUT_DATA!BG:BG,INPUT_DATA!$A:$A,$C14,INPUT_DATA!$C:$C,"D"))</f>
        <v>0</v>
      </c>
      <c r="AL14" s="782">
        <f>IF($C14=0,"",SUMIFS(INPUT_DATA!BH:BH,INPUT_DATA!$A:$A,$C14,INPUT_DATA!$C:$C,"D"))</f>
        <v>0</v>
      </c>
      <c r="AM14" s="782">
        <f>IF($C14=0,"",SUMIFS(INPUT_DATA!BI:BI,INPUT_DATA!$A:$A,$C14,INPUT_DATA!$C:$C,"D"))</f>
        <v>0</v>
      </c>
      <c r="AN14" s="780">
        <f>IF($C14=0,"",AA14+AJ14+AK14-AL14-AM14)</f>
        <v>0</v>
      </c>
      <c r="AO14" s="785">
        <f>IF($C14=0,"",SUMIFS(INPUT_DATA!BK:BK,INPUT_DATA!$A:$A,$C14,INPUT_DATA!$C:$C,"D"))</f>
        <v>0</v>
      </c>
      <c r="AP14" s="355">
        <f>IF($C14=0,"",AN14-AO14)</f>
        <v>0</v>
      </c>
      <c r="AS14" s="355">
        <f>IF($C14=0,"",T14+AO14)</f>
        <v>6353734.5400000019</v>
      </c>
      <c r="AT14" s="370"/>
      <c r="AU14" s="391">
        <f>IF($C14=0,"",'03 - Monthly Asset Follow up'!E18+'03 - Monthly Asset Follow up'!F18-'03 - Monthly Asset Follow up'!U18+'03 - Monthly Asset Follow up'!X18-H14)</f>
        <v>9.3132257461547852E-10</v>
      </c>
      <c r="AV14" s="391">
        <f>IF($C14=0,"",'03 - Monthly Asset Follow up'!BD18+'03 - Monthly Asset Follow up'!BE18-'03 - Monthly Asset Follow up'!BT18+'03 - Monthly Asset Follow up'!BW18)</f>
        <v>0</v>
      </c>
      <c r="AX14" s="372"/>
    </row>
    <row r="15" spans="2:50" ht="13" x14ac:dyDescent="0.3">
      <c r="B15" s="766">
        <f t="shared" ref="B15:B78" si="4">IF(C16=0,"",C16+1)</f>
        <v>45383</v>
      </c>
      <c r="C15" s="769">
        <f>'03 - Monthly Asset Follow up'!B19</f>
        <v>45412</v>
      </c>
      <c r="D15" s="149"/>
      <c r="E15" s="762">
        <f>IF($C15=0,"",SUMIFS(INPUT_DATA!AU:AU,INPUT_DATA!$A:$A,$C15,INPUT_DATA!$C:$C,"S"))</f>
        <v>4880763.589999998</v>
      </c>
      <c r="F15" s="774">
        <f>IF($C15=0,"",SUMIFS(INPUT_DATA!AV:AV,INPUT_DATA!$A:$A,$C15,INPUT_DATA!$C:$C,"S"))</f>
        <v>75454.919999999984</v>
      </c>
      <c r="G15" s="774">
        <f>IF($C15=0,"",SUMIFS(INPUT_DATA!AW:AW,INPUT_DATA!$A:$A,$C15,INPUT_DATA!$C:$C,"S"))</f>
        <v>515506.72</v>
      </c>
      <c r="H15" s="776">
        <f t="shared" si="0"/>
        <v>5471725.2299999977</v>
      </c>
      <c r="I15" s="774">
        <f>IF($C15=0,"",SUMIFS(INPUT_DATA!AY:AY,INPUT_DATA!$A:$A,$C15,INPUT_DATA!$C:$C,"S"))</f>
        <v>863157.00999999978</v>
      </c>
      <c r="J15" s="774">
        <f>IF($C15=0,"",SUMIFS(INPUT_DATA!AZ:AZ,INPUT_DATA!$A:$A,$C15,INPUT_DATA!$C:$C,"S"))</f>
        <v>4831.4800000000014</v>
      </c>
      <c r="K15" s="774">
        <f>IF($C15=0,"",SUMIFS(INPUT_DATA!BA:BA,INPUT_DATA!$A:$A,$C15,INPUT_DATA!$C:$C,"S"))</f>
        <v>94.38000000000001</v>
      </c>
      <c r="L15" s="774">
        <f>IF($C15=0,"",SUMIFS(INPUT_DATA!BB:BB,INPUT_DATA!$A:$A,$C15,INPUT_DATA!$C:$C,"S"))</f>
        <v>118.33999999999997</v>
      </c>
      <c r="M15" s="774">
        <f>IF($C15=0,"",SUMIFS(INPUT_DATA!BC:BC,INPUT_DATA!$A:$A,$C15,INPUT_DATA!$C:$C,"S"))</f>
        <v>0</v>
      </c>
      <c r="N15" s="774">
        <f>IF($C15=0,"",SUMIFS(INPUT_DATA!BD:BD,INPUT_DATA!$A:$A,$C15,INPUT_DATA!$C:$C,"S"))</f>
        <v>3335.81</v>
      </c>
      <c r="O15" s="774">
        <f>IF($C15=0,"",SUMIFS(INPUT_DATA!BE:BE,INPUT_DATA!$A:$A,$C15,INPUT_DATA!$C:$C,"S"))</f>
        <v>42.980000000000004</v>
      </c>
      <c r="P15" s="774">
        <f>IF($C15=0,"",SUMIFS(INPUT_DATA!BF:BF,INPUT_DATA!$A:$A,$C15,INPUT_DATA!$C:$C,"S"))</f>
        <v>0</v>
      </c>
      <c r="Q15" s="780">
        <f t="shared" ref="Q15:Q78" si="5">IF($C15=0,"",I15+J15+K15+L15+M15+N15+O15+P15)</f>
        <v>871579.99999999977</v>
      </c>
      <c r="R15" s="782">
        <f>IF($C15=0,"",SUMIFS(INPUT_DATA!BH:BH,INPUT_DATA!$A:$A,$C15,INPUT_DATA!$C:$C,"S"))</f>
        <v>0</v>
      </c>
      <c r="S15" s="782">
        <f>IF($C15=0,"",SUMIFS(INPUT_DATA!BI:BI,INPUT_DATA!$A:$A,$C15,INPUT_DATA!$C:$C,"S"))</f>
        <v>0</v>
      </c>
      <c r="T15" s="780">
        <f t="shared" ref="T15:T78" si="6">IF($C15=0,"",H15+Q15+R15-S15)</f>
        <v>6343305.2299999977</v>
      </c>
      <c r="U15" s="785">
        <f>IF($C15=0,"",SUMIFS(INPUT_DATA!BL:BL,INPUT_DATA!$A:$A,$C15,INPUT_DATA!$C:$C,"S"))</f>
        <v>6343305.2299999986</v>
      </c>
      <c r="V15" s="155">
        <f t="shared" si="1"/>
        <v>-9.3132257461547852E-10</v>
      </c>
      <c r="W15" s="149"/>
      <c r="X15" s="762">
        <f>IF($C15=0,"",SUMIFS(INPUT_DATA!AU:AU,INPUT_DATA!$A:$A,$C15,INPUT_DATA!$C:$C,"D"))</f>
        <v>0</v>
      </c>
      <c r="Y15" s="774">
        <f>IF($C15=0,"",SUMIFS(INPUT_DATA!AV:AV,INPUT_DATA!$A:$A,$C15,INPUT_DATA!$C:$C,"D"))</f>
        <v>0</v>
      </c>
      <c r="Z15" s="774">
        <f>IF($C15=0,"",SUMIFS(INPUT_DATA!AW:AW,INPUT_DATA!$A:$A,$C15,INPUT_DATA!$C:$C,"D"))</f>
        <v>0</v>
      </c>
      <c r="AA15" s="775">
        <f t="shared" si="2"/>
        <v>0</v>
      </c>
      <c r="AB15" s="774">
        <f>IF($C15=0,"",SUMIFS(INPUT_DATA!AX:AX,INPUT_DATA!$A:$A,$C15,INPUT_DATA!$C:$C,"D"))</f>
        <v>0</v>
      </c>
      <c r="AC15" s="774">
        <f>IF($C15=0,"",SUMIFS(INPUT_DATA!AY:AY,INPUT_DATA!$A:$A,$C15,INPUT_DATA!$C:$C,"D"))</f>
        <v>0</v>
      </c>
      <c r="AD15" s="774">
        <f>IF($C15=0,"",SUMIFS(INPUT_DATA!AZ:AZ,INPUT_DATA!$A:$A,$C15,INPUT_DATA!$C:$C,"D"))</f>
        <v>0</v>
      </c>
      <c r="AE15" s="774">
        <f>IF($C15=0,"",SUMIFS(INPUT_DATA!BA:BA,INPUT_DATA!$A:$A,$C15,INPUT_DATA!$C:$C,"D"))</f>
        <v>0</v>
      </c>
      <c r="AF15" s="774">
        <f>IF($C15=0,"",SUMIFS(INPUT_DATA!BB:BB,INPUT_DATA!$A:$A,$C15,INPUT_DATA!$C:$C,"D"))</f>
        <v>0</v>
      </c>
      <c r="AG15" s="774">
        <f>IF($C15=0,"",SUMIFS(INPUT_DATA!BC:BC,INPUT_DATA!$A:$A,$C15,INPUT_DATA!$C:$C,"D"))</f>
        <v>0</v>
      </c>
      <c r="AH15" s="774">
        <f>IF($C15=0,"",SUMIFS(INPUT_DATA!BD:BD,INPUT_DATA!$A:$A,$C15,INPUT_DATA!$C:$C,"D"))</f>
        <v>0</v>
      </c>
      <c r="AI15" s="774">
        <f>IF($C15=0,"",SUMIFS(INPUT_DATA!BE:BE,INPUT_DATA!$A:$A,$C15,INPUT_DATA!$C:$C,"D"))</f>
        <v>0</v>
      </c>
      <c r="AJ15" s="315">
        <f t="shared" si="3"/>
        <v>0</v>
      </c>
      <c r="AK15" s="782">
        <f>IF($C15=0,"",SUMIFS(INPUT_DATA!BG:BG,INPUT_DATA!$A:$A,$C15,INPUT_DATA!$C:$C,"D"))</f>
        <v>0</v>
      </c>
      <c r="AL15" s="782">
        <f>IF($C15=0,"",SUMIFS(INPUT_DATA!BH:BH,INPUT_DATA!$A:$A,$C15,INPUT_DATA!$C:$C,"D"))</f>
        <v>0</v>
      </c>
      <c r="AM15" s="782">
        <f>IF($C15=0,"",SUMIFS(INPUT_DATA!BI:BI,INPUT_DATA!$A:$A,$C15,INPUT_DATA!$C:$C,"D"))</f>
        <v>0</v>
      </c>
      <c r="AN15" s="780">
        <f t="shared" ref="AN15:AN78" si="7">IF($C15=0,"",AA15+AJ15+AK15-AL15-AM15)</f>
        <v>0</v>
      </c>
      <c r="AO15" s="785">
        <f>IF($C15=0,"",SUMIFS(INPUT_DATA!BK:BK,INPUT_DATA!$A:$A,$C15,INPUT_DATA!$C:$C,"D"))</f>
        <v>0</v>
      </c>
      <c r="AP15" s="355">
        <f t="shared" ref="AP15:AP78" si="8">IF($C15=0,"",AN15-AO15)</f>
        <v>0</v>
      </c>
      <c r="AQ15" s="149"/>
      <c r="AS15" s="355">
        <f t="shared" ref="AS15:AS78" si="9">IF($C15=0,"",T15+AO15)</f>
        <v>6343305.2299999977</v>
      </c>
      <c r="AT15" s="5"/>
      <c r="AU15" s="391">
        <f>IF($C15=0,"",'03 - Monthly Asset Follow up'!E19+'03 - Monthly Asset Follow up'!F19-'03 - Monthly Asset Follow up'!U19+'03 - Monthly Asset Follow up'!X19-H15)</f>
        <v>2.7939677238464355E-9</v>
      </c>
      <c r="AV15" s="391">
        <f>IF($C15=0,"",'03 - Monthly Asset Follow up'!BD19+'03 - Monthly Asset Follow up'!BE19-'03 - Monthly Asset Follow up'!BT19+'03 - Monthly Asset Follow up'!BW19)</f>
        <v>0</v>
      </c>
      <c r="AX15" s="154"/>
    </row>
    <row r="16" spans="2:50" ht="13" x14ac:dyDescent="0.3">
      <c r="B16" s="766">
        <f t="shared" si="4"/>
        <v>45352</v>
      </c>
      <c r="C16" s="769">
        <f>'03 - Monthly Asset Follow up'!B20</f>
        <v>45382</v>
      </c>
      <c r="D16" s="149"/>
      <c r="E16" s="762">
        <f>IF($C16=0,"",SUMIFS(INPUT_DATA!AU:AU,INPUT_DATA!$A:$A,$C16,INPUT_DATA!$C:$C,"S"))</f>
        <v>4859520.2599999951</v>
      </c>
      <c r="F16" s="774">
        <f>IF($C16=0,"",SUMIFS(INPUT_DATA!AV:AV,INPUT_DATA!$A:$A,$C16,INPUT_DATA!$C:$C,"S"))</f>
        <v>72540.579999999973</v>
      </c>
      <c r="G16" s="774">
        <f>IF($C16=0,"",SUMIFS(INPUT_DATA!AW:AW,INPUT_DATA!$A:$A,$C16,INPUT_DATA!$C:$C,"S"))</f>
        <v>1371710.64</v>
      </c>
      <c r="H16" s="776">
        <f t="shared" si="0"/>
        <v>6303771.4799999949</v>
      </c>
      <c r="I16" s="774">
        <f>IF($C16=0,"",SUMIFS(INPUT_DATA!AY:AY,INPUT_DATA!$A:$A,$C16,INPUT_DATA!$C:$C,"S"))</f>
        <v>868476.57</v>
      </c>
      <c r="J16" s="774">
        <f>IF($C16=0,"",SUMIFS(INPUT_DATA!AZ:AZ,INPUT_DATA!$A:$A,$C16,INPUT_DATA!$C:$C,"S"))</f>
        <v>6105.58</v>
      </c>
      <c r="K16" s="774">
        <f>IF($C16=0,"",SUMIFS(INPUT_DATA!BA:BA,INPUT_DATA!$A:$A,$C16,INPUT_DATA!$C:$C,"S"))</f>
        <v>93.37</v>
      </c>
      <c r="L16" s="774">
        <f>IF($C16=0,"",SUMIFS(INPUT_DATA!BB:BB,INPUT_DATA!$A:$A,$C16,INPUT_DATA!$C:$C,"S"))</f>
        <v>98.68</v>
      </c>
      <c r="M16" s="774">
        <f>IF($C16=0,"",SUMIFS(INPUT_DATA!BC:BC,INPUT_DATA!$A:$A,$C16,INPUT_DATA!$C:$C,"S"))</f>
        <v>0</v>
      </c>
      <c r="N16" s="774">
        <f>IF($C16=0,"",SUMIFS(INPUT_DATA!BD:BD,INPUT_DATA!$A:$A,$C16,INPUT_DATA!$C:$C,"S"))</f>
        <v>9027.6500000000015</v>
      </c>
      <c r="O16" s="774">
        <f>IF($C16=0,"",SUMIFS(INPUT_DATA!BE:BE,INPUT_DATA!$A:$A,$C16,INPUT_DATA!$C:$C,"S"))</f>
        <v>57.430000000000007</v>
      </c>
      <c r="P16" s="774">
        <f>IF($C16=0,"",SUMIFS(INPUT_DATA!BF:BF,INPUT_DATA!$A:$A,$C16,INPUT_DATA!$C:$C,"S"))</f>
        <v>0</v>
      </c>
      <c r="Q16" s="780">
        <f t="shared" si="5"/>
        <v>883859.28</v>
      </c>
      <c r="R16" s="782">
        <f>IF($C16=0,"",SUMIFS(INPUT_DATA!BH:BH,INPUT_DATA!$A:$A,$C16,INPUT_DATA!$C:$C,"S"))</f>
        <v>0</v>
      </c>
      <c r="S16" s="782">
        <f>IF($C16=0,"",SUMIFS(INPUT_DATA!BI:BI,INPUT_DATA!$A:$A,$C16,INPUT_DATA!$C:$C,"S"))</f>
        <v>0</v>
      </c>
      <c r="T16" s="780">
        <f t="shared" si="6"/>
        <v>7187630.7599999951</v>
      </c>
      <c r="U16" s="785">
        <f>IF($C16=0,"",SUMIFS(INPUT_DATA!BL:BL,INPUT_DATA!$A:$A,$C16,INPUT_DATA!$C:$C,"S"))</f>
        <v>7187630.7599999998</v>
      </c>
      <c r="V16" s="155">
        <f t="shared" si="1"/>
        <v>-4.6566128730773926E-9</v>
      </c>
      <c r="W16" s="149"/>
      <c r="X16" s="762">
        <f>IF($C16=0,"",SUMIFS(INPUT_DATA!AU:AU,INPUT_DATA!$A:$A,$C16,INPUT_DATA!$C:$C,"D"))</f>
        <v>0</v>
      </c>
      <c r="Y16" s="774">
        <f>IF($C16=0,"",SUMIFS(INPUT_DATA!AV:AV,INPUT_DATA!$A:$A,$C16,INPUT_DATA!$C:$C,"D"))</f>
        <v>0</v>
      </c>
      <c r="Z16" s="774">
        <f>IF($C16=0,"",SUMIFS(INPUT_DATA!AW:AW,INPUT_DATA!$A:$A,$C16,INPUT_DATA!$C:$C,"D"))</f>
        <v>0</v>
      </c>
      <c r="AA16" s="775">
        <f t="shared" si="2"/>
        <v>0</v>
      </c>
      <c r="AB16" s="774">
        <f>IF($C16=0,"",SUMIFS(INPUT_DATA!AX:AX,INPUT_DATA!$A:$A,$C16,INPUT_DATA!$C:$C,"D"))</f>
        <v>0</v>
      </c>
      <c r="AC16" s="774">
        <f>IF($C16=0,"",SUMIFS(INPUT_DATA!AY:AY,INPUT_DATA!$A:$A,$C16,INPUT_DATA!$C:$C,"D"))</f>
        <v>0</v>
      </c>
      <c r="AD16" s="774">
        <f>IF($C16=0,"",SUMIFS(INPUT_DATA!AZ:AZ,INPUT_DATA!$A:$A,$C16,INPUT_DATA!$C:$C,"D"))</f>
        <v>0</v>
      </c>
      <c r="AE16" s="774">
        <f>IF($C16=0,"",SUMIFS(INPUT_DATA!BA:BA,INPUT_DATA!$A:$A,$C16,INPUT_DATA!$C:$C,"D"))</f>
        <v>0</v>
      </c>
      <c r="AF16" s="774">
        <f>IF($C16=0,"",SUMIFS(INPUT_DATA!BB:BB,INPUT_DATA!$A:$A,$C16,INPUT_DATA!$C:$C,"D"))</f>
        <v>0</v>
      </c>
      <c r="AG16" s="774">
        <f>IF($C16=0,"",SUMIFS(INPUT_DATA!BC:BC,INPUT_DATA!$A:$A,$C16,INPUT_DATA!$C:$C,"D"))</f>
        <v>0</v>
      </c>
      <c r="AH16" s="774">
        <f>IF($C16=0,"",SUMIFS(INPUT_DATA!BD:BD,INPUT_DATA!$A:$A,$C16,INPUT_DATA!$C:$C,"D"))</f>
        <v>0</v>
      </c>
      <c r="AI16" s="774">
        <f>IF($C16=0,"",SUMIFS(INPUT_DATA!BE:BE,INPUT_DATA!$A:$A,$C16,INPUT_DATA!$C:$C,"D"))</f>
        <v>0</v>
      </c>
      <c r="AJ16" s="315">
        <f t="shared" si="3"/>
        <v>0</v>
      </c>
      <c r="AK16" s="782">
        <f>IF($C16=0,"",SUMIFS(INPUT_DATA!BG:BG,INPUT_DATA!$A:$A,$C16,INPUT_DATA!$C:$C,"D"))</f>
        <v>0</v>
      </c>
      <c r="AL16" s="782">
        <f>IF($C16=0,"",SUMIFS(INPUT_DATA!BH:BH,INPUT_DATA!$A:$A,$C16,INPUT_DATA!$C:$C,"D"))</f>
        <v>0</v>
      </c>
      <c r="AM16" s="782">
        <f>IF($C16=0,"",SUMIFS(INPUT_DATA!BI:BI,INPUT_DATA!$A:$A,$C16,INPUT_DATA!$C:$C,"D"))</f>
        <v>0</v>
      </c>
      <c r="AN16" s="780">
        <f t="shared" si="7"/>
        <v>0</v>
      </c>
      <c r="AO16" s="785">
        <f>IF($C16=0,"",SUMIFS(INPUT_DATA!BK:BK,INPUT_DATA!$A:$A,$C16,INPUT_DATA!$C:$C,"D"))</f>
        <v>0</v>
      </c>
      <c r="AP16" s="355">
        <f t="shared" si="8"/>
        <v>0</v>
      </c>
      <c r="AQ16" s="149"/>
      <c r="AS16" s="355">
        <f t="shared" si="9"/>
        <v>7187630.7599999951</v>
      </c>
      <c r="AU16" s="391">
        <f>IF($C16=0,"",'03 - Monthly Asset Follow up'!E20+'03 - Monthly Asset Follow up'!F20-'03 - Monthly Asset Follow up'!U20+'03 - Monthly Asset Follow up'!X20-H16)</f>
        <v>1.862645149230957E-9</v>
      </c>
      <c r="AV16" s="391">
        <f>IF($C16=0,"",'03 - Monthly Asset Follow up'!BD20+'03 - Monthly Asset Follow up'!BE20-'03 - Monthly Asset Follow up'!BT20+'03 - Monthly Asset Follow up'!BW20)</f>
        <v>0</v>
      </c>
      <c r="AX16" s="154"/>
    </row>
    <row r="17" spans="2:50" ht="13" x14ac:dyDescent="0.3">
      <c r="B17" s="766">
        <f t="shared" si="4"/>
        <v>45323</v>
      </c>
      <c r="C17" s="769">
        <f>'03 - Monthly Asset Follow up'!B21</f>
        <v>45351</v>
      </c>
      <c r="D17" s="149"/>
      <c r="E17" s="762">
        <f>IF($C17=0,"",SUMIFS(INPUT_DATA!AU:AU,INPUT_DATA!$A:$A,$C17,INPUT_DATA!$C:$C,"S"))</f>
        <v>4861727.45</v>
      </c>
      <c r="F17" s="774">
        <f>IF($C17=0,"",SUMIFS(INPUT_DATA!AV:AV,INPUT_DATA!$A:$A,$C17,INPUT_DATA!$C:$C,"S"))</f>
        <v>64572.6</v>
      </c>
      <c r="G17" s="774">
        <f>IF($C17=0,"",SUMIFS(INPUT_DATA!AW:AW,INPUT_DATA!$A:$A,$C17,INPUT_DATA!$C:$C,"S"))</f>
        <v>3676512.91</v>
      </c>
      <c r="H17" s="776">
        <f t="shared" si="0"/>
        <v>8602812.9600000009</v>
      </c>
      <c r="I17" s="774">
        <f>IF($C17=0,"",SUMIFS(INPUT_DATA!AY:AY,INPUT_DATA!$A:$A,$C17,INPUT_DATA!$C:$C,"S"))</f>
        <v>875993.2</v>
      </c>
      <c r="J17" s="774">
        <f>IF($C17=0,"",SUMIFS(INPUT_DATA!AZ:AZ,INPUT_DATA!$A:$A,$C17,INPUT_DATA!$C:$C,"S"))</f>
        <v>7158.66</v>
      </c>
      <c r="K17" s="774">
        <f>IF($C17=0,"",SUMIFS(INPUT_DATA!BA:BA,INPUT_DATA!$A:$A,$C17,INPUT_DATA!$C:$C,"S"))</f>
        <v>104.95</v>
      </c>
      <c r="L17" s="774">
        <f>IF($C17=0,"",SUMIFS(INPUT_DATA!BB:BB,INPUT_DATA!$A:$A,$C17,INPUT_DATA!$C:$C,"S"))</f>
        <v>115.6</v>
      </c>
      <c r="M17" s="774">
        <f>IF($C17=0,"",SUMIFS(INPUT_DATA!BC:BC,INPUT_DATA!$A:$A,$C17,INPUT_DATA!$C:$C,"S"))</f>
        <v>0</v>
      </c>
      <c r="N17" s="774">
        <f>IF($C17=0,"",SUMIFS(INPUT_DATA!BD:BD,INPUT_DATA!$A:$A,$C17,INPUT_DATA!$C:$C,"S"))</f>
        <v>1176.25</v>
      </c>
      <c r="O17" s="774">
        <f>IF($C17=0,"",SUMIFS(INPUT_DATA!BE:BE,INPUT_DATA!$A:$A,$C17,INPUT_DATA!$C:$C,"S"))</f>
        <v>4.59</v>
      </c>
      <c r="P17" s="774">
        <f>IF($C17=0,"",SUMIFS(INPUT_DATA!BF:BF,INPUT_DATA!$A:$A,$C17,INPUT_DATA!$C:$C,"S"))</f>
        <v>0</v>
      </c>
      <c r="Q17" s="780">
        <f t="shared" si="5"/>
        <v>884553.24999999988</v>
      </c>
      <c r="R17" s="782">
        <f>IF($C17=0,"",SUMIFS(INPUT_DATA!BH:BH,INPUT_DATA!$A:$A,$C17,INPUT_DATA!$C:$C,"S"))</f>
        <v>0</v>
      </c>
      <c r="S17" s="782">
        <f>IF($C17=0,"",SUMIFS(INPUT_DATA!BI:BI,INPUT_DATA!$A:$A,$C17,INPUT_DATA!$C:$C,"S"))</f>
        <v>0</v>
      </c>
      <c r="T17" s="780">
        <f t="shared" si="6"/>
        <v>9487366.2100000009</v>
      </c>
      <c r="U17" s="785">
        <f>IF($C17=0,"",SUMIFS(INPUT_DATA!BL:BL,INPUT_DATA!$A:$A,$C17,INPUT_DATA!$C:$C,"S"))</f>
        <v>9487366.2100000009</v>
      </c>
      <c r="V17" s="155">
        <f t="shared" si="1"/>
        <v>0</v>
      </c>
      <c r="W17" s="149"/>
      <c r="X17" s="762">
        <f>IF($C17=0,"",SUMIFS(INPUT_DATA!AU:AU,INPUT_DATA!$A:$A,$C17,INPUT_DATA!$C:$C,"D"))</f>
        <v>0</v>
      </c>
      <c r="Y17" s="774">
        <f>IF($C17=0,"",SUMIFS(INPUT_DATA!AV:AV,INPUT_DATA!$A:$A,$C17,INPUT_DATA!$C:$C,"D"))</f>
        <v>0</v>
      </c>
      <c r="Z17" s="774">
        <f>IF($C17=0,"",SUMIFS(INPUT_DATA!AW:AW,INPUT_DATA!$A:$A,$C17,INPUT_DATA!$C:$C,"D"))</f>
        <v>0</v>
      </c>
      <c r="AA17" s="775">
        <f t="shared" si="2"/>
        <v>0</v>
      </c>
      <c r="AB17" s="774">
        <f>IF($C17=0,"",SUMIFS(INPUT_DATA!AX:AX,INPUT_DATA!$A:$A,$C17,INPUT_DATA!$C:$C,"D"))</f>
        <v>0</v>
      </c>
      <c r="AC17" s="774">
        <f>IF($C17=0,"",SUMIFS(INPUT_DATA!AY:AY,INPUT_DATA!$A:$A,$C17,INPUT_DATA!$C:$C,"D"))</f>
        <v>0</v>
      </c>
      <c r="AD17" s="774">
        <f>IF($C17=0,"",SUMIFS(INPUT_DATA!AZ:AZ,INPUT_DATA!$A:$A,$C17,INPUT_DATA!$C:$C,"D"))</f>
        <v>0</v>
      </c>
      <c r="AE17" s="774">
        <f>IF($C17=0,"",SUMIFS(INPUT_DATA!BA:BA,INPUT_DATA!$A:$A,$C17,INPUT_DATA!$C:$C,"D"))</f>
        <v>0</v>
      </c>
      <c r="AF17" s="774">
        <f>IF($C17=0,"",SUMIFS(INPUT_DATA!BB:BB,INPUT_DATA!$A:$A,$C17,INPUT_DATA!$C:$C,"D"))</f>
        <v>0</v>
      </c>
      <c r="AG17" s="774">
        <f>IF($C17=0,"",SUMIFS(INPUT_DATA!BC:BC,INPUT_DATA!$A:$A,$C17,INPUT_DATA!$C:$C,"D"))</f>
        <v>0</v>
      </c>
      <c r="AH17" s="774">
        <f>IF($C17=0,"",SUMIFS(INPUT_DATA!BD:BD,INPUT_DATA!$A:$A,$C17,INPUT_DATA!$C:$C,"D"))</f>
        <v>0</v>
      </c>
      <c r="AI17" s="774">
        <f>IF($C17=0,"",SUMIFS(INPUT_DATA!BE:BE,INPUT_DATA!$A:$A,$C17,INPUT_DATA!$C:$C,"D"))</f>
        <v>0</v>
      </c>
      <c r="AJ17" s="315">
        <f t="shared" si="3"/>
        <v>0</v>
      </c>
      <c r="AK17" s="782">
        <f>IF($C17=0,"",SUMIFS(INPUT_DATA!BG:BG,INPUT_DATA!$A:$A,$C17,INPUT_DATA!$C:$C,"D"))</f>
        <v>0</v>
      </c>
      <c r="AL17" s="782">
        <f>IF($C17=0,"",SUMIFS(INPUT_DATA!BH:BH,INPUT_DATA!$A:$A,$C17,INPUT_DATA!$C:$C,"D"))</f>
        <v>0</v>
      </c>
      <c r="AM17" s="782">
        <f>IF($C17=0,"",SUMIFS(INPUT_DATA!BI:BI,INPUT_DATA!$A:$A,$C17,INPUT_DATA!$C:$C,"D"))</f>
        <v>0</v>
      </c>
      <c r="AN17" s="780">
        <f t="shared" si="7"/>
        <v>0</v>
      </c>
      <c r="AO17" s="785">
        <f>IF($C17=0,"",SUMIFS(INPUT_DATA!BK:BK,INPUT_DATA!$A:$A,$C17,INPUT_DATA!$C:$C,"D"))</f>
        <v>0</v>
      </c>
      <c r="AP17" s="355">
        <f t="shared" si="8"/>
        <v>0</v>
      </c>
      <c r="AQ17" s="149"/>
      <c r="AS17" s="355">
        <f t="shared" si="9"/>
        <v>9487366.2100000009</v>
      </c>
      <c r="AU17" s="391">
        <f>IF($C17=0,"",'03 - Monthly Asset Follow up'!E21+'03 - Monthly Asset Follow up'!F21-'03 - Monthly Asset Follow up'!U21+'03 - Monthly Asset Follow up'!X21-H17)</f>
        <v>-1.862645149230957E-9</v>
      </c>
      <c r="AV17" s="391">
        <f>IF($C17=0,"",'03 - Monthly Asset Follow up'!BD21+'03 - Monthly Asset Follow up'!BE21-'03 - Monthly Asset Follow up'!BT21+'03 - Monthly Asset Follow up'!BW21)</f>
        <v>0</v>
      </c>
      <c r="AX17" s="154"/>
    </row>
    <row r="18" spans="2:50" ht="13" x14ac:dyDescent="0.3">
      <c r="B18" s="766">
        <f t="shared" si="4"/>
        <v>45292</v>
      </c>
      <c r="C18" s="769">
        <f>'03 - Monthly Asset Follow up'!B22</f>
        <v>45322</v>
      </c>
      <c r="D18" s="149"/>
      <c r="E18" s="762">
        <f>IF($C18=0,"",SUMIFS(INPUT_DATA!AU:AU,INPUT_DATA!$A:$A,$C18,INPUT_DATA!$C:$C,"S"))</f>
        <v>4932621.09</v>
      </c>
      <c r="F18" s="774">
        <f>IF($C18=0,"",SUMIFS(INPUT_DATA!AV:AV,INPUT_DATA!$A:$A,$C18,INPUT_DATA!$C:$C,"S"))</f>
        <v>87199.01</v>
      </c>
      <c r="G18" s="774">
        <f>IF($C18=0,"",SUMIFS(INPUT_DATA!AW:AW,INPUT_DATA!$A:$A,$C18,INPUT_DATA!$C:$C,"S"))</f>
        <v>1486537.02</v>
      </c>
      <c r="H18" s="776">
        <f t="shared" si="0"/>
        <v>6506357.1199999992</v>
      </c>
      <c r="I18" s="774">
        <f>IF($C18=0,"",SUMIFS(INPUT_DATA!AY:AY,INPUT_DATA!$A:$A,$C18,INPUT_DATA!$C:$C,"S"))</f>
        <v>886080.03</v>
      </c>
      <c r="J18" s="774">
        <f>IF($C18=0,"",SUMIFS(INPUT_DATA!AZ:AZ,INPUT_DATA!$A:$A,$C18,INPUT_DATA!$C:$C,"S"))</f>
        <v>9985.4699999999993</v>
      </c>
      <c r="K18" s="774">
        <f>IF($C18=0,"",SUMIFS(INPUT_DATA!BA:BA,INPUT_DATA!$A:$A,$C18,INPUT_DATA!$C:$C,"S"))</f>
        <v>108.96</v>
      </c>
      <c r="L18" s="774">
        <f>IF($C18=0,"",SUMIFS(INPUT_DATA!BB:BB,INPUT_DATA!$A:$A,$C18,INPUT_DATA!$C:$C,"S"))</f>
        <v>148.88</v>
      </c>
      <c r="M18" s="774">
        <f>IF($C18=0,"",SUMIFS(INPUT_DATA!BC:BC,INPUT_DATA!$A:$A,$C18,INPUT_DATA!$C:$C,"S"))</f>
        <v>0</v>
      </c>
      <c r="N18" s="774">
        <f>IF($C18=0,"",SUMIFS(INPUT_DATA!BD:BD,INPUT_DATA!$A:$A,$C18,INPUT_DATA!$C:$C,"S"))</f>
        <v>7187.84</v>
      </c>
      <c r="O18" s="774">
        <f>IF($C18=0,"",SUMIFS(INPUT_DATA!BE:BE,INPUT_DATA!$A:$A,$C18,INPUT_DATA!$C:$C,"S"))</f>
        <v>126.23</v>
      </c>
      <c r="P18" s="774">
        <f>IF($C18=0,"",SUMIFS(INPUT_DATA!BF:BF,INPUT_DATA!$A:$A,$C18,INPUT_DATA!$C:$C,"S"))</f>
        <v>0</v>
      </c>
      <c r="Q18" s="780">
        <f t="shared" si="5"/>
        <v>903637.40999999992</v>
      </c>
      <c r="R18" s="782">
        <f>IF($C18=0,"",SUMIFS(INPUT_DATA!BH:BH,INPUT_DATA!$A:$A,$C18,INPUT_DATA!$C:$C,"S"))</f>
        <v>0</v>
      </c>
      <c r="S18" s="782">
        <f>IF($C18=0,"",SUMIFS(INPUT_DATA!BI:BI,INPUT_DATA!$A:$A,$C18,INPUT_DATA!$C:$C,"S"))</f>
        <v>0</v>
      </c>
      <c r="T18" s="780">
        <f t="shared" si="6"/>
        <v>7409994.5299999993</v>
      </c>
      <c r="U18" s="785">
        <f>IF($C18=0,"",SUMIFS(INPUT_DATA!BL:BL,INPUT_DATA!$A:$A,$C18,INPUT_DATA!$C:$C,"S"))</f>
        <v>7409994.5300000003</v>
      </c>
      <c r="V18" s="155">
        <f t="shared" si="1"/>
        <v>-9.3132257461547852E-10</v>
      </c>
      <c r="W18" s="149"/>
      <c r="X18" s="762">
        <f>IF($C18=0,"",SUMIFS(INPUT_DATA!AU:AU,INPUT_DATA!$A:$A,$C18,INPUT_DATA!$C:$C,"D"))</f>
        <v>0</v>
      </c>
      <c r="Y18" s="774">
        <f>IF($C18=0,"",SUMIFS(INPUT_DATA!AV:AV,INPUT_DATA!$A:$A,$C18,INPUT_DATA!$C:$C,"D"))</f>
        <v>0</v>
      </c>
      <c r="Z18" s="774">
        <f>IF($C18=0,"",SUMIFS(INPUT_DATA!AW:AW,INPUT_DATA!$A:$A,$C18,INPUT_DATA!$C:$C,"D"))</f>
        <v>0</v>
      </c>
      <c r="AA18" s="775">
        <f t="shared" si="2"/>
        <v>0</v>
      </c>
      <c r="AB18" s="774">
        <f>IF($C18=0,"",SUMIFS(INPUT_DATA!AX:AX,INPUT_DATA!$A:$A,$C18,INPUT_DATA!$C:$C,"D"))</f>
        <v>0</v>
      </c>
      <c r="AC18" s="774">
        <f>IF($C18=0,"",SUMIFS(INPUT_DATA!AY:AY,INPUT_DATA!$A:$A,$C18,INPUT_DATA!$C:$C,"D"))</f>
        <v>0</v>
      </c>
      <c r="AD18" s="774">
        <f>IF($C18=0,"",SUMIFS(INPUT_DATA!AZ:AZ,INPUT_DATA!$A:$A,$C18,INPUT_DATA!$C:$C,"D"))</f>
        <v>0</v>
      </c>
      <c r="AE18" s="774">
        <f>IF($C18=0,"",SUMIFS(INPUT_DATA!BA:BA,INPUT_DATA!$A:$A,$C18,INPUT_DATA!$C:$C,"D"))</f>
        <v>0</v>
      </c>
      <c r="AF18" s="774">
        <f>IF($C18=0,"",SUMIFS(INPUT_DATA!BB:BB,INPUT_DATA!$A:$A,$C18,INPUT_DATA!$C:$C,"D"))</f>
        <v>0</v>
      </c>
      <c r="AG18" s="774">
        <f>IF($C18=0,"",SUMIFS(INPUT_DATA!BC:BC,INPUT_DATA!$A:$A,$C18,INPUT_DATA!$C:$C,"D"))</f>
        <v>0</v>
      </c>
      <c r="AH18" s="774">
        <f>IF($C18=0,"",SUMIFS(INPUT_DATA!BD:BD,INPUT_DATA!$A:$A,$C18,INPUT_DATA!$C:$C,"D"))</f>
        <v>0</v>
      </c>
      <c r="AI18" s="774">
        <f>IF($C18=0,"",SUMIFS(INPUT_DATA!BE:BE,INPUT_DATA!$A:$A,$C18,INPUT_DATA!$C:$C,"D"))</f>
        <v>0</v>
      </c>
      <c r="AJ18" s="315">
        <f t="shared" si="3"/>
        <v>0</v>
      </c>
      <c r="AK18" s="782">
        <f>IF($C18=0,"",SUMIFS(INPUT_DATA!BG:BG,INPUT_DATA!$A:$A,$C18,INPUT_DATA!$C:$C,"D"))</f>
        <v>0</v>
      </c>
      <c r="AL18" s="782">
        <f>IF($C18=0,"",SUMIFS(INPUT_DATA!BH:BH,INPUT_DATA!$A:$A,$C18,INPUT_DATA!$C:$C,"D"))</f>
        <v>0</v>
      </c>
      <c r="AM18" s="782">
        <f>IF($C18=0,"",SUMIFS(INPUT_DATA!BI:BI,INPUT_DATA!$A:$A,$C18,INPUT_DATA!$C:$C,"D"))</f>
        <v>0</v>
      </c>
      <c r="AN18" s="780">
        <f t="shared" si="7"/>
        <v>0</v>
      </c>
      <c r="AO18" s="785">
        <f>IF($C18=0,"",SUMIFS(INPUT_DATA!BK:BK,INPUT_DATA!$A:$A,$C18,INPUT_DATA!$C:$C,"D"))</f>
        <v>0</v>
      </c>
      <c r="AP18" s="355">
        <f t="shared" si="8"/>
        <v>0</v>
      </c>
      <c r="AQ18" s="149"/>
      <c r="AS18" s="355">
        <f t="shared" si="9"/>
        <v>7409994.5299999993</v>
      </c>
      <c r="AU18" s="391">
        <f>IF($C18=0,"",'03 - Monthly Asset Follow up'!E22+'03 - Monthly Asset Follow up'!F22-'03 - Monthly Asset Follow up'!U22+'03 - Monthly Asset Follow up'!X22-H18)</f>
        <v>9.3132257461547852E-10</v>
      </c>
      <c r="AV18" s="391">
        <f>IF($C18=0,"",'03 - Monthly Asset Follow up'!BD22+'03 - Monthly Asset Follow up'!BE22-'03 - Monthly Asset Follow up'!BT22+'03 - Monthly Asset Follow up'!BW22)</f>
        <v>0</v>
      </c>
      <c r="AX18" s="154"/>
    </row>
    <row r="19" spans="2:50" ht="13" x14ac:dyDescent="0.3">
      <c r="B19" s="766">
        <f t="shared" si="4"/>
        <v>45261</v>
      </c>
      <c r="C19" s="769">
        <f>'03 - Monthly Asset Follow up'!B23</f>
        <v>45291</v>
      </c>
      <c r="D19" s="149"/>
      <c r="E19" s="762">
        <f>IF($C19=0,"",SUMIFS(INPUT_DATA!AU:AU,INPUT_DATA!$A:$A,$C19,INPUT_DATA!$C:$C,"S"))</f>
        <v>4911410.67</v>
      </c>
      <c r="F19" s="774">
        <f>IF($C19=0,"",SUMIFS(INPUT_DATA!AV:AV,INPUT_DATA!$A:$A,$C19,INPUT_DATA!$C:$C,"S"))</f>
        <v>60023.95</v>
      </c>
      <c r="G19" s="774">
        <f>IF($C19=0,"",SUMIFS(INPUT_DATA!AW:AW,INPUT_DATA!$A:$A,$C19,INPUT_DATA!$C:$C,"S"))</f>
        <v>616128.16</v>
      </c>
      <c r="H19" s="776">
        <f t="shared" si="0"/>
        <v>5587562.7800000003</v>
      </c>
      <c r="I19" s="774">
        <f>IF($C19=0,"",SUMIFS(INPUT_DATA!AY:AY,INPUT_DATA!$A:$A,$C19,INPUT_DATA!$C:$C,"S"))</f>
        <v>890581.77</v>
      </c>
      <c r="J19" s="774">
        <f>IF($C19=0,"",SUMIFS(INPUT_DATA!AZ:AZ,INPUT_DATA!$A:$A,$C19,INPUT_DATA!$C:$C,"S"))</f>
        <v>7913.99</v>
      </c>
      <c r="K19" s="774">
        <f>IF($C19=0,"",SUMIFS(INPUT_DATA!BA:BA,INPUT_DATA!$A:$A,$C19,INPUT_DATA!$C:$C,"S"))</f>
        <v>51.69</v>
      </c>
      <c r="L19" s="774">
        <f>IF($C19=0,"",SUMIFS(INPUT_DATA!BB:BB,INPUT_DATA!$A:$A,$C19,INPUT_DATA!$C:$C,"S"))</f>
        <v>73.59</v>
      </c>
      <c r="M19" s="774">
        <f>IF($C19=0,"",SUMIFS(INPUT_DATA!BC:BC,INPUT_DATA!$A:$A,$C19,INPUT_DATA!$C:$C,"S"))</f>
        <v>0</v>
      </c>
      <c r="N19" s="774">
        <f>IF($C19=0,"",SUMIFS(INPUT_DATA!BD:BD,INPUT_DATA!$A:$A,$C19,INPUT_DATA!$C:$C,"S"))</f>
        <v>3663.44</v>
      </c>
      <c r="O19" s="774">
        <f>IF($C19=0,"",SUMIFS(INPUT_DATA!BE:BE,INPUT_DATA!$A:$A,$C19,INPUT_DATA!$C:$C,"S"))</f>
        <v>206.23</v>
      </c>
      <c r="P19" s="774">
        <f>IF($C19=0,"",SUMIFS(INPUT_DATA!BF:BF,INPUT_DATA!$A:$A,$C19,INPUT_DATA!$C:$C,"S"))</f>
        <v>0</v>
      </c>
      <c r="Q19" s="780">
        <f t="shared" si="5"/>
        <v>902490.70999999985</v>
      </c>
      <c r="R19" s="782">
        <f>IF($C19=0,"",SUMIFS(INPUT_DATA!BH:BH,INPUT_DATA!$A:$A,$C19,INPUT_DATA!$C:$C,"S"))</f>
        <v>0</v>
      </c>
      <c r="S19" s="782">
        <f>IF($C19=0,"",SUMIFS(INPUT_DATA!BI:BI,INPUT_DATA!$A:$A,$C19,INPUT_DATA!$C:$C,"S"))</f>
        <v>0</v>
      </c>
      <c r="T19" s="780">
        <f t="shared" si="6"/>
        <v>6490053.4900000002</v>
      </c>
      <c r="U19" s="785">
        <f>IF($C19=0,"",SUMIFS(INPUT_DATA!BL:BL,INPUT_DATA!$A:$A,$C19,INPUT_DATA!$C:$C,"S"))</f>
        <v>6490053.4900000002</v>
      </c>
      <c r="V19" s="155">
        <f t="shared" si="1"/>
        <v>0</v>
      </c>
      <c r="W19" s="149"/>
      <c r="X19" s="762">
        <f>IF($C19=0,"",SUMIFS(INPUT_DATA!AU:AU,INPUT_DATA!$A:$A,$C19,INPUT_DATA!$C:$C,"D"))</f>
        <v>0</v>
      </c>
      <c r="Y19" s="774">
        <f>IF($C19=0,"",SUMIFS(INPUT_DATA!AV:AV,INPUT_DATA!$A:$A,$C19,INPUT_DATA!$C:$C,"D"))</f>
        <v>0</v>
      </c>
      <c r="Z19" s="774">
        <f>IF($C19=0,"",SUMIFS(INPUT_DATA!AW:AW,INPUT_DATA!$A:$A,$C19,INPUT_DATA!$C:$C,"D"))</f>
        <v>0</v>
      </c>
      <c r="AA19" s="775">
        <f t="shared" si="2"/>
        <v>0</v>
      </c>
      <c r="AB19" s="774">
        <f>IF($C19=0,"",SUMIFS(INPUT_DATA!AX:AX,INPUT_DATA!$A:$A,$C19,INPUT_DATA!$C:$C,"D"))</f>
        <v>0</v>
      </c>
      <c r="AC19" s="774">
        <f>IF($C19=0,"",SUMIFS(INPUT_DATA!AY:AY,INPUT_DATA!$A:$A,$C19,INPUT_DATA!$C:$C,"D"))</f>
        <v>0</v>
      </c>
      <c r="AD19" s="774">
        <f>IF($C19=0,"",SUMIFS(INPUT_DATA!AZ:AZ,INPUT_DATA!$A:$A,$C19,INPUT_DATA!$C:$C,"D"))</f>
        <v>0</v>
      </c>
      <c r="AE19" s="774">
        <f>IF($C19=0,"",SUMIFS(INPUT_DATA!BA:BA,INPUT_DATA!$A:$A,$C19,INPUT_DATA!$C:$C,"D"))</f>
        <v>0</v>
      </c>
      <c r="AF19" s="774">
        <f>IF($C19=0,"",SUMIFS(INPUT_DATA!BB:BB,INPUT_DATA!$A:$A,$C19,INPUT_DATA!$C:$C,"D"))</f>
        <v>0</v>
      </c>
      <c r="AG19" s="774">
        <f>IF($C19=0,"",SUMIFS(INPUT_DATA!BC:BC,INPUT_DATA!$A:$A,$C19,INPUT_DATA!$C:$C,"D"))</f>
        <v>0</v>
      </c>
      <c r="AH19" s="774">
        <f>IF($C19=0,"",SUMIFS(INPUT_DATA!BD:BD,INPUT_DATA!$A:$A,$C19,INPUT_DATA!$C:$C,"D"))</f>
        <v>0</v>
      </c>
      <c r="AI19" s="774">
        <f>IF($C19=0,"",SUMIFS(INPUT_DATA!BE:BE,INPUT_DATA!$A:$A,$C19,INPUT_DATA!$C:$C,"D"))</f>
        <v>0</v>
      </c>
      <c r="AJ19" s="315">
        <f t="shared" si="3"/>
        <v>0</v>
      </c>
      <c r="AK19" s="782">
        <f>IF($C19=0,"",SUMIFS(INPUT_DATA!BG:BG,INPUT_DATA!$A:$A,$C19,INPUT_DATA!$C:$C,"D"))</f>
        <v>0</v>
      </c>
      <c r="AL19" s="782">
        <f>IF($C19=0,"",SUMIFS(INPUT_DATA!BH:BH,INPUT_DATA!$A:$A,$C19,INPUT_DATA!$C:$C,"D"))</f>
        <v>0</v>
      </c>
      <c r="AM19" s="782">
        <f>IF($C19=0,"",SUMIFS(INPUT_DATA!BI:BI,INPUT_DATA!$A:$A,$C19,INPUT_DATA!$C:$C,"D"))</f>
        <v>0</v>
      </c>
      <c r="AN19" s="780">
        <f t="shared" si="7"/>
        <v>0</v>
      </c>
      <c r="AO19" s="785">
        <f>IF($C19=0,"",SUMIFS(INPUT_DATA!BK:BK,INPUT_DATA!$A:$A,$C19,INPUT_DATA!$C:$C,"D"))</f>
        <v>0</v>
      </c>
      <c r="AP19" s="355">
        <f t="shared" si="8"/>
        <v>0</v>
      </c>
      <c r="AQ19" s="149"/>
      <c r="AS19" s="355">
        <f t="shared" si="9"/>
        <v>6490053.4900000002</v>
      </c>
      <c r="AU19" s="391">
        <f>IF($C19=0,"",'03 - Monthly Asset Follow up'!E23+'03 - Monthly Asset Follow up'!F23-'03 - Monthly Asset Follow up'!U23+'03 - Monthly Asset Follow up'!X23-H19)</f>
        <v>0</v>
      </c>
      <c r="AV19" s="391">
        <f>IF($C19=0,"",'03 - Monthly Asset Follow up'!BD23+'03 - Monthly Asset Follow up'!BE23-'03 - Monthly Asset Follow up'!BT23+'03 - Monthly Asset Follow up'!BW23)</f>
        <v>0</v>
      </c>
      <c r="AX19" s="154"/>
    </row>
    <row r="20" spans="2:50" ht="13" x14ac:dyDescent="0.3">
      <c r="B20" s="766">
        <f t="shared" si="4"/>
        <v>45231</v>
      </c>
      <c r="C20" s="769">
        <f>'03 - Monthly Asset Follow up'!B24</f>
        <v>45260</v>
      </c>
      <c r="D20" s="149"/>
      <c r="E20" s="762">
        <f>IF($C20=0,"",SUMIFS(INPUT_DATA!AU:AU,INPUT_DATA!$A:$A,$C20,INPUT_DATA!$C:$C,"S"))</f>
        <v>4933388.99</v>
      </c>
      <c r="F20" s="774">
        <f>IF($C20=0,"",SUMIFS(INPUT_DATA!AV:AV,INPUT_DATA!$A:$A,$C20,INPUT_DATA!$C:$C,"S"))</f>
        <v>0</v>
      </c>
      <c r="G20" s="774">
        <f>IF($C20=0,"",SUMIFS(INPUT_DATA!AW:AW,INPUT_DATA!$A:$A,$C20,INPUT_DATA!$C:$C,"S"))</f>
        <v>1285255.6299999999</v>
      </c>
      <c r="H20" s="776">
        <f t="shared" si="0"/>
        <v>6218644.6200000001</v>
      </c>
      <c r="I20" s="774">
        <f>IF($C20=0,"",SUMIFS(INPUT_DATA!AY:AY,INPUT_DATA!$A:$A,$C20,INPUT_DATA!$C:$C,"S"))</f>
        <v>893922.74</v>
      </c>
      <c r="J20" s="774">
        <f>IF($C20=0,"",SUMIFS(INPUT_DATA!AZ:AZ,INPUT_DATA!$A:$A,$C20,INPUT_DATA!$C:$C,"S"))</f>
        <v>0</v>
      </c>
      <c r="K20" s="774">
        <f>IF($C20=0,"",SUMIFS(INPUT_DATA!BA:BA,INPUT_DATA!$A:$A,$C20,INPUT_DATA!$C:$C,"S"))</f>
        <v>0</v>
      </c>
      <c r="L20" s="774">
        <f>IF($C20=0,"",SUMIFS(INPUT_DATA!BB:BB,INPUT_DATA!$A:$A,$C20,INPUT_DATA!$C:$C,"S"))</f>
        <v>0</v>
      </c>
      <c r="M20" s="774">
        <f>IF($C20=0,"",SUMIFS(INPUT_DATA!BC:BC,INPUT_DATA!$A:$A,$C20,INPUT_DATA!$C:$C,"S"))</f>
        <v>0</v>
      </c>
      <c r="N20" s="774">
        <f>IF($C20=0,"",SUMIFS(INPUT_DATA!BD:BD,INPUT_DATA!$A:$A,$C20,INPUT_DATA!$C:$C,"S"))</f>
        <v>8208.68</v>
      </c>
      <c r="O20" s="774">
        <f>IF($C20=0,"",SUMIFS(INPUT_DATA!BE:BE,INPUT_DATA!$A:$A,$C20,INPUT_DATA!$C:$C,"S"))</f>
        <v>349.35</v>
      </c>
      <c r="P20" s="774">
        <f>IF($C20=0,"",SUMIFS(INPUT_DATA!BF:BF,INPUT_DATA!$A:$A,$C20,INPUT_DATA!$C:$C,"S"))</f>
        <v>0</v>
      </c>
      <c r="Q20" s="780">
        <f t="shared" si="5"/>
        <v>902480.77</v>
      </c>
      <c r="R20" s="782">
        <f>IF($C20=0,"",SUMIFS(INPUT_DATA!BH:BH,INPUT_DATA!$A:$A,$C20,INPUT_DATA!$C:$C,"S"))</f>
        <v>0</v>
      </c>
      <c r="S20" s="782">
        <f>IF($C20=0,"",SUMIFS(INPUT_DATA!BI:BI,INPUT_DATA!$A:$A,$C20,INPUT_DATA!$C:$C,"S"))</f>
        <v>0</v>
      </c>
      <c r="T20" s="780">
        <f t="shared" si="6"/>
        <v>7121125.3900000006</v>
      </c>
      <c r="U20" s="785">
        <f>IF($C20=0,"",SUMIFS(INPUT_DATA!BL:BL,INPUT_DATA!$A:$A,$C20,INPUT_DATA!$C:$C,"S"))</f>
        <v>7121125.3899999997</v>
      </c>
      <c r="V20" s="155">
        <f t="shared" si="1"/>
        <v>9.3132257461547852E-10</v>
      </c>
      <c r="W20" s="149"/>
      <c r="X20" s="762">
        <f>IF($C20=0,"",SUMIFS(INPUT_DATA!AU:AU,INPUT_DATA!$A:$A,$C20,INPUT_DATA!$C:$C,"D"))</f>
        <v>0</v>
      </c>
      <c r="Y20" s="774">
        <f>IF($C20=0,"",SUMIFS(INPUT_DATA!AV:AV,INPUT_DATA!$A:$A,$C20,INPUT_DATA!$C:$C,"D"))</f>
        <v>0</v>
      </c>
      <c r="Z20" s="774">
        <f>IF($C20=0,"",SUMIFS(INPUT_DATA!AW:AW,INPUT_DATA!$A:$A,$C20,INPUT_DATA!$C:$C,"D"))</f>
        <v>0</v>
      </c>
      <c r="AA20" s="775">
        <f t="shared" si="2"/>
        <v>0</v>
      </c>
      <c r="AB20" s="774">
        <f>IF($C20=0,"",SUMIFS(INPUT_DATA!AX:AX,INPUT_DATA!$A:$A,$C20,INPUT_DATA!$C:$C,"D"))</f>
        <v>0</v>
      </c>
      <c r="AC20" s="774">
        <f>IF($C20=0,"",SUMIFS(INPUT_DATA!AY:AY,INPUT_DATA!$A:$A,$C20,INPUT_DATA!$C:$C,"D"))</f>
        <v>0</v>
      </c>
      <c r="AD20" s="774">
        <f>IF($C20=0,"",SUMIFS(INPUT_DATA!AZ:AZ,INPUT_DATA!$A:$A,$C20,INPUT_DATA!$C:$C,"D"))</f>
        <v>0</v>
      </c>
      <c r="AE20" s="774">
        <f>IF($C20=0,"",SUMIFS(INPUT_DATA!BA:BA,INPUT_DATA!$A:$A,$C20,INPUT_DATA!$C:$C,"D"))</f>
        <v>0</v>
      </c>
      <c r="AF20" s="774">
        <f>IF($C20=0,"",SUMIFS(INPUT_DATA!BB:BB,INPUT_DATA!$A:$A,$C20,INPUT_DATA!$C:$C,"D"))</f>
        <v>0</v>
      </c>
      <c r="AG20" s="774">
        <f>IF($C20=0,"",SUMIFS(INPUT_DATA!BC:BC,INPUT_DATA!$A:$A,$C20,INPUT_DATA!$C:$C,"D"))</f>
        <v>0</v>
      </c>
      <c r="AH20" s="774">
        <f>IF($C20=0,"",SUMIFS(INPUT_DATA!BD:BD,INPUT_DATA!$A:$A,$C20,INPUT_DATA!$C:$C,"D"))</f>
        <v>0</v>
      </c>
      <c r="AI20" s="774">
        <f>IF($C20=0,"",SUMIFS(INPUT_DATA!BE:BE,INPUT_DATA!$A:$A,$C20,INPUT_DATA!$C:$C,"D"))</f>
        <v>0</v>
      </c>
      <c r="AJ20" s="315">
        <f t="shared" si="3"/>
        <v>0</v>
      </c>
      <c r="AK20" s="782">
        <f>IF($C20=0,"",SUMIFS(INPUT_DATA!BG:BG,INPUT_DATA!$A:$A,$C20,INPUT_DATA!$C:$C,"D"))</f>
        <v>0</v>
      </c>
      <c r="AL20" s="782">
        <f>IF($C20=0,"",SUMIFS(INPUT_DATA!BH:BH,INPUT_DATA!$A:$A,$C20,INPUT_DATA!$C:$C,"D"))</f>
        <v>0</v>
      </c>
      <c r="AM20" s="782">
        <f>IF($C20=0,"",SUMIFS(INPUT_DATA!BI:BI,INPUT_DATA!$A:$A,$C20,INPUT_DATA!$C:$C,"D"))</f>
        <v>0</v>
      </c>
      <c r="AN20" s="780">
        <f t="shared" si="7"/>
        <v>0</v>
      </c>
      <c r="AO20" s="785">
        <f>IF($C20=0,"",SUMIFS(INPUT_DATA!BK:BK,INPUT_DATA!$A:$A,$C20,INPUT_DATA!$C:$C,"D"))</f>
        <v>0</v>
      </c>
      <c r="AP20" s="355">
        <f t="shared" si="8"/>
        <v>0</v>
      </c>
      <c r="AQ20" s="149"/>
      <c r="AS20" s="355">
        <f t="shared" si="9"/>
        <v>7121125.3900000006</v>
      </c>
      <c r="AU20" s="391">
        <f>IF($C20=0,"",'03 - Monthly Asset Follow up'!E24+'03 - Monthly Asset Follow up'!F24-'03 - Monthly Asset Follow up'!U24+'03 - Monthly Asset Follow up'!X24-H20)</f>
        <v>0</v>
      </c>
      <c r="AV20" s="391">
        <f>IF($C20=0,"",'03 - Monthly Asset Follow up'!BD24+'03 - Monthly Asset Follow up'!BE24-'03 - Monthly Asset Follow up'!BT24+'03 - Monthly Asset Follow up'!BW24)</f>
        <v>0</v>
      </c>
      <c r="AX20" s="154"/>
    </row>
    <row r="21" spans="2:50" ht="13" x14ac:dyDescent="0.3">
      <c r="B21" s="766" t="str">
        <f t="shared" si="4"/>
        <v/>
      </c>
      <c r="C21" s="769">
        <f>'03 - Monthly Asset Follow up'!B25</f>
        <v>45230</v>
      </c>
      <c r="D21" s="149"/>
      <c r="E21" s="762">
        <f>IF($C21=0,"",SUMIFS(INPUT_DATA!AU:AU,INPUT_DATA!$A:$A,$C21,INPUT_DATA!$C:$C,"S"))</f>
        <v>0</v>
      </c>
      <c r="F21" s="774">
        <f>IF($C21=0,"",SUMIFS(INPUT_DATA!AV:AV,INPUT_DATA!$A:$A,$C21,INPUT_DATA!$C:$C,"S"))</f>
        <v>0</v>
      </c>
      <c r="G21" s="774">
        <f>IF($C21=0,"",SUMIFS(INPUT_DATA!AW:AW,INPUT_DATA!$A:$A,$C21,INPUT_DATA!$C:$C,"S"))</f>
        <v>0</v>
      </c>
      <c r="H21" s="776">
        <f t="shared" si="0"/>
        <v>0</v>
      </c>
      <c r="I21" s="774">
        <f>IF($C21=0,"",SUMIFS(INPUT_DATA!AY:AY,INPUT_DATA!$A:$A,$C21,INPUT_DATA!$C:$C,"S"))</f>
        <v>0</v>
      </c>
      <c r="J21" s="774">
        <f>IF($C21=0,"",SUMIFS(INPUT_DATA!AZ:AZ,INPUT_DATA!$A:$A,$C21,INPUT_DATA!$C:$C,"S"))</f>
        <v>0</v>
      </c>
      <c r="K21" s="774">
        <f>IF($C21=0,"",SUMIFS(INPUT_DATA!BA:BA,INPUT_DATA!$A:$A,$C21,INPUT_DATA!$C:$C,"S"))</f>
        <v>0</v>
      </c>
      <c r="L21" s="774">
        <f>IF($C21=0,"",SUMIFS(INPUT_DATA!BB:BB,INPUT_DATA!$A:$A,$C21,INPUT_DATA!$C:$C,"S"))</f>
        <v>0</v>
      </c>
      <c r="M21" s="774">
        <f>IF($C21=0,"",SUMIFS(INPUT_DATA!BC:BC,INPUT_DATA!$A:$A,$C21,INPUT_DATA!$C:$C,"S"))</f>
        <v>0</v>
      </c>
      <c r="N21" s="774">
        <f>IF($C21=0,"",SUMIFS(INPUT_DATA!BD:BD,INPUT_DATA!$A:$A,$C21,INPUT_DATA!$C:$C,"S"))</f>
        <v>0</v>
      </c>
      <c r="O21" s="774">
        <f>IF($C21=0,"",SUMIFS(INPUT_DATA!BE:BE,INPUT_DATA!$A:$A,$C21,INPUT_DATA!$C:$C,"S"))</f>
        <v>0</v>
      </c>
      <c r="P21" s="774">
        <f>IF($C21=0,"",SUMIFS(INPUT_DATA!BF:BF,INPUT_DATA!$A:$A,$C21,INPUT_DATA!$C:$C,"S"))</f>
        <v>0</v>
      </c>
      <c r="Q21" s="780">
        <f t="shared" si="5"/>
        <v>0</v>
      </c>
      <c r="R21" s="782">
        <f>IF($C21=0,"",SUMIFS(INPUT_DATA!BH:BH,INPUT_DATA!$A:$A,$C21,INPUT_DATA!$C:$C,"S"))</f>
        <v>0</v>
      </c>
      <c r="S21" s="782">
        <f>IF($C21=0,"",SUMIFS(INPUT_DATA!BI:BI,INPUT_DATA!$A:$A,$C21,INPUT_DATA!$C:$C,"S"))</f>
        <v>0</v>
      </c>
      <c r="T21" s="780">
        <f t="shared" si="6"/>
        <v>0</v>
      </c>
      <c r="U21" s="785">
        <f>IF($C21=0,"",SUMIFS(INPUT_DATA!BL:BL,INPUT_DATA!$A:$A,$C21,INPUT_DATA!$C:$C,"S"))</f>
        <v>0</v>
      </c>
      <c r="V21" s="155">
        <f t="shared" si="1"/>
        <v>0</v>
      </c>
      <c r="W21" s="149"/>
      <c r="X21" s="762">
        <f>IF($C21=0,"",SUMIFS(INPUT_DATA!AU:AU,INPUT_DATA!$A:$A,$C21,INPUT_DATA!$C:$C,"D"))</f>
        <v>0</v>
      </c>
      <c r="Y21" s="774">
        <f>IF($C21=0,"",SUMIFS(INPUT_DATA!AV:AV,INPUT_DATA!$A:$A,$C21,INPUT_DATA!$C:$C,"D"))</f>
        <v>0</v>
      </c>
      <c r="Z21" s="774">
        <f>IF($C21=0,"",SUMIFS(INPUT_DATA!AW:AW,INPUT_DATA!$A:$A,$C21,INPUT_DATA!$C:$C,"D"))</f>
        <v>0</v>
      </c>
      <c r="AA21" s="775">
        <f t="shared" si="2"/>
        <v>0</v>
      </c>
      <c r="AB21" s="774">
        <f>IF($C21=0,"",SUMIFS(INPUT_DATA!AX:AX,INPUT_DATA!$A:$A,$C21,INPUT_DATA!$C:$C,"D"))</f>
        <v>0</v>
      </c>
      <c r="AC21" s="774">
        <f>IF($C21=0,"",SUMIFS(INPUT_DATA!AY:AY,INPUT_DATA!$A:$A,$C21,INPUT_DATA!$C:$C,"D"))</f>
        <v>0</v>
      </c>
      <c r="AD21" s="774">
        <f>IF($C21=0,"",SUMIFS(INPUT_DATA!AZ:AZ,INPUT_DATA!$A:$A,$C21,INPUT_DATA!$C:$C,"D"))</f>
        <v>0</v>
      </c>
      <c r="AE21" s="774">
        <f>IF($C21=0,"",SUMIFS(INPUT_DATA!BA:BA,INPUT_DATA!$A:$A,$C21,INPUT_DATA!$C:$C,"D"))</f>
        <v>0</v>
      </c>
      <c r="AF21" s="774">
        <f>IF($C21=0,"",SUMIFS(INPUT_DATA!BB:BB,INPUT_DATA!$A:$A,$C21,INPUT_DATA!$C:$C,"D"))</f>
        <v>0</v>
      </c>
      <c r="AG21" s="774">
        <f>IF($C21=0,"",SUMIFS(INPUT_DATA!BC:BC,INPUT_DATA!$A:$A,$C21,INPUT_DATA!$C:$C,"D"))</f>
        <v>0</v>
      </c>
      <c r="AH21" s="774">
        <f>IF($C21=0,"",SUMIFS(INPUT_DATA!BD:BD,INPUT_DATA!$A:$A,$C21,INPUT_DATA!$C:$C,"D"))</f>
        <v>0</v>
      </c>
      <c r="AI21" s="774">
        <f>IF($C21=0,"",SUMIFS(INPUT_DATA!BE:BE,INPUT_DATA!$A:$A,$C21,INPUT_DATA!$C:$C,"D"))</f>
        <v>0</v>
      </c>
      <c r="AJ21" s="315">
        <f t="shared" si="3"/>
        <v>0</v>
      </c>
      <c r="AK21" s="782">
        <f>IF($C21=0,"",SUMIFS(INPUT_DATA!BG:BG,INPUT_DATA!$A:$A,$C21,INPUT_DATA!$C:$C,"D"))</f>
        <v>0</v>
      </c>
      <c r="AL21" s="782">
        <f>IF($C21=0,"",SUMIFS(INPUT_DATA!BH:BH,INPUT_DATA!$A:$A,$C21,INPUT_DATA!$C:$C,"D"))</f>
        <v>0</v>
      </c>
      <c r="AM21" s="782">
        <f>IF($C21=0,"",SUMIFS(INPUT_DATA!BI:BI,INPUT_DATA!$A:$A,$C21,INPUT_DATA!$C:$C,"D"))</f>
        <v>0</v>
      </c>
      <c r="AN21" s="780">
        <f t="shared" si="7"/>
        <v>0</v>
      </c>
      <c r="AO21" s="785">
        <f>IF($C21=0,"",SUMIFS(INPUT_DATA!BK:BK,INPUT_DATA!$A:$A,$C21,INPUT_DATA!$C:$C,"D"))</f>
        <v>0</v>
      </c>
      <c r="AP21" s="355">
        <f t="shared" si="8"/>
        <v>0</v>
      </c>
      <c r="AQ21" s="149"/>
      <c r="AS21" s="355">
        <f t="shared" si="9"/>
        <v>0</v>
      </c>
      <c r="AU21" s="391">
        <f>IF($C21=0,"",'03 - Monthly Asset Follow up'!E25+'03 - Monthly Asset Follow up'!F25-'03 - Monthly Asset Follow up'!U25+'03 - Monthly Asset Follow up'!X25-H21)</f>
        <v>0</v>
      </c>
      <c r="AV21" s="391">
        <f>IF($C21=0,"",'03 - Monthly Asset Follow up'!BD25+'03 - Monthly Asset Follow up'!BE25-'03 - Monthly Asset Follow up'!BT25+'03 - Monthly Asset Follow up'!BW25)</f>
        <v>0</v>
      </c>
      <c r="AX21" s="154"/>
    </row>
    <row r="22" spans="2:50" ht="13" x14ac:dyDescent="0.3">
      <c r="B22" s="766" t="str">
        <f t="shared" si="4"/>
        <v/>
      </c>
      <c r="C22" s="769">
        <f>'03 - Monthly Asset Follow up'!B26</f>
        <v>0</v>
      </c>
      <c r="D22" s="149"/>
      <c r="E22" s="762" t="str">
        <f>IF($C22=0,"",SUMIFS(INPUT_DATA!AU:AU,INPUT_DATA!$A:$A,$C22,INPUT_DATA!$C:$C,"S"))</f>
        <v/>
      </c>
      <c r="F22" s="774" t="str">
        <f>IF($C22=0,"",SUMIFS(INPUT_DATA!AV:AV,INPUT_DATA!$A:$A,$C22,INPUT_DATA!$C:$C,"S"))</f>
        <v/>
      </c>
      <c r="G22" s="774" t="str">
        <f>IF($C22=0,"",SUMIFS(INPUT_DATA!AW:AW,INPUT_DATA!$A:$A,$C22,INPUT_DATA!$C:$C,"S"))</f>
        <v/>
      </c>
      <c r="H22" s="776" t="str">
        <f t="shared" si="0"/>
        <v/>
      </c>
      <c r="I22" s="774" t="str">
        <f>IF($C22=0,"",SUMIFS(INPUT_DATA!AY:AY,INPUT_DATA!$A:$A,$C22,INPUT_DATA!$C:$C,"S"))</f>
        <v/>
      </c>
      <c r="J22" s="774" t="str">
        <f>IF($C22=0,"",SUMIFS(INPUT_DATA!AZ:AZ,INPUT_DATA!$A:$A,$C22,INPUT_DATA!$C:$C,"S"))</f>
        <v/>
      </c>
      <c r="K22" s="774" t="str">
        <f>IF($C22=0,"",SUMIFS(INPUT_DATA!BA:BA,INPUT_DATA!$A:$A,$C22,INPUT_DATA!$C:$C,"S"))</f>
        <v/>
      </c>
      <c r="L22" s="774" t="str">
        <f>IF($C22=0,"",SUMIFS(INPUT_DATA!BB:BB,INPUT_DATA!$A:$A,$C22,INPUT_DATA!$C:$C,"S"))</f>
        <v/>
      </c>
      <c r="M22" s="774" t="str">
        <f>IF($C22=0,"",SUMIFS(INPUT_DATA!BC:BC,INPUT_DATA!$A:$A,$C22,INPUT_DATA!$C:$C,"S"))</f>
        <v/>
      </c>
      <c r="N22" s="774" t="str">
        <f>IF($C22=0,"",SUMIFS(INPUT_DATA!BD:BD,INPUT_DATA!$A:$A,$C22,INPUT_DATA!$C:$C,"S"))</f>
        <v/>
      </c>
      <c r="O22" s="774" t="str">
        <f>IF($C22=0,"",SUMIFS(INPUT_DATA!BE:BE,INPUT_DATA!$A:$A,$C22,INPUT_DATA!$C:$C,"S"))</f>
        <v/>
      </c>
      <c r="P22" s="774" t="str">
        <f>IF($C22=0,"",SUMIFS(INPUT_DATA!BF:BF,INPUT_DATA!$A:$A,$C22,INPUT_DATA!$C:$C,"S"))</f>
        <v/>
      </c>
      <c r="Q22" s="780" t="str">
        <f t="shared" si="5"/>
        <v/>
      </c>
      <c r="R22" s="782" t="str">
        <f>IF($C22=0,"",SUMIFS(INPUT_DATA!BH:BH,INPUT_DATA!$A:$A,$C22,INPUT_DATA!$C:$C,"S"))</f>
        <v/>
      </c>
      <c r="S22" s="782" t="str">
        <f>IF($C22=0,"",SUMIFS(INPUT_DATA!BI:BI,INPUT_DATA!$A:$A,$C22,INPUT_DATA!$C:$C,"S"))</f>
        <v/>
      </c>
      <c r="T22" s="780" t="str">
        <f t="shared" si="6"/>
        <v/>
      </c>
      <c r="U22" s="785" t="str">
        <f>IF($C22=0,"",SUMIFS(INPUT_DATA!BL:BL,INPUT_DATA!$A:$A,$C22,INPUT_DATA!$C:$C,"S"))</f>
        <v/>
      </c>
      <c r="V22" s="155" t="str">
        <f t="shared" si="1"/>
        <v/>
      </c>
      <c r="W22" s="149"/>
      <c r="X22" s="762" t="str">
        <f>IF($C22=0,"",SUMIFS(INPUT_DATA!AU:AU,INPUT_DATA!$A:$A,$C22,INPUT_DATA!$C:$C,"D"))</f>
        <v/>
      </c>
      <c r="Y22" s="774" t="str">
        <f>IF($C22=0,"",SUMIFS(INPUT_DATA!AV:AV,INPUT_DATA!$A:$A,$C22,INPUT_DATA!$C:$C,"D"))</f>
        <v/>
      </c>
      <c r="Z22" s="774" t="str">
        <f>IF($C22=0,"",SUMIFS(INPUT_DATA!AW:AW,INPUT_DATA!$A:$A,$C22,INPUT_DATA!$C:$C,"D"))</f>
        <v/>
      </c>
      <c r="AA22" s="775" t="str">
        <f t="shared" si="2"/>
        <v/>
      </c>
      <c r="AB22" s="774" t="str">
        <f>IF($C22=0,"",SUMIFS(INPUT_DATA!AX:AX,INPUT_DATA!$A:$A,$C22,INPUT_DATA!$C:$C,"D"))</f>
        <v/>
      </c>
      <c r="AC22" s="774" t="str">
        <f>IF($C22=0,"",SUMIFS(INPUT_DATA!AY:AY,INPUT_DATA!$A:$A,$C22,INPUT_DATA!$C:$C,"D"))</f>
        <v/>
      </c>
      <c r="AD22" s="774" t="str">
        <f>IF($C22=0,"",SUMIFS(INPUT_DATA!AZ:AZ,INPUT_DATA!$A:$A,$C22,INPUT_DATA!$C:$C,"D"))</f>
        <v/>
      </c>
      <c r="AE22" s="774" t="str">
        <f>IF($C22=0,"",SUMIFS(INPUT_DATA!BA:BA,INPUT_DATA!$A:$A,$C22,INPUT_DATA!$C:$C,"D"))</f>
        <v/>
      </c>
      <c r="AF22" s="774" t="str">
        <f>IF($C22=0,"",SUMIFS(INPUT_DATA!BB:BB,INPUT_DATA!$A:$A,$C22,INPUT_DATA!$C:$C,"D"))</f>
        <v/>
      </c>
      <c r="AG22" s="774" t="str">
        <f>IF($C22=0,"",SUMIFS(INPUT_DATA!BC:BC,INPUT_DATA!$A:$A,$C22,INPUT_DATA!$C:$C,"D"))</f>
        <v/>
      </c>
      <c r="AH22" s="774" t="str">
        <f>IF($C22=0,"",SUMIFS(INPUT_DATA!BD:BD,INPUT_DATA!$A:$A,$C22,INPUT_DATA!$C:$C,"D"))</f>
        <v/>
      </c>
      <c r="AI22" s="774" t="str">
        <f>IF($C22=0,"",SUMIFS(INPUT_DATA!BE:BE,INPUT_DATA!$A:$A,$C22,INPUT_DATA!$C:$C,"D"))</f>
        <v/>
      </c>
      <c r="AJ22" s="315" t="str">
        <f t="shared" si="3"/>
        <v/>
      </c>
      <c r="AK22" s="782" t="str">
        <f>IF($C22=0,"",SUMIFS(INPUT_DATA!BG:BG,INPUT_DATA!$A:$A,$C22,INPUT_DATA!$C:$C,"D"))</f>
        <v/>
      </c>
      <c r="AL22" s="782" t="str">
        <f>IF($C22=0,"",SUMIFS(INPUT_DATA!BH:BH,INPUT_DATA!$A:$A,$C22,INPUT_DATA!$C:$C,"D"))</f>
        <v/>
      </c>
      <c r="AM22" s="782" t="str">
        <f>IF($C22=0,"",SUMIFS(INPUT_DATA!BI:BI,INPUT_DATA!$A:$A,$C22,INPUT_DATA!$C:$C,"D"))</f>
        <v/>
      </c>
      <c r="AN22" s="780" t="str">
        <f t="shared" si="7"/>
        <v/>
      </c>
      <c r="AO22" s="785" t="str">
        <f>IF($C22=0,"",SUMIFS(INPUT_DATA!BK:BK,INPUT_DATA!$A:$A,$C22,INPUT_DATA!$C:$C,"D"))</f>
        <v/>
      </c>
      <c r="AP22" s="355" t="str">
        <f t="shared" si="8"/>
        <v/>
      </c>
      <c r="AQ22" s="149"/>
      <c r="AS22" s="355" t="str">
        <f t="shared" si="9"/>
        <v/>
      </c>
      <c r="AU22" s="391" t="str">
        <f>IF($C22=0,"",'03 - Monthly Asset Follow up'!E26+'03 - Monthly Asset Follow up'!F26-'03 - Monthly Asset Follow up'!U26+'03 - Monthly Asset Follow up'!X26-H22)</f>
        <v/>
      </c>
      <c r="AV22" s="391" t="str">
        <f>IF($C22=0,"",'03 - Monthly Asset Follow up'!BD26+'03 - Monthly Asset Follow up'!BE26-'03 - Monthly Asset Follow up'!BT26+'03 - Monthly Asset Follow up'!BW26)</f>
        <v/>
      </c>
      <c r="AX22" s="154"/>
    </row>
    <row r="23" spans="2:50" ht="13" x14ac:dyDescent="0.3">
      <c r="B23" s="766" t="str">
        <f t="shared" si="4"/>
        <v/>
      </c>
      <c r="C23" s="769">
        <f>'03 - Monthly Asset Follow up'!B27</f>
        <v>0</v>
      </c>
      <c r="D23" s="149"/>
      <c r="E23" s="762" t="str">
        <f>IF($C23=0,"",SUMIFS(INPUT_DATA!AU:AU,INPUT_DATA!$A:$A,$C23,INPUT_DATA!$C:$C,"S"))</f>
        <v/>
      </c>
      <c r="F23" s="774" t="str">
        <f>IF($C23=0,"",SUMIFS(INPUT_DATA!AV:AV,INPUT_DATA!$A:$A,$C23,INPUT_DATA!$C:$C,"S"))</f>
        <v/>
      </c>
      <c r="G23" s="774" t="str">
        <f>IF($C23=0,"",SUMIFS(INPUT_DATA!AW:AW,INPUT_DATA!$A:$A,$C23,INPUT_DATA!$C:$C,"S"))</f>
        <v/>
      </c>
      <c r="H23" s="776" t="str">
        <f t="shared" si="0"/>
        <v/>
      </c>
      <c r="I23" s="774" t="str">
        <f>IF($C23=0,"",SUMIFS(INPUT_DATA!AY:AY,INPUT_DATA!$A:$A,$C23,INPUT_DATA!$C:$C,"S"))</f>
        <v/>
      </c>
      <c r="J23" s="774" t="str">
        <f>IF($C23=0,"",SUMIFS(INPUT_DATA!AZ:AZ,INPUT_DATA!$A:$A,$C23,INPUT_DATA!$C:$C,"S"))</f>
        <v/>
      </c>
      <c r="K23" s="774" t="str">
        <f>IF($C23=0,"",SUMIFS(INPUT_DATA!BA:BA,INPUT_DATA!$A:$A,$C23,INPUT_DATA!$C:$C,"S"))</f>
        <v/>
      </c>
      <c r="L23" s="774" t="str">
        <f>IF($C23=0,"",SUMIFS(INPUT_DATA!BB:BB,INPUT_DATA!$A:$A,$C23,INPUT_DATA!$C:$C,"S"))</f>
        <v/>
      </c>
      <c r="M23" s="774" t="str">
        <f>IF($C23=0,"",SUMIFS(INPUT_DATA!BC:BC,INPUT_DATA!$A:$A,$C23,INPUT_DATA!$C:$C,"S"))</f>
        <v/>
      </c>
      <c r="N23" s="774" t="str">
        <f>IF($C23=0,"",SUMIFS(INPUT_DATA!BD:BD,INPUT_DATA!$A:$A,$C23,INPUT_DATA!$C:$C,"S"))</f>
        <v/>
      </c>
      <c r="O23" s="774" t="str">
        <f>IF($C23=0,"",SUMIFS(INPUT_DATA!BE:BE,INPUT_DATA!$A:$A,$C23,INPUT_DATA!$C:$C,"S"))</f>
        <v/>
      </c>
      <c r="P23" s="774" t="str">
        <f>IF($C23=0,"",SUMIFS(INPUT_DATA!BF:BF,INPUT_DATA!$A:$A,$C23,INPUT_DATA!$C:$C,"S"))</f>
        <v/>
      </c>
      <c r="Q23" s="780" t="str">
        <f t="shared" si="5"/>
        <v/>
      </c>
      <c r="R23" s="782" t="str">
        <f>IF($C23=0,"",SUMIFS(INPUT_DATA!BH:BH,INPUT_DATA!$A:$A,$C23,INPUT_DATA!$C:$C,"S"))</f>
        <v/>
      </c>
      <c r="S23" s="782" t="str">
        <f>IF($C23=0,"",SUMIFS(INPUT_DATA!BI:BI,INPUT_DATA!$A:$A,$C23,INPUT_DATA!$C:$C,"S"))</f>
        <v/>
      </c>
      <c r="T23" s="780" t="str">
        <f t="shared" si="6"/>
        <v/>
      </c>
      <c r="U23" s="785" t="str">
        <f>IF($C23=0,"",SUMIFS(INPUT_DATA!BL:BL,INPUT_DATA!$A:$A,$C23,INPUT_DATA!$C:$C,"S"))</f>
        <v/>
      </c>
      <c r="V23" s="155" t="str">
        <f t="shared" si="1"/>
        <v/>
      </c>
      <c r="W23" s="149"/>
      <c r="X23" s="762" t="str">
        <f>IF($C23=0,"",SUMIFS(INPUT_DATA!AU:AU,INPUT_DATA!$A:$A,$C23,INPUT_DATA!$C:$C,"D"))</f>
        <v/>
      </c>
      <c r="Y23" s="774" t="str">
        <f>IF($C23=0,"",SUMIFS(INPUT_DATA!AV:AV,INPUT_DATA!$A:$A,$C23,INPUT_DATA!$C:$C,"D"))</f>
        <v/>
      </c>
      <c r="Z23" s="774" t="str">
        <f>IF($C23=0,"",SUMIFS(INPUT_DATA!AW:AW,INPUT_DATA!$A:$A,$C23,INPUT_DATA!$C:$C,"D"))</f>
        <v/>
      </c>
      <c r="AA23" s="775" t="str">
        <f t="shared" si="2"/>
        <v/>
      </c>
      <c r="AB23" s="774" t="str">
        <f>IF($C23=0,"",SUMIFS(INPUT_DATA!AX:AX,INPUT_DATA!$A:$A,$C23,INPUT_DATA!$C:$C,"D"))</f>
        <v/>
      </c>
      <c r="AC23" s="774" t="str">
        <f>IF($C23=0,"",SUMIFS(INPUT_DATA!AY:AY,INPUT_DATA!$A:$A,$C23,INPUT_DATA!$C:$C,"D"))</f>
        <v/>
      </c>
      <c r="AD23" s="774" t="str">
        <f>IF($C23=0,"",SUMIFS(INPUT_DATA!AZ:AZ,INPUT_DATA!$A:$A,$C23,INPUT_DATA!$C:$C,"D"))</f>
        <v/>
      </c>
      <c r="AE23" s="774" t="str">
        <f>IF($C23=0,"",SUMIFS(INPUT_DATA!BA:BA,INPUT_DATA!$A:$A,$C23,INPUT_DATA!$C:$C,"D"))</f>
        <v/>
      </c>
      <c r="AF23" s="774" t="str">
        <f>IF($C23=0,"",SUMIFS(INPUT_DATA!BB:BB,INPUT_DATA!$A:$A,$C23,INPUT_DATA!$C:$C,"D"))</f>
        <v/>
      </c>
      <c r="AG23" s="774" t="str">
        <f>IF($C23=0,"",SUMIFS(INPUT_DATA!BC:BC,INPUT_DATA!$A:$A,$C23,INPUT_DATA!$C:$C,"D"))</f>
        <v/>
      </c>
      <c r="AH23" s="774" t="str">
        <f>IF($C23=0,"",SUMIFS(INPUT_DATA!BD:BD,INPUT_DATA!$A:$A,$C23,INPUT_DATA!$C:$C,"D"))</f>
        <v/>
      </c>
      <c r="AI23" s="774" t="str">
        <f>IF($C23=0,"",SUMIFS(INPUT_DATA!BE:BE,INPUT_DATA!$A:$A,$C23,INPUT_DATA!$C:$C,"D"))</f>
        <v/>
      </c>
      <c r="AJ23" s="315" t="str">
        <f t="shared" si="3"/>
        <v/>
      </c>
      <c r="AK23" s="782" t="str">
        <f>IF($C23=0,"",SUMIFS(INPUT_DATA!BG:BG,INPUT_DATA!$A:$A,$C23,INPUT_DATA!$C:$C,"D"))</f>
        <v/>
      </c>
      <c r="AL23" s="782" t="str">
        <f>IF($C23=0,"",SUMIFS(INPUT_DATA!BH:BH,INPUT_DATA!$A:$A,$C23,INPUT_DATA!$C:$C,"D"))</f>
        <v/>
      </c>
      <c r="AM23" s="782" t="str">
        <f>IF($C23=0,"",SUMIFS(INPUT_DATA!BI:BI,INPUT_DATA!$A:$A,$C23,INPUT_DATA!$C:$C,"D"))</f>
        <v/>
      </c>
      <c r="AN23" s="780" t="str">
        <f t="shared" si="7"/>
        <v/>
      </c>
      <c r="AO23" s="785" t="str">
        <f>IF($C23=0,"",SUMIFS(INPUT_DATA!BK:BK,INPUT_DATA!$A:$A,$C23,INPUT_DATA!$C:$C,"D"))</f>
        <v/>
      </c>
      <c r="AP23" s="355" t="str">
        <f t="shared" si="8"/>
        <v/>
      </c>
      <c r="AQ23" s="149"/>
      <c r="AS23" s="355" t="str">
        <f t="shared" si="9"/>
        <v/>
      </c>
      <c r="AU23" s="391" t="str">
        <f>IF($C23=0,"",'03 - Monthly Asset Follow up'!E27+'03 - Monthly Asset Follow up'!F27-'03 - Monthly Asset Follow up'!U27+'03 - Monthly Asset Follow up'!X27-H23)</f>
        <v/>
      </c>
      <c r="AV23" s="391" t="str">
        <f>IF($C23=0,"",'03 - Monthly Asset Follow up'!BD27+'03 - Monthly Asset Follow up'!BE27-'03 - Monthly Asset Follow up'!BT27+'03 - Monthly Asset Follow up'!BW27)</f>
        <v/>
      </c>
      <c r="AX23" s="154"/>
    </row>
    <row r="24" spans="2:50" ht="13" x14ac:dyDescent="0.3">
      <c r="B24" s="766" t="str">
        <f t="shared" si="4"/>
        <v/>
      </c>
      <c r="C24" s="769">
        <f>'03 - Monthly Asset Follow up'!B28</f>
        <v>0</v>
      </c>
      <c r="D24" s="149"/>
      <c r="E24" s="762" t="str">
        <f>IF($C24=0,"",SUMIFS(INPUT_DATA!AU:AU,INPUT_DATA!$A:$A,$C24,INPUT_DATA!$C:$C,"S"))</f>
        <v/>
      </c>
      <c r="F24" s="774" t="str">
        <f>IF($C24=0,"",SUMIFS(INPUT_DATA!AV:AV,INPUT_DATA!$A:$A,$C24,INPUT_DATA!$C:$C,"S"))</f>
        <v/>
      </c>
      <c r="G24" s="774" t="str">
        <f>IF($C24=0,"",SUMIFS(INPUT_DATA!AW:AW,INPUT_DATA!$A:$A,$C24,INPUT_DATA!$C:$C,"S"))</f>
        <v/>
      </c>
      <c r="H24" s="776" t="str">
        <f t="shared" si="0"/>
        <v/>
      </c>
      <c r="I24" s="774" t="str">
        <f>IF($C24=0,"",SUMIFS(INPUT_DATA!AY:AY,INPUT_DATA!$A:$A,$C24,INPUT_DATA!$C:$C,"S"))</f>
        <v/>
      </c>
      <c r="J24" s="774" t="str">
        <f>IF($C24=0,"",SUMIFS(INPUT_DATA!AZ:AZ,INPUT_DATA!$A:$A,$C24,INPUT_DATA!$C:$C,"S"))</f>
        <v/>
      </c>
      <c r="K24" s="774" t="str">
        <f>IF($C24=0,"",SUMIFS(INPUT_DATA!BA:BA,INPUT_DATA!$A:$A,$C24,INPUT_DATA!$C:$C,"S"))</f>
        <v/>
      </c>
      <c r="L24" s="774" t="str">
        <f>IF($C24=0,"",SUMIFS(INPUT_DATA!BB:BB,INPUT_DATA!$A:$A,$C24,INPUT_DATA!$C:$C,"S"))</f>
        <v/>
      </c>
      <c r="M24" s="774" t="str">
        <f>IF($C24=0,"",SUMIFS(INPUT_DATA!BC:BC,INPUT_DATA!$A:$A,$C24,INPUT_DATA!$C:$C,"S"))</f>
        <v/>
      </c>
      <c r="N24" s="774" t="str">
        <f>IF($C24=0,"",SUMIFS(INPUT_DATA!BD:BD,INPUT_DATA!$A:$A,$C24,INPUT_DATA!$C:$C,"S"))</f>
        <v/>
      </c>
      <c r="O24" s="774" t="str">
        <f>IF($C24=0,"",SUMIFS(INPUT_DATA!BE:BE,INPUT_DATA!$A:$A,$C24,INPUT_DATA!$C:$C,"S"))</f>
        <v/>
      </c>
      <c r="P24" s="774" t="str">
        <f>IF($C24=0,"",SUMIFS(INPUT_DATA!BF:BF,INPUT_DATA!$A:$A,$C24,INPUT_DATA!$C:$C,"S"))</f>
        <v/>
      </c>
      <c r="Q24" s="780" t="str">
        <f t="shared" si="5"/>
        <v/>
      </c>
      <c r="R24" s="782" t="str">
        <f>IF($C24=0,"",SUMIFS(INPUT_DATA!BH:BH,INPUT_DATA!$A:$A,$C24,INPUT_DATA!$C:$C,"S"))</f>
        <v/>
      </c>
      <c r="S24" s="782" t="str">
        <f>IF($C24=0,"",SUMIFS(INPUT_DATA!BI:BI,INPUT_DATA!$A:$A,$C24,INPUT_DATA!$C:$C,"S"))</f>
        <v/>
      </c>
      <c r="T24" s="780" t="str">
        <f t="shared" si="6"/>
        <v/>
      </c>
      <c r="U24" s="785" t="str">
        <f>IF($C24=0,"",SUMIFS(INPUT_DATA!BL:BL,INPUT_DATA!$A:$A,$C24,INPUT_DATA!$C:$C,"S"))</f>
        <v/>
      </c>
      <c r="V24" s="155" t="str">
        <f t="shared" si="1"/>
        <v/>
      </c>
      <c r="W24" s="149"/>
      <c r="X24" s="762" t="str">
        <f>IF($C24=0,"",SUMIFS(INPUT_DATA!AU:AU,INPUT_DATA!$A:$A,$C24,INPUT_DATA!$C:$C,"D"))</f>
        <v/>
      </c>
      <c r="Y24" s="774" t="str">
        <f>IF($C24=0,"",SUMIFS(INPUT_DATA!AV:AV,INPUT_DATA!$A:$A,$C24,INPUT_DATA!$C:$C,"D"))</f>
        <v/>
      </c>
      <c r="Z24" s="774" t="str">
        <f>IF($C24=0,"",SUMIFS(INPUT_DATA!AW:AW,INPUT_DATA!$A:$A,$C24,INPUT_DATA!$C:$C,"D"))</f>
        <v/>
      </c>
      <c r="AA24" s="775" t="str">
        <f t="shared" si="2"/>
        <v/>
      </c>
      <c r="AB24" s="774" t="str">
        <f>IF($C24=0,"",SUMIFS(INPUT_DATA!AX:AX,INPUT_DATA!$A:$A,$C24,INPUT_DATA!$C:$C,"D"))</f>
        <v/>
      </c>
      <c r="AC24" s="774" t="str">
        <f>IF($C24=0,"",SUMIFS(INPUT_DATA!AY:AY,INPUT_DATA!$A:$A,$C24,INPUT_DATA!$C:$C,"D"))</f>
        <v/>
      </c>
      <c r="AD24" s="774" t="str">
        <f>IF($C24=0,"",SUMIFS(INPUT_DATA!AZ:AZ,INPUT_DATA!$A:$A,$C24,INPUT_DATA!$C:$C,"D"))</f>
        <v/>
      </c>
      <c r="AE24" s="774" t="str">
        <f>IF($C24=0,"",SUMIFS(INPUT_DATA!BA:BA,INPUT_DATA!$A:$A,$C24,INPUT_DATA!$C:$C,"D"))</f>
        <v/>
      </c>
      <c r="AF24" s="774" t="str">
        <f>IF($C24=0,"",SUMIFS(INPUT_DATA!BB:BB,INPUT_DATA!$A:$A,$C24,INPUT_DATA!$C:$C,"D"))</f>
        <v/>
      </c>
      <c r="AG24" s="774" t="str">
        <f>IF($C24=0,"",SUMIFS(INPUT_DATA!BC:BC,INPUT_DATA!$A:$A,$C24,INPUT_DATA!$C:$C,"D"))</f>
        <v/>
      </c>
      <c r="AH24" s="774" t="str">
        <f>IF($C24=0,"",SUMIFS(INPUT_DATA!BD:BD,INPUT_DATA!$A:$A,$C24,INPUT_DATA!$C:$C,"D"))</f>
        <v/>
      </c>
      <c r="AI24" s="774" t="str">
        <f>IF($C24=0,"",SUMIFS(INPUT_DATA!BE:BE,INPUT_DATA!$A:$A,$C24,INPUT_DATA!$C:$C,"D"))</f>
        <v/>
      </c>
      <c r="AJ24" s="315" t="str">
        <f t="shared" si="3"/>
        <v/>
      </c>
      <c r="AK24" s="782" t="str">
        <f>IF($C24=0,"",SUMIFS(INPUT_DATA!BG:BG,INPUT_DATA!$A:$A,$C24,INPUT_DATA!$C:$C,"D"))</f>
        <v/>
      </c>
      <c r="AL24" s="782" t="str">
        <f>IF($C24=0,"",SUMIFS(INPUT_DATA!BH:BH,INPUT_DATA!$A:$A,$C24,INPUT_DATA!$C:$C,"D"))</f>
        <v/>
      </c>
      <c r="AM24" s="782" t="str">
        <f>IF($C24=0,"",SUMIFS(INPUT_DATA!BI:BI,INPUT_DATA!$A:$A,$C24,INPUT_DATA!$C:$C,"D"))</f>
        <v/>
      </c>
      <c r="AN24" s="780" t="str">
        <f t="shared" si="7"/>
        <v/>
      </c>
      <c r="AO24" s="785" t="str">
        <f>IF($C24=0,"",SUMIFS(INPUT_DATA!BK:BK,INPUT_DATA!$A:$A,$C24,INPUT_DATA!$C:$C,"D"))</f>
        <v/>
      </c>
      <c r="AP24" s="355" t="str">
        <f t="shared" si="8"/>
        <v/>
      </c>
      <c r="AQ24" s="149"/>
      <c r="AS24" s="355" t="str">
        <f t="shared" si="9"/>
        <v/>
      </c>
      <c r="AU24" s="391" t="str">
        <f>IF($C24=0,"",'03 - Monthly Asset Follow up'!E28+'03 - Monthly Asset Follow up'!F28-'03 - Monthly Asset Follow up'!U28+'03 - Monthly Asset Follow up'!X28-H24)</f>
        <v/>
      </c>
      <c r="AV24" s="391" t="str">
        <f>IF($C24=0,"",'03 - Monthly Asset Follow up'!BD28+'03 - Monthly Asset Follow up'!BE28-'03 - Monthly Asset Follow up'!BT28+'03 - Monthly Asset Follow up'!BW28)</f>
        <v/>
      </c>
      <c r="AX24" s="154"/>
    </row>
    <row r="25" spans="2:50" ht="13" x14ac:dyDescent="0.3">
      <c r="B25" s="766" t="str">
        <f t="shared" si="4"/>
        <v/>
      </c>
      <c r="C25" s="769">
        <f>'03 - Monthly Asset Follow up'!B29</f>
        <v>0</v>
      </c>
      <c r="D25" s="149"/>
      <c r="E25" s="762" t="str">
        <f>IF($C25=0,"",SUMIFS(INPUT_DATA!AU:AU,INPUT_DATA!$A:$A,$C25,INPUT_DATA!$C:$C,"S"))</f>
        <v/>
      </c>
      <c r="F25" s="774" t="str">
        <f>IF($C25=0,"",SUMIFS(INPUT_DATA!AV:AV,INPUT_DATA!$A:$A,$C25,INPUT_DATA!$C:$C,"S"))</f>
        <v/>
      </c>
      <c r="G25" s="774" t="str">
        <f>IF($C25=0,"",SUMIFS(INPUT_DATA!AW:AW,INPUT_DATA!$A:$A,$C25,INPUT_DATA!$C:$C,"S"))</f>
        <v/>
      </c>
      <c r="H25" s="776" t="str">
        <f t="shared" si="0"/>
        <v/>
      </c>
      <c r="I25" s="774" t="str">
        <f>IF($C25=0,"",SUMIFS(INPUT_DATA!AY:AY,INPUT_DATA!$A:$A,$C25,INPUT_DATA!$C:$C,"S"))</f>
        <v/>
      </c>
      <c r="J25" s="774" t="str">
        <f>IF($C25=0,"",SUMIFS(INPUT_DATA!AZ:AZ,INPUT_DATA!$A:$A,$C25,INPUT_DATA!$C:$C,"S"))</f>
        <v/>
      </c>
      <c r="K25" s="774" t="str">
        <f>IF($C25=0,"",SUMIFS(INPUT_DATA!BA:BA,INPUT_DATA!$A:$A,$C25,INPUT_DATA!$C:$C,"S"))</f>
        <v/>
      </c>
      <c r="L25" s="774" t="str">
        <f>IF($C25=0,"",SUMIFS(INPUT_DATA!BB:BB,INPUT_DATA!$A:$A,$C25,INPUT_DATA!$C:$C,"S"))</f>
        <v/>
      </c>
      <c r="M25" s="774" t="str">
        <f>IF($C25=0,"",SUMIFS(INPUT_DATA!BC:BC,INPUT_DATA!$A:$A,$C25,INPUT_DATA!$C:$C,"S"))</f>
        <v/>
      </c>
      <c r="N25" s="774" t="str">
        <f>IF($C25=0,"",SUMIFS(INPUT_DATA!BD:BD,INPUT_DATA!$A:$A,$C25,INPUT_DATA!$C:$C,"S"))</f>
        <v/>
      </c>
      <c r="O25" s="774" t="str">
        <f>IF($C25=0,"",SUMIFS(INPUT_DATA!BE:BE,INPUT_DATA!$A:$A,$C25,INPUT_DATA!$C:$C,"S"))</f>
        <v/>
      </c>
      <c r="P25" s="774" t="str">
        <f>IF($C25=0,"",SUMIFS(INPUT_DATA!BF:BF,INPUT_DATA!$A:$A,$C25,INPUT_DATA!$C:$C,"S"))</f>
        <v/>
      </c>
      <c r="Q25" s="780" t="str">
        <f t="shared" si="5"/>
        <v/>
      </c>
      <c r="R25" s="782" t="str">
        <f>IF($C25=0,"",SUMIFS(INPUT_DATA!BH:BH,INPUT_DATA!$A:$A,$C25,INPUT_DATA!$C:$C,"S"))</f>
        <v/>
      </c>
      <c r="S25" s="782" t="str">
        <f>IF($C25=0,"",SUMIFS(INPUT_DATA!BI:BI,INPUT_DATA!$A:$A,$C25,INPUT_DATA!$C:$C,"S"))</f>
        <v/>
      </c>
      <c r="T25" s="780" t="str">
        <f t="shared" si="6"/>
        <v/>
      </c>
      <c r="U25" s="785" t="str">
        <f>IF($C25=0,"",SUMIFS(INPUT_DATA!BL:BL,INPUT_DATA!$A:$A,$C25,INPUT_DATA!$C:$C,"S"))</f>
        <v/>
      </c>
      <c r="V25" s="155" t="str">
        <f t="shared" si="1"/>
        <v/>
      </c>
      <c r="W25" s="149"/>
      <c r="X25" s="762" t="str">
        <f>IF($C25=0,"",SUMIFS(INPUT_DATA!AU:AU,INPUT_DATA!$A:$A,$C25,INPUT_DATA!$C:$C,"D"))</f>
        <v/>
      </c>
      <c r="Y25" s="774" t="str">
        <f>IF($C25=0,"",SUMIFS(INPUT_DATA!AV:AV,INPUT_DATA!$A:$A,$C25,INPUT_DATA!$C:$C,"D"))</f>
        <v/>
      </c>
      <c r="Z25" s="774" t="str">
        <f>IF($C25=0,"",SUMIFS(INPUT_DATA!AW:AW,INPUT_DATA!$A:$A,$C25,INPUT_DATA!$C:$C,"D"))</f>
        <v/>
      </c>
      <c r="AA25" s="775" t="str">
        <f t="shared" si="2"/>
        <v/>
      </c>
      <c r="AB25" s="774" t="str">
        <f>IF($C25=0,"",SUMIFS(INPUT_DATA!AX:AX,INPUT_DATA!$A:$A,$C25,INPUT_DATA!$C:$C,"D"))</f>
        <v/>
      </c>
      <c r="AC25" s="774" t="str">
        <f>IF($C25=0,"",SUMIFS(INPUT_DATA!AY:AY,INPUT_DATA!$A:$A,$C25,INPUT_DATA!$C:$C,"D"))</f>
        <v/>
      </c>
      <c r="AD25" s="774" t="str">
        <f>IF($C25=0,"",SUMIFS(INPUT_DATA!AZ:AZ,INPUT_DATA!$A:$A,$C25,INPUT_DATA!$C:$C,"D"))</f>
        <v/>
      </c>
      <c r="AE25" s="774" t="str">
        <f>IF($C25=0,"",SUMIFS(INPUT_DATA!BA:BA,INPUT_DATA!$A:$A,$C25,INPUT_DATA!$C:$C,"D"))</f>
        <v/>
      </c>
      <c r="AF25" s="774" t="str">
        <f>IF($C25=0,"",SUMIFS(INPUT_DATA!BB:BB,INPUT_DATA!$A:$A,$C25,INPUT_DATA!$C:$C,"D"))</f>
        <v/>
      </c>
      <c r="AG25" s="774" t="str">
        <f>IF($C25=0,"",SUMIFS(INPUT_DATA!BC:BC,INPUT_DATA!$A:$A,$C25,INPUT_DATA!$C:$C,"D"))</f>
        <v/>
      </c>
      <c r="AH25" s="774" t="str">
        <f>IF($C25=0,"",SUMIFS(INPUT_DATA!BD:BD,INPUT_DATA!$A:$A,$C25,INPUT_DATA!$C:$C,"D"))</f>
        <v/>
      </c>
      <c r="AI25" s="774" t="str">
        <f>IF($C25=0,"",SUMIFS(INPUT_DATA!BE:BE,INPUT_DATA!$A:$A,$C25,INPUT_DATA!$C:$C,"D"))</f>
        <v/>
      </c>
      <c r="AJ25" s="315" t="str">
        <f t="shared" si="3"/>
        <v/>
      </c>
      <c r="AK25" s="782" t="str">
        <f>IF($C25=0,"",SUMIFS(INPUT_DATA!BG:BG,INPUT_DATA!$A:$A,$C25,INPUT_DATA!$C:$C,"D"))</f>
        <v/>
      </c>
      <c r="AL25" s="782" t="str">
        <f>IF($C25=0,"",SUMIFS(INPUT_DATA!BH:BH,INPUT_DATA!$A:$A,$C25,INPUT_DATA!$C:$C,"D"))</f>
        <v/>
      </c>
      <c r="AM25" s="782" t="str">
        <f>IF($C25=0,"",SUMIFS(INPUT_DATA!BI:BI,INPUT_DATA!$A:$A,$C25,INPUT_DATA!$C:$C,"D"))</f>
        <v/>
      </c>
      <c r="AN25" s="780" t="str">
        <f t="shared" si="7"/>
        <v/>
      </c>
      <c r="AO25" s="785" t="str">
        <f>IF($C25=0,"",SUMIFS(INPUT_DATA!BK:BK,INPUT_DATA!$A:$A,$C25,INPUT_DATA!$C:$C,"D"))</f>
        <v/>
      </c>
      <c r="AP25" s="355" t="str">
        <f t="shared" si="8"/>
        <v/>
      </c>
      <c r="AQ25" s="149"/>
      <c r="AS25" s="355" t="str">
        <f t="shared" si="9"/>
        <v/>
      </c>
      <c r="AU25" s="391" t="str">
        <f>IF($C25=0,"",'03 - Monthly Asset Follow up'!E29+'03 - Monthly Asset Follow up'!F29-'03 - Monthly Asset Follow up'!U29+'03 - Monthly Asset Follow up'!X29-H25)</f>
        <v/>
      </c>
      <c r="AV25" s="391" t="str">
        <f>IF($C25=0,"",'03 - Monthly Asset Follow up'!BD29+'03 - Monthly Asset Follow up'!BE29-'03 - Monthly Asset Follow up'!BT29+'03 - Monthly Asset Follow up'!BW29)</f>
        <v/>
      </c>
      <c r="AX25" s="154"/>
    </row>
    <row r="26" spans="2:50" ht="13" x14ac:dyDescent="0.3">
      <c r="B26" s="766" t="str">
        <f t="shared" si="4"/>
        <v/>
      </c>
      <c r="C26" s="769">
        <f>'03 - Monthly Asset Follow up'!B30</f>
        <v>0</v>
      </c>
      <c r="D26" s="149"/>
      <c r="E26" s="762" t="str">
        <f>IF($C26=0,"",SUMIFS(INPUT_DATA!AU:AU,INPUT_DATA!$A:$A,$C26,INPUT_DATA!$C:$C,"S"))</f>
        <v/>
      </c>
      <c r="F26" s="774" t="str">
        <f>IF($C26=0,"",SUMIFS(INPUT_DATA!AV:AV,INPUT_DATA!$A:$A,$C26,INPUT_DATA!$C:$C,"S"))</f>
        <v/>
      </c>
      <c r="G26" s="774" t="str">
        <f>IF($C26=0,"",SUMIFS(INPUT_DATA!AW:AW,INPUT_DATA!$A:$A,$C26,INPUT_DATA!$C:$C,"S"))</f>
        <v/>
      </c>
      <c r="H26" s="776" t="str">
        <f t="shared" si="0"/>
        <v/>
      </c>
      <c r="I26" s="774" t="str">
        <f>IF($C26=0,"",SUMIFS(INPUT_DATA!AY:AY,INPUT_DATA!$A:$A,$C26,INPUT_DATA!$C:$C,"S"))</f>
        <v/>
      </c>
      <c r="J26" s="774" t="str">
        <f>IF($C26=0,"",SUMIFS(INPUT_DATA!AZ:AZ,INPUT_DATA!$A:$A,$C26,INPUT_DATA!$C:$C,"S"))</f>
        <v/>
      </c>
      <c r="K26" s="774" t="str">
        <f>IF($C26=0,"",SUMIFS(INPUT_DATA!BA:BA,INPUT_DATA!$A:$A,$C26,INPUT_DATA!$C:$C,"S"))</f>
        <v/>
      </c>
      <c r="L26" s="774" t="str">
        <f>IF($C26=0,"",SUMIFS(INPUT_DATA!BB:BB,INPUT_DATA!$A:$A,$C26,INPUT_DATA!$C:$C,"S"))</f>
        <v/>
      </c>
      <c r="M26" s="774" t="str">
        <f>IF($C26=0,"",SUMIFS(INPUT_DATA!BC:BC,INPUT_DATA!$A:$A,$C26,INPUT_DATA!$C:$C,"S"))</f>
        <v/>
      </c>
      <c r="N26" s="774" t="str">
        <f>IF($C26=0,"",SUMIFS(INPUT_DATA!BD:BD,INPUT_DATA!$A:$A,$C26,INPUT_DATA!$C:$C,"S"))</f>
        <v/>
      </c>
      <c r="O26" s="774" t="str">
        <f>IF($C26=0,"",SUMIFS(INPUT_DATA!BE:BE,INPUT_DATA!$A:$A,$C26,INPUT_DATA!$C:$C,"S"))</f>
        <v/>
      </c>
      <c r="P26" s="774" t="str">
        <f>IF($C26=0,"",SUMIFS(INPUT_DATA!BF:BF,INPUT_DATA!$A:$A,$C26,INPUT_DATA!$C:$C,"S"))</f>
        <v/>
      </c>
      <c r="Q26" s="780" t="str">
        <f t="shared" si="5"/>
        <v/>
      </c>
      <c r="R26" s="782" t="str">
        <f>IF($C26=0,"",SUMIFS(INPUT_DATA!BH:BH,INPUT_DATA!$A:$A,$C26,INPUT_DATA!$C:$C,"S"))</f>
        <v/>
      </c>
      <c r="S26" s="782" t="str">
        <f>IF($C26=0,"",SUMIFS(INPUT_DATA!BI:BI,INPUT_DATA!$A:$A,$C26,INPUT_DATA!$C:$C,"S"))</f>
        <v/>
      </c>
      <c r="T26" s="780" t="str">
        <f t="shared" si="6"/>
        <v/>
      </c>
      <c r="U26" s="785" t="str">
        <f>IF($C26=0,"",SUMIFS(INPUT_DATA!BL:BL,INPUT_DATA!$A:$A,$C26,INPUT_DATA!$C:$C,"S"))</f>
        <v/>
      </c>
      <c r="V26" s="155" t="str">
        <f t="shared" si="1"/>
        <v/>
      </c>
      <c r="W26" s="149"/>
      <c r="X26" s="762" t="str">
        <f>IF($C26=0,"",SUMIFS(INPUT_DATA!AU:AU,INPUT_DATA!$A:$A,$C26,INPUT_DATA!$C:$C,"D"))</f>
        <v/>
      </c>
      <c r="Y26" s="774" t="str">
        <f>IF($C26=0,"",SUMIFS(INPUT_DATA!AV:AV,INPUT_DATA!$A:$A,$C26,INPUT_DATA!$C:$C,"D"))</f>
        <v/>
      </c>
      <c r="Z26" s="774" t="str">
        <f>IF($C26=0,"",SUMIFS(INPUT_DATA!AW:AW,INPUT_DATA!$A:$A,$C26,INPUT_DATA!$C:$C,"D"))</f>
        <v/>
      </c>
      <c r="AA26" s="775" t="str">
        <f t="shared" si="2"/>
        <v/>
      </c>
      <c r="AB26" s="774" t="str">
        <f>IF($C26=0,"",SUMIFS(INPUT_DATA!AX:AX,INPUT_DATA!$A:$A,$C26,INPUT_DATA!$C:$C,"D"))</f>
        <v/>
      </c>
      <c r="AC26" s="774" t="str">
        <f>IF($C26=0,"",SUMIFS(INPUT_DATA!AY:AY,INPUT_DATA!$A:$A,$C26,INPUT_DATA!$C:$C,"D"))</f>
        <v/>
      </c>
      <c r="AD26" s="774" t="str">
        <f>IF($C26=0,"",SUMIFS(INPUT_DATA!AZ:AZ,INPUT_DATA!$A:$A,$C26,INPUT_DATA!$C:$C,"D"))</f>
        <v/>
      </c>
      <c r="AE26" s="774" t="str">
        <f>IF($C26=0,"",SUMIFS(INPUT_DATA!BA:BA,INPUT_DATA!$A:$A,$C26,INPUT_DATA!$C:$C,"D"))</f>
        <v/>
      </c>
      <c r="AF26" s="774" t="str">
        <f>IF($C26=0,"",SUMIFS(INPUT_DATA!BB:BB,INPUT_DATA!$A:$A,$C26,INPUT_DATA!$C:$C,"D"))</f>
        <v/>
      </c>
      <c r="AG26" s="774" t="str">
        <f>IF($C26=0,"",SUMIFS(INPUT_DATA!BC:BC,INPUT_DATA!$A:$A,$C26,INPUT_DATA!$C:$C,"D"))</f>
        <v/>
      </c>
      <c r="AH26" s="774" t="str">
        <f>IF($C26=0,"",SUMIFS(INPUT_DATA!BD:BD,INPUT_DATA!$A:$A,$C26,INPUT_DATA!$C:$C,"D"))</f>
        <v/>
      </c>
      <c r="AI26" s="774" t="str">
        <f>IF($C26=0,"",SUMIFS(INPUT_DATA!BE:BE,INPUT_DATA!$A:$A,$C26,INPUT_DATA!$C:$C,"D"))</f>
        <v/>
      </c>
      <c r="AJ26" s="315" t="str">
        <f t="shared" si="3"/>
        <v/>
      </c>
      <c r="AK26" s="782" t="str">
        <f>IF($C26=0,"",SUMIFS(INPUT_DATA!BG:BG,INPUT_DATA!$A:$A,$C26,INPUT_DATA!$C:$C,"D"))</f>
        <v/>
      </c>
      <c r="AL26" s="782" t="str">
        <f>IF($C26=0,"",SUMIFS(INPUT_DATA!BH:BH,INPUT_DATA!$A:$A,$C26,INPUT_DATA!$C:$C,"D"))</f>
        <v/>
      </c>
      <c r="AM26" s="782" t="str">
        <f>IF($C26=0,"",SUMIFS(INPUT_DATA!BI:BI,INPUT_DATA!$A:$A,$C26,INPUT_DATA!$C:$C,"D"))</f>
        <v/>
      </c>
      <c r="AN26" s="780" t="str">
        <f t="shared" si="7"/>
        <v/>
      </c>
      <c r="AO26" s="785" t="str">
        <f>IF($C26=0,"",SUMIFS(INPUT_DATA!BK:BK,INPUT_DATA!$A:$A,$C26,INPUT_DATA!$C:$C,"D"))</f>
        <v/>
      </c>
      <c r="AP26" s="355" t="str">
        <f t="shared" si="8"/>
        <v/>
      </c>
      <c r="AQ26" s="149"/>
      <c r="AS26" s="355" t="str">
        <f t="shared" si="9"/>
        <v/>
      </c>
      <c r="AU26" s="391" t="str">
        <f>IF($C26=0,"",'03 - Monthly Asset Follow up'!E30+'03 - Monthly Asset Follow up'!F30-'03 - Monthly Asset Follow up'!U30+'03 - Monthly Asset Follow up'!X30-H26)</f>
        <v/>
      </c>
      <c r="AV26" s="391" t="str">
        <f>IF($C26=0,"",'03 - Monthly Asset Follow up'!BD30+'03 - Monthly Asset Follow up'!BE30-'03 - Monthly Asset Follow up'!BT30+'03 - Monthly Asset Follow up'!BW30)</f>
        <v/>
      </c>
      <c r="AX26" s="154"/>
    </row>
    <row r="27" spans="2:50" ht="13" x14ac:dyDescent="0.3">
      <c r="B27" s="766" t="str">
        <f t="shared" si="4"/>
        <v/>
      </c>
      <c r="C27" s="769">
        <f>'03 - Monthly Asset Follow up'!B31</f>
        <v>0</v>
      </c>
      <c r="D27" s="149"/>
      <c r="E27" s="762" t="str">
        <f>IF($C27=0,"",SUMIFS(INPUT_DATA!AU:AU,INPUT_DATA!$A:$A,$C27,INPUT_DATA!$C:$C,"S"))</f>
        <v/>
      </c>
      <c r="F27" s="774" t="str">
        <f>IF($C27=0,"",SUMIFS(INPUT_DATA!AV:AV,INPUT_DATA!$A:$A,$C27,INPUT_DATA!$C:$C,"S"))</f>
        <v/>
      </c>
      <c r="G27" s="774" t="str">
        <f>IF($C27=0,"",SUMIFS(INPUT_DATA!AW:AW,INPUT_DATA!$A:$A,$C27,INPUT_DATA!$C:$C,"S"))</f>
        <v/>
      </c>
      <c r="H27" s="776" t="str">
        <f t="shared" si="0"/>
        <v/>
      </c>
      <c r="I27" s="774" t="str">
        <f>IF($C27=0,"",SUMIFS(INPUT_DATA!AY:AY,INPUT_DATA!$A:$A,$C27,INPUT_DATA!$C:$C,"S"))</f>
        <v/>
      </c>
      <c r="J27" s="774" t="str">
        <f>IF($C27=0,"",SUMIFS(INPUT_DATA!AZ:AZ,INPUT_DATA!$A:$A,$C27,INPUT_DATA!$C:$C,"S"))</f>
        <v/>
      </c>
      <c r="K27" s="774" t="str">
        <f>IF($C27=0,"",SUMIFS(INPUT_DATA!BA:BA,INPUT_DATA!$A:$A,$C27,INPUT_DATA!$C:$C,"S"))</f>
        <v/>
      </c>
      <c r="L27" s="774" t="str">
        <f>IF($C27=0,"",SUMIFS(INPUT_DATA!BB:BB,INPUT_DATA!$A:$A,$C27,INPUT_DATA!$C:$C,"S"))</f>
        <v/>
      </c>
      <c r="M27" s="774" t="str">
        <f>IF($C27=0,"",SUMIFS(INPUT_DATA!BC:BC,INPUT_DATA!$A:$A,$C27,INPUT_DATA!$C:$C,"S"))</f>
        <v/>
      </c>
      <c r="N27" s="774" t="str">
        <f>IF($C27=0,"",SUMIFS(INPUT_DATA!BD:BD,INPUT_DATA!$A:$A,$C27,INPUT_DATA!$C:$C,"S"))</f>
        <v/>
      </c>
      <c r="O27" s="774" t="str">
        <f>IF($C27=0,"",SUMIFS(INPUT_DATA!BE:BE,INPUT_DATA!$A:$A,$C27,INPUT_DATA!$C:$C,"S"))</f>
        <v/>
      </c>
      <c r="P27" s="774" t="str">
        <f>IF($C27=0,"",SUMIFS(INPUT_DATA!BF:BF,INPUT_DATA!$A:$A,$C27,INPUT_DATA!$C:$C,"S"))</f>
        <v/>
      </c>
      <c r="Q27" s="780" t="str">
        <f t="shared" si="5"/>
        <v/>
      </c>
      <c r="R27" s="782" t="str">
        <f>IF($C27=0,"",SUMIFS(INPUT_DATA!BH:BH,INPUT_DATA!$A:$A,$C27,INPUT_DATA!$C:$C,"S"))</f>
        <v/>
      </c>
      <c r="S27" s="782" t="str">
        <f>IF($C27=0,"",SUMIFS(INPUT_DATA!BI:BI,INPUT_DATA!$A:$A,$C27,INPUT_DATA!$C:$C,"S"))</f>
        <v/>
      </c>
      <c r="T27" s="780" t="str">
        <f t="shared" si="6"/>
        <v/>
      </c>
      <c r="U27" s="785" t="str">
        <f>IF($C27=0,"",SUMIFS(INPUT_DATA!BL:BL,INPUT_DATA!$A:$A,$C27,INPUT_DATA!$C:$C,"S"))</f>
        <v/>
      </c>
      <c r="V27" s="155" t="str">
        <f t="shared" si="1"/>
        <v/>
      </c>
      <c r="W27" s="149"/>
      <c r="X27" s="762" t="str">
        <f>IF($C27=0,"",SUMIFS(INPUT_DATA!AU:AU,INPUT_DATA!$A:$A,$C27,INPUT_DATA!$C:$C,"D"))</f>
        <v/>
      </c>
      <c r="Y27" s="774" t="str">
        <f>IF($C27=0,"",SUMIFS(INPUT_DATA!AV:AV,INPUT_DATA!$A:$A,$C27,INPUT_DATA!$C:$C,"D"))</f>
        <v/>
      </c>
      <c r="Z27" s="774" t="str">
        <f>IF($C27=0,"",SUMIFS(INPUT_DATA!AW:AW,INPUT_DATA!$A:$A,$C27,INPUT_DATA!$C:$C,"D"))</f>
        <v/>
      </c>
      <c r="AA27" s="775" t="str">
        <f t="shared" si="2"/>
        <v/>
      </c>
      <c r="AB27" s="774" t="str">
        <f>IF($C27=0,"",SUMIFS(INPUT_DATA!AX:AX,INPUT_DATA!$A:$A,$C27,INPUT_DATA!$C:$C,"D"))</f>
        <v/>
      </c>
      <c r="AC27" s="774" t="str">
        <f>IF($C27=0,"",SUMIFS(INPUT_DATA!AY:AY,INPUT_DATA!$A:$A,$C27,INPUT_DATA!$C:$C,"D"))</f>
        <v/>
      </c>
      <c r="AD27" s="774" t="str">
        <f>IF($C27=0,"",SUMIFS(INPUT_DATA!AZ:AZ,INPUT_DATA!$A:$A,$C27,INPUT_DATA!$C:$C,"D"))</f>
        <v/>
      </c>
      <c r="AE27" s="774" t="str">
        <f>IF($C27=0,"",SUMIFS(INPUT_DATA!BA:BA,INPUT_DATA!$A:$A,$C27,INPUT_DATA!$C:$C,"D"))</f>
        <v/>
      </c>
      <c r="AF27" s="774" t="str">
        <f>IF($C27=0,"",SUMIFS(INPUT_DATA!BB:BB,INPUT_DATA!$A:$A,$C27,INPUT_DATA!$C:$C,"D"))</f>
        <v/>
      </c>
      <c r="AG27" s="774" t="str">
        <f>IF($C27=0,"",SUMIFS(INPUT_DATA!BC:BC,INPUT_DATA!$A:$A,$C27,INPUT_DATA!$C:$C,"D"))</f>
        <v/>
      </c>
      <c r="AH27" s="774" t="str">
        <f>IF($C27=0,"",SUMIFS(INPUT_DATA!BD:BD,INPUT_DATA!$A:$A,$C27,INPUT_DATA!$C:$C,"D"))</f>
        <v/>
      </c>
      <c r="AI27" s="774" t="str">
        <f>IF($C27=0,"",SUMIFS(INPUT_DATA!BE:BE,INPUT_DATA!$A:$A,$C27,INPUT_DATA!$C:$C,"D"))</f>
        <v/>
      </c>
      <c r="AJ27" s="315" t="str">
        <f t="shared" si="3"/>
        <v/>
      </c>
      <c r="AK27" s="782" t="str">
        <f>IF($C27=0,"",SUMIFS(INPUT_DATA!BG:BG,INPUT_DATA!$A:$A,$C27,INPUT_DATA!$C:$C,"D"))</f>
        <v/>
      </c>
      <c r="AL27" s="782" t="str">
        <f>IF($C27=0,"",SUMIFS(INPUT_DATA!BH:BH,INPUT_DATA!$A:$A,$C27,INPUT_DATA!$C:$C,"D"))</f>
        <v/>
      </c>
      <c r="AM27" s="782" t="str">
        <f>IF($C27=0,"",SUMIFS(INPUT_DATA!BI:BI,INPUT_DATA!$A:$A,$C27,INPUT_DATA!$C:$C,"D"))</f>
        <v/>
      </c>
      <c r="AN27" s="780" t="str">
        <f t="shared" si="7"/>
        <v/>
      </c>
      <c r="AO27" s="785" t="str">
        <f>IF($C27=0,"",SUMIFS(INPUT_DATA!BK:BK,INPUT_DATA!$A:$A,$C27,INPUT_DATA!$C:$C,"D"))</f>
        <v/>
      </c>
      <c r="AP27" s="355" t="str">
        <f t="shared" si="8"/>
        <v/>
      </c>
      <c r="AQ27" s="149"/>
      <c r="AS27" s="355" t="str">
        <f t="shared" si="9"/>
        <v/>
      </c>
      <c r="AU27" s="391" t="str">
        <f>IF($C27=0,"",'03 - Monthly Asset Follow up'!E31+'03 - Monthly Asset Follow up'!F31-'03 - Monthly Asset Follow up'!U31+'03 - Monthly Asset Follow up'!X31-H27)</f>
        <v/>
      </c>
      <c r="AV27" s="391" t="str">
        <f>IF($C27=0,"",'03 - Monthly Asset Follow up'!BD31+'03 - Monthly Asset Follow up'!BE31-'03 - Monthly Asset Follow up'!BT31+'03 - Monthly Asset Follow up'!BW31)</f>
        <v/>
      </c>
      <c r="AX27" s="154"/>
    </row>
    <row r="28" spans="2:50" ht="13" x14ac:dyDescent="0.3">
      <c r="B28" s="766" t="str">
        <f t="shared" si="4"/>
        <v/>
      </c>
      <c r="C28" s="769">
        <f>'03 - Monthly Asset Follow up'!B32</f>
        <v>0</v>
      </c>
      <c r="D28" s="149"/>
      <c r="E28" s="762" t="str">
        <f>IF($C28=0,"",SUMIFS(INPUT_DATA!AU:AU,INPUT_DATA!$A:$A,$C28,INPUT_DATA!$C:$C,"S"))</f>
        <v/>
      </c>
      <c r="F28" s="774" t="str">
        <f>IF($C28=0,"",SUMIFS(INPUT_DATA!AV:AV,INPUT_DATA!$A:$A,$C28,INPUT_DATA!$C:$C,"S"))</f>
        <v/>
      </c>
      <c r="G28" s="774" t="str">
        <f>IF($C28=0,"",SUMIFS(INPUT_DATA!AW:AW,INPUT_DATA!$A:$A,$C28,INPUT_DATA!$C:$C,"S"))</f>
        <v/>
      </c>
      <c r="H28" s="776" t="str">
        <f t="shared" si="0"/>
        <v/>
      </c>
      <c r="I28" s="774" t="str">
        <f>IF($C28=0,"",SUMIFS(INPUT_DATA!AY:AY,INPUT_DATA!$A:$A,$C28,INPUT_DATA!$C:$C,"S"))</f>
        <v/>
      </c>
      <c r="J28" s="774" t="str">
        <f>IF($C28=0,"",SUMIFS(INPUT_DATA!AZ:AZ,INPUT_DATA!$A:$A,$C28,INPUT_DATA!$C:$C,"S"))</f>
        <v/>
      </c>
      <c r="K28" s="774" t="str">
        <f>IF($C28=0,"",SUMIFS(INPUT_DATA!BA:BA,INPUT_DATA!$A:$A,$C28,INPUT_DATA!$C:$C,"S"))</f>
        <v/>
      </c>
      <c r="L28" s="774" t="str">
        <f>IF($C28=0,"",SUMIFS(INPUT_DATA!BB:BB,INPUT_DATA!$A:$A,$C28,INPUT_DATA!$C:$C,"S"))</f>
        <v/>
      </c>
      <c r="M28" s="774" t="str">
        <f>IF($C28=0,"",SUMIFS(INPUT_DATA!BC:BC,INPUT_DATA!$A:$A,$C28,INPUT_DATA!$C:$C,"S"))</f>
        <v/>
      </c>
      <c r="N28" s="774" t="str">
        <f>IF($C28=0,"",SUMIFS(INPUT_DATA!BD:BD,INPUT_DATA!$A:$A,$C28,INPUT_DATA!$C:$C,"S"))</f>
        <v/>
      </c>
      <c r="O28" s="774" t="str">
        <f>IF($C28=0,"",SUMIFS(INPUT_DATA!BE:BE,INPUT_DATA!$A:$A,$C28,INPUT_DATA!$C:$C,"S"))</f>
        <v/>
      </c>
      <c r="P28" s="774" t="str">
        <f>IF($C28=0,"",SUMIFS(INPUT_DATA!BF:BF,INPUT_DATA!$A:$A,$C28,INPUT_DATA!$C:$C,"S"))</f>
        <v/>
      </c>
      <c r="Q28" s="780" t="str">
        <f t="shared" si="5"/>
        <v/>
      </c>
      <c r="R28" s="782" t="str">
        <f>IF($C28=0,"",SUMIFS(INPUT_DATA!BH:BH,INPUT_DATA!$A:$A,$C28,INPUT_DATA!$C:$C,"S"))</f>
        <v/>
      </c>
      <c r="S28" s="782" t="str">
        <f>IF($C28=0,"",SUMIFS(INPUT_DATA!BI:BI,INPUT_DATA!$A:$A,$C28,INPUT_DATA!$C:$C,"S"))</f>
        <v/>
      </c>
      <c r="T28" s="780" t="str">
        <f t="shared" si="6"/>
        <v/>
      </c>
      <c r="U28" s="785" t="str">
        <f>IF($C28=0,"",SUMIFS(INPUT_DATA!BL:BL,INPUT_DATA!$A:$A,$C28,INPUT_DATA!$C:$C,"S"))</f>
        <v/>
      </c>
      <c r="V28" s="155" t="str">
        <f t="shared" si="1"/>
        <v/>
      </c>
      <c r="W28" s="149"/>
      <c r="X28" s="762" t="str">
        <f>IF($C28=0,"",SUMIFS(INPUT_DATA!AU:AU,INPUT_DATA!$A:$A,$C28,INPUT_DATA!$C:$C,"D"))</f>
        <v/>
      </c>
      <c r="Y28" s="774" t="str">
        <f>IF($C28=0,"",SUMIFS(INPUT_DATA!AV:AV,INPUT_DATA!$A:$A,$C28,INPUT_DATA!$C:$C,"D"))</f>
        <v/>
      </c>
      <c r="Z28" s="774" t="str">
        <f>IF($C28=0,"",SUMIFS(INPUT_DATA!AW:AW,INPUT_DATA!$A:$A,$C28,INPUT_DATA!$C:$C,"D"))</f>
        <v/>
      </c>
      <c r="AA28" s="775" t="str">
        <f t="shared" si="2"/>
        <v/>
      </c>
      <c r="AB28" s="774" t="str">
        <f>IF($C28=0,"",SUMIFS(INPUT_DATA!AX:AX,INPUT_DATA!$A:$A,$C28,INPUT_DATA!$C:$C,"D"))</f>
        <v/>
      </c>
      <c r="AC28" s="774" t="str">
        <f>IF($C28=0,"",SUMIFS(INPUT_DATA!AY:AY,INPUT_DATA!$A:$A,$C28,INPUT_DATA!$C:$C,"D"))</f>
        <v/>
      </c>
      <c r="AD28" s="774" t="str">
        <f>IF($C28=0,"",SUMIFS(INPUT_DATA!AZ:AZ,INPUT_DATA!$A:$A,$C28,INPUT_DATA!$C:$C,"D"))</f>
        <v/>
      </c>
      <c r="AE28" s="774" t="str">
        <f>IF($C28=0,"",SUMIFS(INPUT_DATA!BA:BA,INPUT_DATA!$A:$A,$C28,INPUT_DATA!$C:$C,"D"))</f>
        <v/>
      </c>
      <c r="AF28" s="774" t="str">
        <f>IF($C28=0,"",SUMIFS(INPUT_DATA!BB:BB,INPUT_DATA!$A:$A,$C28,INPUT_DATA!$C:$C,"D"))</f>
        <v/>
      </c>
      <c r="AG28" s="774" t="str">
        <f>IF($C28=0,"",SUMIFS(INPUT_DATA!BC:BC,INPUT_DATA!$A:$A,$C28,INPUT_DATA!$C:$C,"D"))</f>
        <v/>
      </c>
      <c r="AH28" s="774" t="str">
        <f>IF($C28=0,"",SUMIFS(INPUT_DATA!BD:BD,INPUT_DATA!$A:$A,$C28,INPUT_DATA!$C:$C,"D"))</f>
        <v/>
      </c>
      <c r="AI28" s="774" t="str">
        <f>IF($C28=0,"",SUMIFS(INPUT_DATA!BE:BE,INPUT_DATA!$A:$A,$C28,INPUT_DATA!$C:$C,"D"))</f>
        <v/>
      </c>
      <c r="AJ28" s="315" t="str">
        <f t="shared" si="3"/>
        <v/>
      </c>
      <c r="AK28" s="782" t="str">
        <f>IF($C28=0,"",SUMIFS(INPUT_DATA!BG:BG,INPUT_DATA!$A:$A,$C28,INPUT_DATA!$C:$C,"D"))</f>
        <v/>
      </c>
      <c r="AL28" s="782" t="str">
        <f>IF($C28=0,"",SUMIFS(INPUT_DATA!BH:BH,INPUT_DATA!$A:$A,$C28,INPUT_DATA!$C:$C,"D"))</f>
        <v/>
      </c>
      <c r="AM28" s="782" t="str">
        <f>IF($C28=0,"",SUMIFS(INPUT_DATA!BI:BI,INPUT_DATA!$A:$A,$C28,INPUT_DATA!$C:$C,"D"))</f>
        <v/>
      </c>
      <c r="AN28" s="780" t="str">
        <f t="shared" si="7"/>
        <v/>
      </c>
      <c r="AO28" s="785" t="str">
        <f>IF($C28=0,"",SUMIFS(INPUT_DATA!BK:BK,INPUT_DATA!$A:$A,$C28,INPUT_DATA!$C:$C,"D"))</f>
        <v/>
      </c>
      <c r="AP28" s="355" t="str">
        <f t="shared" si="8"/>
        <v/>
      </c>
      <c r="AQ28" s="149"/>
      <c r="AS28" s="355" t="str">
        <f t="shared" si="9"/>
        <v/>
      </c>
      <c r="AU28" s="391" t="str">
        <f>IF($C28=0,"",'03 - Monthly Asset Follow up'!E32+'03 - Monthly Asset Follow up'!F32-'03 - Monthly Asset Follow up'!U32+'03 - Monthly Asset Follow up'!X32-H28)</f>
        <v/>
      </c>
      <c r="AV28" s="391" t="str">
        <f>IF($C28=0,"",'03 - Monthly Asset Follow up'!BD32+'03 - Monthly Asset Follow up'!BE32-'03 - Monthly Asset Follow up'!BT32+'03 - Monthly Asset Follow up'!BW32)</f>
        <v/>
      </c>
      <c r="AX28" s="154"/>
    </row>
    <row r="29" spans="2:50" ht="13" x14ac:dyDescent="0.3">
      <c r="B29" s="766" t="str">
        <f t="shared" si="4"/>
        <v/>
      </c>
      <c r="C29" s="769">
        <f>'03 - Monthly Asset Follow up'!B33</f>
        <v>0</v>
      </c>
      <c r="D29" s="149"/>
      <c r="E29" s="762" t="str">
        <f>IF($C29=0,"",SUMIFS(INPUT_DATA!AU:AU,INPUT_DATA!$A:$A,$C29,INPUT_DATA!$C:$C,"S"))</f>
        <v/>
      </c>
      <c r="F29" s="774" t="str">
        <f>IF($C29=0,"",SUMIFS(INPUT_DATA!AV:AV,INPUT_DATA!$A:$A,$C29,INPUT_DATA!$C:$C,"S"))</f>
        <v/>
      </c>
      <c r="G29" s="774" t="str">
        <f>IF($C29=0,"",SUMIFS(INPUT_DATA!AW:AW,INPUT_DATA!$A:$A,$C29,INPUT_DATA!$C:$C,"S"))</f>
        <v/>
      </c>
      <c r="H29" s="776" t="str">
        <f t="shared" si="0"/>
        <v/>
      </c>
      <c r="I29" s="774" t="str">
        <f>IF($C29=0,"",SUMIFS(INPUT_DATA!AY:AY,INPUT_DATA!$A:$A,$C29,INPUT_DATA!$C:$C,"S"))</f>
        <v/>
      </c>
      <c r="J29" s="774" t="str">
        <f>IF($C29=0,"",SUMIFS(INPUT_DATA!AZ:AZ,INPUT_DATA!$A:$A,$C29,INPUT_DATA!$C:$C,"S"))</f>
        <v/>
      </c>
      <c r="K29" s="774" t="str">
        <f>IF($C29=0,"",SUMIFS(INPUT_DATA!BA:BA,INPUT_DATA!$A:$A,$C29,INPUT_DATA!$C:$C,"S"))</f>
        <v/>
      </c>
      <c r="L29" s="774" t="str">
        <f>IF($C29=0,"",SUMIFS(INPUT_DATA!BB:BB,INPUT_DATA!$A:$A,$C29,INPUT_DATA!$C:$C,"S"))</f>
        <v/>
      </c>
      <c r="M29" s="774" t="str">
        <f>IF($C29=0,"",SUMIFS(INPUT_DATA!BC:BC,INPUT_DATA!$A:$A,$C29,INPUT_DATA!$C:$C,"S"))</f>
        <v/>
      </c>
      <c r="N29" s="774" t="str">
        <f>IF($C29=0,"",SUMIFS(INPUT_DATA!BD:BD,INPUT_DATA!$A:$A,$C29,INPUT_DATA!$C:$C,"S"))</f>
        <v/>
      </c>
      <c r="O29" s="774" t="str">
        <f>IF($C29=0,"",SUMIFS(INPUT_DATA!BE:BE,INPUT_DATA!$A:$A,$C29,INPUT_DATA!$C:$C,"S"))</f>
        <v/>
      </c>
      <c r="P29" s="774" t="str">
        <f>IF($C29=0,"",SUMIFS(INPUT_DATA!BF:BF,INPUT_DATA!$A:$A,$C29,INPUT_DATA!$C:$C,"S"))</f>
        <v/>
      </c>
      <c r="Q29" s="780" t="str">
        <f t="shared" si="5"/>
        <v/>
      </c>
      <c r="R29" s="782" t="str">
        <f>IF($C29=0,"",SUMIFS(INPUT_DATA!BH:BH,INPUT_DATA!$A:$A,$C29,INPUT_DATA!$C:$C,"S"))</f>
        <v/>
      </c>
      <c r="S29" s="782" t="str">
        <f>IF($C29=0,"",SUMIFS(INPUT_DATA!BI:BI,INPUT_DATA!$A:$A,$C29,INPUT_DATA!$C:$C,"S"))</f>
        <v/>
      </c>
      <c r="T29" s="780" t="str">
        <f t="shared" si="6"/>
        <v/>
      </c>
      <c r="U29" s="785" t="str">
        <f>IF($C29=0,"",SUMIFS(INPUT_DATA!BL:BL,INPUT_DATA!$A:$A,$C29,INPUT_DATA!$C:$C,"S"))</f>
        <v/>
      </c>
      <c r="V29" s="155" t="str">
        <f t="shared" si="1"/>
        <v/>
      </c>
      <c r="W29" s="149"/>
      <c r="X29" s="762" t="str">
        <f>IF($C29=0,"",SUMIFS(INPUT_DATA!AU:AU,INPUT_DATA!$A:$A,$C29,INPUT_DATA!$C:$C,"D"))</f>
        <v/>
      </c>
      <c r="Y29" s="774" t="str">
        <f>IF($C29=0,"",SUMIFS(INPUT_DATA!AV:AV,INPUT_DATA!$A:$A,$C29,INPUT_DATA!$C:$C,"D"))</f>
        <v/>
      </c>
      <c r="Z29" s="774" t="str">
        <f>IF($C29=0,"",SUMIFS(INPUT_DATA!AW:AW,INPUT_DATA!$A:$A,$C29,INPUT_DATA!$C:$C,"D"))</f>
        <v/>
      </c>
      <c r="AA29" s="775" t="str">
        <f t="shared" si="2"/>
        <v/>
      </c>
      <c r="AB29" s="774" t="str">
        <f>IF($C29=0,"",SUMIFS(INPUT_DATA!AX:AX,INPUT_DATA!$A:$A,$C29,INPUT_DATA!$C:$C,"D"))</f>
        <v/>
      </c>
      <c r="AC29" s="774" t="str">
        <f>IF($C29=0,"",SUMIFS(INPUT_DATA!AY:AY,INPUT_DATA!$A:$A,$C29,INPUT_DATA!$C:$C,"D"))</f>
        <v/>
      </c>
      <c r="AD29" s="774" t="str">
        <f>IF($C29=0,"",SUMIFS(INPUT_DATA!AZ:AZ,INPUT_DATA!$A:$A,$C29,INPUT_DATA!$C:$C,"D"))</f>
        <v/>
      </c>
      <c r="AE29" s="774" t="str">
        <f>IF($C29=0,"",SUMIFS(INPUT_DATA!BA:BA,INPUT_DATA!$A:$A,$C29,INPUT_DATA!$C:$C,"D"))</f>
        <v/>
      </c>
      <c r="AF29" s="774" t="str">
        <f>IF($C29=0,"",SUMIFS(INPUT_DATA!BB:BB,INPUT_DATA!$A:$A,$C29,INPUT_DATA!$C:$C,"D"))</f>
        <v/>
      </c>
      <c r="AG29" s="774" t="str">
        <f>IF($C29=0,"",SUMIFS(INPUT_DATA!BC:BC,INPUT_DATA!$A:$A,$C29,INPUT_DATA!$C:$C,"D"))</f>
        <v/>
      </c>
      <c r="AH29" s="774" t="str">
        <f>IF($C29=0,"",SUMIFS(INPUT_DATA!BD:BD,INPUT_DATA!$A:$A,$C29,INPUT_DATA!$C:$C,"D"))</f>
        <v/>
      </c>
      <c r="AI29" s="774" t="str">
        <f>IF($C29=0,"",SUMIFS(INPUT_DATA!BE:BE,INPUT_DATA!$A:$A,$C29,INPUT_DATA!$C:$C,"D"))</f>
        <v/>
      </c>
      <c r="AJ29" s="315" t="str">
        <f t="shared" si="3"/>
        <v/>
      </c>
      <c r="AK29" s="782" t="str">
        <f>IF($C29=0,"",SUMIFS(INPUT_DATA!BG:BG,INPUT_DATA!$A:$A,$C29,INPUT_DATA!$C:$C,"D"))</f>
        <v/>
      </c>
      <c r="AL29" s="782" t="str">
        <f>IF($C29=0,"",SUMIFS(INPUT_DATA!BH:BH,INPUT_DATA!$A:$A,$C29,INPUT_DATA!$C:$C,"D"))</f>
        <v/>
      </c>
      <c r="AM29" s="782" t="str">
        <f>IF($C29=0,"",SUMIFS(INPUT_DATA!BI:BI,INPUT_DATA!$A:$A,$C29,INPUT_DATA!$C:$C,"D"))</f>
        <v/>
      </c>
      <c r="AN29" s="780" t="str">
        <f t="shared" si="7"/>
        <v/>
      </c>
      <c r="AO29" s="785" t="str">
        <f>IF($C29=0,"",SUMIFS(INPUT_DATA!BK:BK,INPUT_DATA!$A:$A,$C29,INPUT_DATA!$C:$C,"D"))</f>
        <v/>
      </c>
      <c r="AP29" s="355" t="str">
        <f t="shared" si="8"/>
        <v/>
      </c>
      <c r="AQ29" s="149"/>
      <c r="AS29" s="355" t="str">
        <f t="shared" si="9"/>
        <v/>
      </c>
      <c r="AU29" s="391" t="str">
        <f>IF($C29=0,"",'03 - Monthly Asset Follow up'!E33+'03 - Monthly Asset Follow up'!F33-'03 - Monthly Asset Follow up'!U33+'03 - Monthly Asset Follow up'!X33-H29)</f>
        <v/>
      </c>
      <c r="AV29" s="391" t="str">
        <f>IF($C29=0,"",'03 - Monthly Asset Follow up'!BD33+'03 - Monthly Asset Follow up'!BE33-'03 - Monthly Asset Follow up'!BT33+'03 - Monthly Asset Follow up'!BW33)</f>
        <v/>
      </c>
      <c r="AX29" s="154"/>
    </row>
    <row r="30" spans="2:50" ht="13" x14ac:dyDescent="0.3">
      <c r="B30" s="766" t="str">
        <f t="shared" si="4"/>
        <v/>
      </c>
      <c r="C30" s="769">
        <f>'03 - Monthly Asset Follow up'!B34</f>
        <v>0</v>
      </c>
      <c r="D30" s="149"/>
      <c r="E30" s="762" t="str">
        <f>IF($C30=0,"",SUMIFS(INPUT_DATA!AU:AU,INPUT_DATA!$A:$A,$C30,INPUT_DATA!$C:$C,"S"))</f>
        <v/>
      </c>
      <c r="F30" s="774" t="str">
        <f>IF($C30=0,"",SUMIFS(INPUT_DATA!AV:AV,INPUT_DATA!$A:$A,$C30,INPUT_DATA!$C:$C,"S"))</f>
        <v/>
      </c>
      <c r="G30" s="774" t="str">
        <f>IF($C30=0,"",SUMIFS(INPUT_DATA!AW:AW,INPUT_DATA!$A:$A,$C30,INPUT_DATA!$C:$C,"S"))</f>
        <v/>
      </c>
      <c r="H30" s="776" t="str">
        <f t="shared" si="0"/>
        <v/>
      </c>
      <c r="I30" s="774" t="str">
        <f>IF($C30=0,"",SUMIFS(INPUT_DATA!AY:AY,INPUT_DATA!$A:$A,$C30,INPUT_DATA!$C:$C,"S"))</f>
        <v/>
      </c>
      <c r="J30" s="774" t="str">
        <f>IF($C30=0,"",SUMIFS(INPUT_DATA!AZ:AZ,INPUT_DATA!$A:$A,$C30,INPUT_DATA!$C:$C,"S"))</f>
        <v/>
      </c>
      <c r="K30" s="774" t="str">
        <f>IF($C30=0,"",SUMIFS(INPUT_DATA!BA:BA,INPUT_DATA!$A:$A,$C30,INPUT_DATA!$C:$C,"S"))</f>
        <v/>
      </c>
      <c r="L30" s="774" t="str">
        <f>IF($C30=0,"",SUMIFS(INPUT_DATA!BB:BB,INPUT_DATA!$A:$A,$C30,INPUT_DATA!$C:$C,"S"))</f>
        <v/>
      </c>
      <c r="M30" s="774" t="str">
        <f>IF($C30=0,"",SUMIFS(INPUT_DATA!BC:BC,INPUT_DATA!$A:$A,$C30,INPUT_DATA!$C:$C,"S"))</f>
        <v/>
      </c>
      <c r="N30" s="774" t="str">
        <f>IF($C30=0,"",SUMIFS(INPUT_DATA!BD:BD,INPUT_DATA!$A:$A,$C30,INPUT_DATA!$C:$C,"S"))</f>
        <v/>
      </c>
      <c r="O30" s="774" t="str">
        <f>IF($C30=0,"",SUMIFS(INPUT_DATA!BE:BE,INPUT_DATA!$A:$A,$C30,INPUT_DATA!$C:$C,"S"))</f>
        <v/>
      </c>
      <c r="P30" s="774" t="str">
        <f>IF($C30=0,"",SUMIFS(INPUT_DATA!BF:BF,INPUT_DATA!$A:$A,$C30,INPUT_DATA!$C:$C,"S"))</f>
        <v/>
      </c>
      <c r="Q30" s="780" t="str">
        <f t="shared" si="5"/>
        <v/>
      </c>
      <c r="R30" s="782" t="str">
        <f>IF($C30=0,"",SUMIFS(INPUT_DATA!BH:BH,INPUT_DATA!$A:$A,$C30,INPUT_DATA!$C:$C,"S"))</f>
        <v/>
      </c>
      <c r="S30" s="782" t="str">
        <f>IF($C30=0,"",SUMIFS(INPUT_DATA!BI:BI,INPUT_DATA!$A:$A,$C30,INPUT_DATA!$C:$C,"S"))</f>
        <v/>
      </c>
      <c r="T30" s="780" t="str">
        <f t="shared" si="6"/>
        <v/>
      </c>
      <c r="U30" s="785" t="str">
        <f>IF($C30=0,"",SUMIFS(INPUT_DATA!BL:BL,INPUT_DATA!$A:$A,$C30,INPUT_DATA!$C:$C,"S"))</f>
        <v/>
      </c>
      <c r="V30" s="155" t="str">
        <f t="shared" si="1"/>
        <v/>
      </c>
      <c r="W30" s="149"/>
      <c r="X30" s="762" t="str">
        <f>IF($C30=0,"",SUMIFS(INPUT_DATA!AU:AU,INPUT_DATA!$A:$A,$C30,INPUT_DATA!$C:$C,"D"))</f>
        <v/>
      </c>
      <c r="Y30" s="774" t="str">
        <f>IF($C30=0,"",SUMIFS(INPUT_DATA!AV:AV,INPUT_DATA!$A:$A,$C30,INPUT_DATA!$C:$C,"D"))</f>
        <v/>
      </c>
      <c r="Z30" s="774" t="str">
        <f>IF($C30=0,"",SUMIFS(INPUT_DATA!AW:AW,INPUT_DATA!$A:$A,$C30,INPUT_DATA!$C:$C,"D"))</f>
        <v/>
      </c>
      <c r="AA30" s="775" t="str">
        <f t="shared" si="2"/>
        <v/>
      </c>
      <c r="AB30" s="774" t="str">
        <f>IF($C30=0,"",SUMIFS(INPUT_DATA!AX:AX,INPUT_DATA!$A:$A,$C30,INPUT_DATA!$C:$C,"D"))</f>
        <v/>
      </c>
      <c r="AC30" s="774" t="str">
        <f>IF($C30=0,"",SUMIFS(INPUT_DATA!AY:AY,INPUT_DATA!$A:$A,$C30,INPUT_DATA!$C:$C,"D"))</f>
        <v/>
      </c>
      <c r="AD30" s="774" t="str">
        <f>IF($C30=0,"",SUMIFS(INPUT_DATA!AZ:AZ,INPUT_DATA!$A:$A,$C30,INPUT_DATA!$C:$C,"D"))</f>
        <v/>
      </c>
      <c r="AE30" s="774" t="str">
        <f>IF($C30=0,"",SUMIFS(INPUT_DATA!BA:BA,INPUT_DATA!$A:$A,$C30,INPUT_DATA!$C:$C,"D"))</f>
        <v/>
      </c>
      <c r="AF30" s="774" t="str">
        <f>IF($C30=0,"",SUMIFS(INPUT_DATA!BB:BB,INPUT_DATA!$A:$A,$C30,INPUT_DATA!$C:$C,"D"))</f>
        <v/>
      </c>
      <c r="AG30" s="774" t="str">
        <f>IF($C30=0,"",SUMIFS(INPUT_DATA!BC:BC,INPUT_DATA!$A:$A,$C30,INPUT_DATA!$C:$C,"D"))</f>
        <v/>
      </c>
      <c r="AH30" s="774" t="str">
        <f>IF($C30=0,"",SUMIFS(INPUT_DATA!BD:BD,INPUT_DATA!$A:$A,$C30,INPUT_DATA!$C:$C,"D"))</f>
        <v/>
      </c>
      <c r="AI30" s="774" t="str">
        <f>IF($C30=0,"",SUMIFS(INPUT_DATA!BE:BE,INPUT_DATA!$A:$A,$C30,INPUT_DATA!$C:$C,"D"))</f>
        <v/>
      </c>
      <c r="AJ30" s="315" t="str">
        <f t="shared" si="3"/>
        <v/>
      </c>
      <c r="AK30" s="782" t="str">
        <f>IF($C30=0,"",SUMIFS(INPUT_DATA!BG:BG,INPUT_DATA!$A:$A,$C30,INPUT_DATA!$C:$C,"D"))</f>
        <v/>
      </c>
      <c r="AL30" s="782" t="str">
        <f>IF($C30=0,"",SUMIFS(INPUT_DATA!BH:BH,INPUT_DATA!$A:$A,$C30,INPUT_DATA!$C:$C,"D"))</f>
        <v/>
      </c>
      <c r="AM30" s="782" t="str">
        <f>IF($C30=0,"",SUMIFS(INPUT_DATA!BI:BI,INPUT_DATA!$A:$A,$C30,INPUT_DATA!$C:$C,"D"))</f>
        <v/>
      </c>
      <c r="AN30" s="780" t="str">
        <f t="shared" si="7"/>
        <v/>
      </c>
      <c r="AO30" s="785" t="str">
        <f>IF($C30=0,"",SUMIFS(INPUT_DATA!BK:BK,INPUT_DATA!$A:$A,$C30,INPUT_DATA!$C:$C,"D"))</f>
        <v/>
      </c>
      <c r="AP30" s="355" t="str">
        <f t="shared" si="8"/>
        <v/>
      </c>
      <c r="AQ30" s="149"/>
      <c r="AS30" s="355" t="str">
        <f t="shared" si="9"/>
        <v/>
      </c>
      <c r="AU30" s="391" t="str">
        <f>IF($C30=0,"",'03 - Monthly Asset Follow up'!E34+'03 - Monthly Asset Follow up'!F34-'03 - Monthly Asset Follow up'!U34+'03 - Monthly Asset Follow up'!X34-H30)</f>
        <v/>
      </c>
      <c r="AV30" s="391" t="str">
        <f>IF($C30=0,"",'03 - Monthly Asset Follow up'!BD34+'03 - Monthly Asset Follow up'!BE34-'03 - Monthly Asset Follow up'!BT34+'03 - Monthly Asset Follow up'!BW34)</f>
        <v/>
      </c>
      <c r="AX30" s="154"/>
    </row>
    <row r="31" spans="2:50" ht="13" x14ac:dyDescent="0.3">
      <c r="B31" s="766" t="str">
        <f t="shared" si="4"/>
        <v/>
      </c>
      <c r="C31" s="769">
        <f>'03 - Monthly Asset Follow up'!B35</f>
        <v>0</v>
      </c>
      <c r="D31" s="149"/>
      <c r="E31" s="762" t="str">
        <f>IF($C31=0,"",SUMIFS(INPUT_DATA!AU:AU,INPUT_DATA!$A:$A,$C31,INPUT_DATA!$C:$C,"S"))</f>
        <v/>
      </c>
      <c r="F31" s="774" t="str">
        <f>IF($C31=0,"",SUMIFS(INPUT_DATA!AV:AV,INPUT_DATA!$A:$A,$C31,INPUT_DATA!$C:$C,"S"))</f>
        <v/>
      </c>
      <c r="G31" s="774" t="str">
        <f>IF($C31=0,"",SUMIFS(INPUT_DATA!AW:AW,INPUT_DATA!$A:$A,$C31,INPUT_DATA!$C:$C,"S"))</f>
        <v/>
      </c>
      <c r="H31" s="776" t="str">
        <f t="shared" si="0"/>
        <v/>
      </c>
      <c r="I31" s="774" t="str">
        <f>IF($C31=0,"",SUMIFS(INPUT_DATA!AY:AY,INPUT_DATA!$A:$A,$C31,INPUT_DATA!$C:$C,"S"))</f>
        <v/>
      </c>
      <c r="J31" s="774" t="str">
        <f>IF($C31=0,"",SUMIFS(INPUT_DATA!AZ:AZ,INPUT_DATA!$A:$A,$C31,INPUT_DATA!$C:$C,"S"))</f>
        <v/>
      </c>
      <c r="K31" s="774" t="str">
        <f>IF($C31=0,"",SUMIFS(INPUT_DATA!BA:BA,INPUT_DATA!$A:$A,$C31,INPUT_DATA!$C:$C,"S"))</f>
        <v/>
      </c>
      <c r="L31" s="774" t="str">
        <f>IF($C31=0,"",SUMIFS(INPUT_DATA!BB:BB,INPUT_DATA!$A:$A,$C31,INPUT_DATA!$C:$C,"S"))</f>
        <v/>
      </c>
      <c r="M31" s="774" t="str">
        <f>IF($C31=0,"",SUMIFS(INPUT_DATA!BC:BC,INPUT_DATA!$A:$A,$C31,INPUT_DATA!$C:$C,"S"))</f>
        <v/>
      </c>
      <c r="N31" s="774" t="str">
        <f>IF($C31=0,"",SUMIFS(INPUT_DATA!BD:BD,INPUT_DATA!$A:$A,$C31,INPUT_DATA!$C:$C,"S"))</f>
        <v/>
      </c>
      <c r="O31" s="774" t="str">
        <f>IF($C31=0,"",SUMIFS(INPUT_DATA!BE:BE,INPUT_DATA!$A:$A,$C31,INPUT_DATA!$C:$C,"S"))</f>
        <v/>
      </c>
      <c r="P31" s="774" t="str">
        <f>IF($C31=0,"",SUMIFS(INPUT_DATA!BF:BF,INPUT_DATA!$A:$A,$C31,INPUT_DATA!$C:$C,"S"))</f>
        <v/>
      </c>
      <c r="Q31" s="780" t="str">
        <f t="shared" si="5"/>
        <v/>
      </c>
      <c r="R31" s="782" t="str">
        <f>IF($C31=0,"",SUMIFS(INPUT_DATA!BH:BH,INPUT_DATA!$A:$A,$C31,INPUT_DATA!$C:$C,"S"))</f>
        <v/>
      </c>
      <c r="S31" s="782" t="str">
        <f>IF($C31=0,"",SUMIFS(INPUT_DATA!BI:BI,INPUT_DATA!$A:$A,$C31,INPUT_DATA!$C:$C,"S"))</f>
        <v/>
      </c>
      <c r="T31" s="780" t="str">
        <f t="shared" si="6"/>
        <v/>
      </c>
      <c r="U31" s="785" t="str">
        <f>IF($C31=0,"",SUMIFS(INPUT_DATA!BL:BL,INPUT_DATA!$A:$A,$C31,INPUT_DATA!$C:$C,"S"))</f>
        <v/>
      </c>
      <c r="V31" s="155" t="str">
        <f t="shared" si="1"/>
        <v/>
      </c>
      <c r="W31" s="149"/>
      <c r="X31" s="762" t="str">
        <f>IF($C31=0,"",SUMIFS(INPUT_DATA!AU:AU,INPUT_DATA!$A:$A,$C31,INPUT_DATA!$C:$C,"D"))</f>
        <v/>
      </c>
      <c r="Y31" s="774" t="str">
        <f>IF($C31=0,"",SUMIFS(INPUT_DATA!AV:AV,INPUT_DATA!$A:$A,$C31,INPUT_DATA!$C:$C,"D"))</f>
        <v/>
      </c>
      <c r="Z31" s="774" t="str">
        <f>IF($C31=0,"",SUMIFS(INPUT_DATA!AW:AW,INPUT_DATA!$A:$A,$C31,INPUT_DATA!$C:$C,"D"))</f>
        <v/>
      </c>
      <c r="AA31" s="775" t="str">
        <f t="shared" si="2"/>
        <v/>
      </c>
      <c r="AB31" s="774" t="str">
        <f>IF($C31=0,"",SUMIFS(INPUT_DATA!AX:AX,INPUT_DATA!$A:$A,$C31,INPUT_DATA!$C:$C,"D"))</f>
        <v/>
      </c>
      <c r="AC31" s="774" t="str">
        <f>IF($C31=0,"",SUMIFS(INPUT_DATA!AY:AY,INPUT_DATA!$A:$A,$C31,INPUT_DATA!$C:$C,"D"))</f>
        <v/>
      </c>
      <c r="AD31" s="774" t="str">
        <f>IF($C31=0,"",SUMIFS(INPUT_DATA!AZ:AZ,INPUT_DATA!$A:$A,$C31,INPUT_DATA!$C:$C,"D"))</f>
        <v/>
      </c>
      <c r="AE31" s="774" t="str">
        <f>IF($C31=0,"",SUMIFS(INPUT_DATA!BA:BA,INPUT_DATA!$A:$A,$C31,INPUT_DATA!$C:$C,"D"))</f>
        <v/>
      </c>
      <c r="AF31" s="774" t="str">
        <f>IF($C31=0,"",SUMIFS(INPUT_DATA!BB:BB,INPUT_DATA!$A:$A,$C31,INPUT_DATA!$C:$C,"D"))</f>
        <v/>
      </c>
      <c r="AG31" s="774" t="str">
        <f>IF($C31=0,"",SUMIFS(INPUT_DATA!BC:BC,INPUT_DATA!$A:$A,$C31,INPUT_DATA!$C:$C,"D"))</f>
        <v/>
      </c>
      <c r="AH31" s="774" t="str">
        <f>IF($C31=0,"",SUMIFS(INPUT_DATA!BD:BD,INPUT_DATA!$A:$A,$C31,INPUT_DATA!$C:$C,"D"))</f>
        <v/>
      </c>
      <c r="AI31" s="774" t="str">
        <f>IF($C31=0,"",SUMIFS(INPUT_DATA!BE:BE,INPUT_DATA!$A:$A,$C31,INPUT_DATA!$C:$C,"D"))</f>
        <v/>
      </c>
      <c r="AJ31" s="315" t="str">
        <f t="shared" si="3"/>
        <v/>
      </c>
      <c r="AK31" s="782" t="str">
        <f>IF($C31=0,"",SUMIFS(INPUT_DATA!BG:BG,INPUT_DATA!$A:$A,$C31,INPUT_DATA!$C:$C,"D"))</f>
        <v/>
      </c>
      <c r="AL31" s="782" t="str">
        <f>IF($C31=0,"",SUMIFS(INPUT_DATA!BH:BH,INPUT_DATA!$A:$A,$C31,INPUT_DATA!$C:$C,"D"))</f>
        <v/>
      </c>
      <c r="AM31" s="782" t="str">
        <f>IF($C31=0,"",SUMIFS(INPUT_DATA!BI:BI,INPUT_DATA!$A:$A,$C31,INPUT_DATA!$C:$C,"D"))</f>
        <v/>
      </c>
      <c r="AN31" s="780" t="str">
        <f t="shared" si="7"/>
        <v/>
      </c>
      <c r="AO31" s="785" t="str">
        <f>IF($C31=0,"",SUMIFS(INPUT_DATA!BK:BK,INPUT_DATA!$A:$A,$C31,INPUT_DATA!$C:$C,"D"))</f>
        <v/>
      </c>
      <c r="AP31" s="355" t="str">
        <f t="shared" si="8"/>
        <v/>
      </c>
      <c r="AQ31" s="149"/>
      <c r="AS31" s="355" t="str">
        <f t="shared" si="9"/>
        <v/>
      </c>
      <c r="AU31" s="391" t="str">
        <f>IF($C31=0,"",'03 - Monthly Asset Follow up'!E35+'03 - Monthly Asset Follow up'!F35-'03 - Monthly Asset Follow up'!U35+'03 - Monthly Asset Follow up'!X35-H31)</f>
        <v/>
      </c>
      <c r="AV31" s="391" t="str">
        <f>IF($C31=0,"",'03 - Monthly Asset Follow up'!BD35+'03 - Monthly Asset Follow up'!BE35-'03 - Monthly Asset Follow up'!BT35+'03 - Monthly Asset Follow up'!BW35)</f>
        <v/>
      </c>
      <c r="AX31" s="154"/>
    </row>
    <row r="32" spans="2:50" ht="13" x14ac:dyDescent="0.3">
      <c r="B32" s="766" t="str">
        <f t="shared" si="4"/>
        <v/>
      </c>
      <c r="C32" s="769">
        <f>'03 - Monthly Asset Follow up'!B36</f>
        <v>0</v>
      </c>
      <c r="D32" s="149"/>
      <c r="E32" s="762" t="str">
        <f>IF($C32=0,"",SUMIFS(INPUT_DATA!AU:AU,INPUT_DATA!$A:$A,$C32,INPUT_DATA!$C:$C,"S"))</f>
        <v/>
      </c>
      <c r="F32" s="774" t="str">
        <f>IF($C32=0,"",SUMIFS(INPUT_DATA!AV:AV,INPUT_DATA!$A:$A,$C32,INPUT_DATA!$C:$C,"S"))</f>
        <v/>
      </c>
      <c r="G32" s="774" t="str">
        <f>IF($C32=0,"",SUMIFS(INPUT_DATA!AW:AW,INPUT_DATA!$A:$A,$C32,INPUT_DATA!$C:$C,"S"))</f>
        <v/>
      </c>
      <c r="H32" s="776" t="str">
        <f t="shared" si="0"/>
        <v/>
      </c>
      <c r="I32" s="774" t="str">
        <f>IF($C32=0,"",SUMIFS(INPUT_DATA!AY:AY,INPUT_DATA!$A:$A,$C32,INPUT_DATA!$C:$C,"S"))</f>
        <v/>
      </c>
      <c r="J32" s="774" t="str">
        <f>IF($C32=0,"",SUMIFS(INPUT_DATA!AZ:AZ,INPUT_DATA!$A:$A,$C32,INPUT_DATA!$C:$C,"S"))</f>
        <v/>
      </c>
      <c r="K32" s="774" t="str">
        <f>IF($C32=0,"",SUMIFS(INPUT_DATA!BA:BA,INPUT_DATA!$A:$A,$C32,INPUT_DATA!$C:$C,"S"))</f>
        <v/>
      </c>
      <c r="L32" s="774" t="str">
        <f>IF($C32=0,"",SUMIFS(INPUT_DATA!BB:BB,INPUT_DATA!$A:$A,$C32,INPUT_DATA!$C:$C,"S"))</f>
        <v/>
      </c>
      <c r="M32" s="774" t="str">
        <f>IF($C32=0,"",SUMIFS(INPUT_DATA!BC:BC,INPUT_DATA!$A:$A,$C32,INPUT_DATA!$C:$C,"S"))</f>
        <v/>
      </c>
      <c r="N32" s="774" t="str">
        <f>IF($C32=0,"",SUMIFS(INPUT_DATA!BD:BD,INPUT_DATA!$A:$A,$C32,INPUT_DATA!$C:$C,"S"))</f>
        <v/>
      </c>
      <c r="O32" s="774" t="str">
        <f>IF($C32=0,"",SUMIFS(INPUT_DATA!BE:BE,INPUT_DATA!$A:$A,$C32,INPUT_DATA!$C:$C,"S"))</f>
        <v/>
      </c>
      <c r="P32" s="774" t="str">
        <f>IF($C32=0,"",SUMIFS(INPUT_DATA!BF:BF,INPUT_DATA!$A:$A,$C32,INPUT_DATA!$C:$C,"S"))</f>
        <v/>
      </c>
      <c r="Q32" s="780" t="str">
        <f t="shared" si="5"/>
        <v/>
      </c>
      <c r="R32" s="782" t="str">
        <f>IF($C32=0,"",SUMIFS(INPUT_DATA!BH:BH,INPUT_DATA!$A:$A,$C32,INPUT_DATA!$C:$C,"S"))</f>
        <v/>
      </c>
      <c r="S32" s="782" t="str">
        <f>IF($C32=0,"",SUMIFS(INPUT_DATA!BI:BI,INPUT_DATA!$A:$A,$C32,INPUT_DATA!$C:$C,"S"))</f>
        <v/>
      </c>
      <c r="T32" s="780" t="str">
        <f t="shared" si="6"/>
        <v/>
      </c>
      <c r="U32" s="785" t="str">
        <f>IF($C32=0,"",SUMIFS(INPUT_DATA!BL:BL,INPUT_DATA!$A:$A,$C32,INPUT_DATA!$C:$C,"S"))</f>
        <v/>
      </c>
      <c r="V32" s="155" t="str">
        <f t="shared" si="1"/>
        <v/>
      </c>
      <c r="W32" s="149"/>
      <c r="X32" s="762" t="str">
        <f>IF($C32=0,"",SUMIFS(INPUT_DATA!AU:AU,INPUT_DATA!$A:$A,$C32,INPUT_DATA!$C:$C,"D"))</f>
        <v/>
      </c>
      <c r="Y32" s="774" t="str">
        <f>IF($C32=0,"",SUMIFS(INPUT_DATA!AV:AV,INPUT_DATA!$A:$A,$C32,INPUT_DATA!$C:$C,"D"))</f>
        <v/>
      </c>
      <c r="Z32" s="774" t="str">
        <f>IF($C32=0,"",SUMIFS(INPUT_DATA!AW:AW,INPUT_DATA!$A:$A,$C32,INPUT_DATA!$C:$C,"D"))</f>
        <v/>
      </c>
      <c r="AA32" s="775" t="str">
        <f t="shared" si="2"/>
        <v/>
      </c>
      <c r="AB32" s="774" t="str">
        <f>IF($C32=0,"",SUMIFS(INPUT_DATA!AX:AX,INPUT_DATA!$A:$A,$C32,INPUT_DATA!$C:$C,"D"))</f>
        <v/>
      </c>
      <c r="AC32" s="774" t="str">
        <f>IF($C32=0,"",SUMIFS(INPUT_DATA!AY:AY,INPUT_DATA!$A:$A,$C32,INPUT_DATA!$C:$C,"D"))</f>
        <v/>
      </c>
      <c r="AD32" s="774" t="str">
        <f>IF($C32=0,"",SUMIFS(INPUT_DATA!AZ:AZ,INPUT_DATA!$A:$A,$C32,INPUT_DATA!$C:$C,"D"))</f>
        <v/>
      </c>
      <c r="AE32" s="774" t="str">
        <f>IF($C32=0,"",SUMIFS(INPUT_DATA!BA:BA,INPUT_DATA!$A:$A,$C32,INPUT_DATA!$C:$C,"D"))</f>
        <v/>
      </c>
      <c r="AF32" s="774" t="str">
        <f>IF($C32=0,"",SUMIFS(INPUT_DATA!BB:BB,INPUT_DATA!$A:$A,$C32,INPUT_DATA!$C:$C,"D"))</f>
        <v/>
      </c>
      <c r="AG32" s="774" t="str">
        <f>IF($C32=0,"",SUMIFS(INPUT_DATA!BC:BC,INPUT_DATA!$A:$A,$C32,INPUT_DATA!$C:$C,"D"))</f>
        <v/>
      </c>
      <c r="AH32" s="774" t="str">
        <f>IF($C32=0,"",SUMIFS(INPUT_DATA!BD:BD,INPUT_DATA!$A:$A,$C32,INPUT_DATA!$C:$C,"D"))</f>
        <v/>
      </c>
      <c r="AI32" s="774" t="str">
        <f>IF($C32=0,"",SUMIFS(INPUT_DATA!BE:BE,INPUT_DATA!$A:$A,$C32,INPUT_DATA!$C:$C,"D"))</f>
        <v/>
      </c>
      <c r="AJ32" s="315" t="str">
        <f t="shared" si="3"/>
        <v/>
      </c>
      <c r="AK32" s="782" t="str">
        <f>IF($C32=0,"",SUMIFS(INPUT_DATA!BG:BG,INPUT_DATA!$A:$A,$C32,INPUT_DATA!$C:$C,"D"))</f>
        <v/>
      </c>
      <c r="AL32" s="782" t="str">
        <f>IF($C32=0,"",SUMIFS(INPUT_DATA!BH:BH,INPUT_DATA!$A:$A,$C32,INPUT_DATA!$C:$C,"D"))</f>
        <v/>
      </c>
      <c r="AM32" s="782" t="str">
        <f>IF($C32=0,"",SUMIFS(INPUT_DATA!BI:BI,INPUT_DATA!$A:$A,$C32,INPUT_DATA!$C:$C,"D"))</f>
        <v/>
      </c>
      <c r="AN32" s="780" t="str">
        <f t="shared" si="7"/>
        <v/>
      </c>
      <c r="AO32" s="785" t="str">
        <f>IF($C32=0,"",SUMIFS(INPUT_DATA!BK:BK,INPUT_DATA!$A:$A,$C32,INPUT_DATA!$C:$C,"D"))</f>
        <v/>
      </c>
      <c r="AP32" s="355" t="str">
        <f t="shared" si="8"/>
        <v/>
      </c>
      <c r="AQ32" s="149"/>
      <c r="AS32" s="355" t="str">
        <f t="shared" si="9"/>
        <v/>
      </c>
      <c r="AU32" s="391" t="str">
        <f>IF($C32=0,"",'03 - Monthly Asset Follow up'!E36+'03 - Monthly Asset Follow up'!F36-'03 - Monthly Asset Follow up'!U36+'03 - Monthly Asset Follow up'!X36-H32)</f>
        <v/>
      </c>
      <c r="AV32" s="391" t="str">
        <f>IF($C32=0,"",'03 - Monthly Asset Follow up'!BD36+'03 - Monthly Asset Follow up'!BE36-'03 - Monthly Asset Follow up'!BT36+'03 - Monthly Asset Follow up'!BW36)</f>
        <v/>
      </c>
      <c r="AX32" s="154"/>
    </row>
    <row r="33" spans="2:50" ht="13" x14ac:dyDescent="0.3">
      <c r="B33" s="766" t="str">
        <f t="shared" si="4"/>
        <v/>
      </c>
      <c r="C33" s="769">
        <f>'03 - Monthly Asset Follow up'!B37</f>
        <v>0</v>
      </c>
      <c r="D33" s="149"/>
      <c r="E33" s="762" t="str">
        <f>IF($C33=0,"",SUMIFS(INPUT_DATA!AU:AU,INPUT_DATA!$A:$A,$C33,INPUT_DATA!$C:$C,"S"))</f>
        <v/>
      </c>
      <c r="F33" s="774" t="str">
        <f>IF($C33=0,"",SUMIFS(INPUT_DATA!AV:AV,INPUT_DATA!$A:$A,$C33,INPUT_DATA!$C:$C,"S"))</f>
        <v/>
      </c>
      <c r="G33" s="774" t="str">
        <f>IF($C33=0,"",SUMIFS(INPUT_DATA!AW:AW,INPUT_DATA!$A:$A,$C33,INPUT_DATA!$C:$C,"S"))</f>
        <v/>
      </c>
      <c r="H33" s="776" t="str">
        <f t="shared" si="0"/>
        <v/>
      </c>
      <c r="I33" s="774" t="str">
        <f>IF($C33=0,"",SUMIFS(INPUT_DATA!AY:AY,INPUT_DATA!$A:$A,$C33,INPUT_DATA!$C:$C,"S"))</f>
        <v/>
      </c>
      <c r="J33" s="774" t="str">
        <f>IF($C33=0,"",SUMIFS(INPUT_DATA!AZ:AZ,INPUT_DATA!$A:$A,$C33,INPUT_DATA!$C:$C,"S"))</f>
        <v/>
      </c>
      <c r="K33" s="774" t="str">
        <f>IF($C33=0,"",SUMIFS(INPUT_DATA!BA:BA,INPUT_DATA!$A:$A,$C33,INPUT_DATA!$C:$C,"S"))</f>
        <v/>
      </c>
      <c r="L33" s="774" t="str">
        <f>IF($C33=0,"",SUMIFS(INPUT_DATA!BB:BB,INPUT_DATA!$A:$A,$C33,INPUT_DATA!$C:$C,"S"))</f>
        <v/>
      </c>
      <c r="M33" s="774" t="str">
        <f>IF($C33=0,"",SUMIFS(INPUT_DATA!BC:BC,INPUT_DATA!$A:$A,$C33,INPUT_DATA!$C:$C,"S"))</f>
        <v/>
      </c>
      <c r="N33" s="774" t="str">
        <f>IF($C33=0,"",SUMIFS(INPUT_DATA!BD:BD,INPUT_DATA!$A:$A,$C33,INPUT_DATA!$C:$C,"S"))</f>
        <v/>
      </c>
      <c r="O33" s="774" t="str">
        <f>IF($C33=0,"",SUMIFS(INPUT_DATA!BE:BE,INPUT_DATA!$A:$A,$C33,INPUT_DATA!$C:$C,"S"))</f>
        <v/>
      </c>
      <c r="P33" s="774" t="str">
        <f>IF($C33=0,"",SUMIFS(INPUT_DATA!BF:BF,INPUT_DATA!$A:$A,$C33,INPUT_DATA!$C:$C,"S"))</f>
        <v/>
      </c>
      <c r="Q33" s="780" t="str">
        <f t="shared" si="5"/>
        <v/>
      </c>
      <c r="R33" s="782" t="str">
        <f>IF($C33=0,"",SUMIFS(INPUT_DATA!BH:BH,INPUT_DATA!$A:$A,$C33,INPUT_DATA!$C:$C,"S"))</f>
        <v/>
      </c>
      <c r="S33" s="782" t="str">
        <f>IF($C33=0,"",SUMIFS(INPUT_DATA!BI:BI,INPUT_DATA!$A:$A,$C33,INPUT_DATA!$C:$C,"S"))</f>
        <v/>
      </c>
      <c r="T33" s="780" t="str">
        <f t="shared" si="6"/>
        <v/>
      </c>
      <c r="U33" s="785" t="str">
        <f>IF($C33=0,"",SUMIFS(INPUT_DATA!BL:BL,INPUT_DATA!$A:$A,$C33,INPUT_DATA!$C:$C,"S"))</f>
        <v/>
      </c>
      <c r="V33" s="155" t="str">
        <f t="shared" si="1"/>
        <v/>
      </c>
      <c r="W33" s="149"/>
      <c r="X33" s="762" t="str">
        <f>IF($C33=0,"",SUMIFS(INPUT_DATA!AU:AU,INPUT_DATA!$A:$A,$C33,INPUT_DATA!$C:$C,"D"))</f>
        <v/>
      </c>
      <c r="Y33" s="774" t="str">
        <f>IF($C33=0,"",SUMIFS(INPUT_DATA!AV:AV,INPUT_DATA!$A:$A,$C33,INPUT_DATA!$C:$C,"D"))</f>
        <v/>
      </c>
      <c r="Z33" s="774" t="str">
        <f>IF($C33=0,"",SUMIFS(INPUT_DATA!AW:AW,INPUT_DATA!$A:$A,$C33,INPUT_DATA!$C:$C,"D"))</f>
        <v/>
      </c>
      <c r="AA33" s="775" t="str">
        <f t="shared" si="2"/>
        <v/>
      </c>
      <c r="AB33" s="774" t="str">
        <f>IF($C33=0,"",SUMIFS(INPUT_DATA!AX:AX,INPUT_DATA!$A:$A,$C33,INPUT_DATA!$C:$C,"D"))</f>
        <v/>
      </c>
      <c r="AC33" s="774" t="str">
        <f>IF($C33=0,"",SUMIFS(INPUT_DATA!AY:AY,INPUT_DATA!$A:$A,$C33,INPUT_DATA!$C:$C,"D"))</f>
        <v/>
      </c>
      <c r="AD33" s="774" t="str">
        <f>IF($C33=0,"",SUMIFS(INPUT_DATA!AZ:AZ,INPUT_DATA!$A:$A,$C33,INPUT_DATA!$C:$C,"D"))</f>
        <v/>
      </c>
      <c r="AE33" s="774" t="str">
        <f>IF($C33=0,"",SUMIFS(INPUT_DATA!BA:BA,INPUT_DATA!$A:$A,$C33,INPUT_DATA!$C:$C,"D"))</f>
        <v/>
      </c>
      <c r="AF33" s="774" t="str">
        <f>IF($C33=0,"",SUMIFS(INPUT_DATA!BB:BB,INPUT_DATA!$A:$A,$C33,INPUT_DATA!$C:$C,"D"))</f>
        <v/>
      </c>
      <c r="AG33" s="774" t="str">
        <f>IF($C33=0,"",SUMIFS(INPUT_DATA!BC:BC,INPUT_DATA!$A:$A,$C33,INPUT_DATA!$C:$C,"D"))</f>
        <v/>
      </c>
      <c r="AH33" s="774" t="str">
        <f>IF($C33=0,"",SUMIFS(INPUT_DATA!BD:BD,INPUT_DATA!$A:$A,$C33,INPUT_DATA!$C:$C,"D"))</f>
        <v/>
      </c>
      <c r="AI33" s="774" t="str">
        <f>IF($C33=0,"",SUMIFS(INPUT_DATA!BE:BE,INPUT_DATA!$A:$A,$C33,INPUT_DATA!$C:$C,"D"))</f>
        <v/>
      </c>
      <c r="AJ33" s="315" t="str">
        <f t="shared" si="3"/>
        <v/>
      </c>
      <c r="AK33" s="782" t="str">
        <f>IF($C33=0,"",SUMIFS(INPUT_DATA!BG:BG,INPUT_DATA!$A:$A,$C33,INPUT_DATA!$C:$C,"D"))</f>
        <v/>
      </c>
      <c r="AL33" s="782" t="str">
        <f>IF($C33=0,"",SUMIFS(INPUT_DATA!BH:BH,INPUT_DATA!$A:$A,$C33,INPUT_DATA!$C:$C,"D"))</f>
        <v/>
      </c>
      <c r="AM33" s="782" t="str">
        <f>IF($C33=0,"",SUMIFS(INPUT_DATA!BI:BI,INPUT_DATA!$A:$A,$C33,INPUT_DATA!$C:$C,"D"))</f>
        <v/>
      </c>
      <c r="AN33" s="780" t="str">
        <f t="shared" si="7"/>
        <v/>
      </c>
      <c r="AO33" s="785" t="str">
        <f>IF($C33=0,"",SUMIFS(INPUT_DATA!BK:BK,INPUT_DATA!$A:$A,$C33,INPUT_DATA!$C:$C,"D"))</f>
        <v/>
      </c>
      <c r="AP33" s="355" t="str">
        <f t="shared" si="8"/>
        <v/>
      </c>
      <c r="AQ33" s="149"/>
      <c r="AS33" s="355" t="str">
        <f t="shared" si="9"/>
        <v/>
      </c>
      <c r="AU33" s="391" t="str">
        <f>IF($C33=0,"",'03 - Monthly Asset Follow up'!E37+'03 - Monthly Asset Follow up'!F37-'03 - Monthly Asset Follow up'!U37+'03 - Monthly Asset Follow up'!X37-H33)</f>
        <v/>
      </c>
      <c r="AV33" s="391" t="str">
        <f>IF($C33=0,"",'03 - Monthly Asset Follow up'!BD37+'03 - Monthly Asset Follow up'!BE37-'03 - Monthly Asset Follow up'!BT37+'03 - Monthly Asset Follow up'!BW37)</f>
        <v/>
      </c>
      <c r="AX33" s="154"/>
    </row>
    <row r="34" spans="2:50" ht="13" x14ac:dyDescent="0.3">
      <c r="B34" s="766" t="str">
        <f t="shared" si="4"/>
        <v/>
      </c>
      <c r="C34" s="769">
        <f>'03 - Monthly Asset Follow up'!B38</f>
        <v>0</v>
      </c>
      <c r="D34" s="149"/>
      <c r="E34" s="762" t="str">
        <f>IF($C34=0,"",SUMIFS(INPUT_DATA!AU:AU,INPUT_DATA!$A:$A,$C34,INPUT_DATA!$C:$C,"S"))</f>
        <v/>
      </c>
      <c r="F34" s="774" t="str">
        <f>IF($C34=0,"",SUMIFS(INPUT_DATA!AV:AV,INPUT_DATA!$A:$A,$C34,INPUT_DATA!$C:$C,"S"))</f>
        <v/>
      </c>
      <c r="G34" s="774" t="str">
        <f>IF($C34=0,"",SUMIFS(INPUT_DATA!AW:AW,INPUT_DATA!$A:$A,$C34,INPUT_DATA!$C:$C,"S"))</f>
        <v/>
      </c>
      <c r="H34" s="776" t="str">
        <f t="shared" si="0"/>
        <v/>
      </c>
      <c r="I34" s="774" t="str">
        <f>IF($C34=0,"",SUMIFS(INPUT_DATA!AY:AY,INPUT_DATA!$A:$A,$C34,INPUT_DATA!$C:$C,"S"))</f>
        <v/>
      </c>
      <c r="J34" s="774" t="str">
        <f>IF($C34=0,"",SUMIFS(INPUT_DATA!AZ:AZ,INPUT_DATA!$A:$A,$C34,INPUT_DATA!$C:$C,"S"))</f>
        <v/>
      </c>
      <c r="K34" s="774" t="str">
        <f>IF($C34=0,"",SUMIFS(INPUT_DATA!BA:BA,INPUT_DATA!$A:$A,$C34,INPUT_DATA!$C:$C,"S"))</f>
        <v/>
      </c>
      <c r="L34" s="774" t="str">
        <f>IF($C34=0,"",SUMIFS(INPUT_DATA!BB:BB,INPUT_DATA!$A:$A,$C34,INPUT_DATA!$C:$C,"S"))</f>
        <v/>
      </c>
      <c r="M34" s="774" t="str">
        <f>IF($C34=0,"",SUMIFS(INPUT_DATA!BC:BC,INPUT_DATA!$A:$A,$C34,INPUT_DATA!$C:$C,"S"))</f>
        <v/>
      </c>
      <c r="N34" s="774" t="str">
        <f>IF($C34=0,"",SUMIFS(INPUT_DATA!BD:BD,INPUT_DATA!$A:$A,$C34,INPUT_DATA!$C:$C,"S"))</f>
        <v/>
      </c>
      <c r="O34" s="774" t="str">
        <f>IF($C34=0,"",SUMIFS(INPUT_DATA!BE:BE,INPUT_DATA!$A:$A,$C34,INPUT_DATA!$C:$C,"S"))</f>
        <v/>
      </c>
      <c r="P34" s="774" t="str">
        <f>IF($C34=0,"",SUMIFS(INPUT_DATA!BF:BF,INPUT_DATA!$A:$A,$C34,INPUT_DATA!$C:$C,"S"))</f>
        <v/>
      </c>
      <c r="Q34" s="780" t="str">
        <f t="shared" si="5"/>
        <v/>
      </c>
      <c r="R34" s="782" t="str">
        <f>IF($C34=0,"",SUMIFS(INPUT_DATA!BH:BH,INPUT_DATA!$A:$A,$C34,INPUT_DATA!$C:$C,"S"))</f>
        <v/>
      </c>
      <c r="S34" s="782" t="str">
        <f>IF($C34=0,"",SUMIFS(INPUT_DATA!BI:BI,INPUT_DATA!$A:$A,$C34,INPUT_DATA!$C:$C,"S"))</f>
        <v/>
      </c>
      <c r="T34" s="780" t="str">
        <f t="shared" si="6"/>
        <v/>
      </c>
      <c r="U34" s="785" t="str">
        <f>IF($C34=0,"",SUMIFS(INPUT_DATA!BL:BL,INPUT_DATA!$A:$A,$C34,INPUT_DATA!$C:$C,"S"))</f>
        <v/>
      </c>
      <c r="V34" s="155" t="str">
        <f t="shared" si="1"/>
        <v/>
      </c>
      <c r="W34" s="149"/>
      <c r="X34" s="762" t="str">
        <f>IF($C34=0,"",SUMIFS(INPUT_DATA!AU:AU,INPUT_DATA!$A:$A,$C34,INPUT_DATA!$C:$C,"D"))</f>
        <v/>
      </c>
      <c r="Y34" s="774" t="str">
        <f>IF($C34=0,"",SUMIFS(INPUT_DATA!AV:AV,INPUT_DATA!$A:$A,$C34,INPUT_DATA!$C:$C,"D"))</f>
        <v/>
      </c>
      <c r="Z34" s="774" t="str">
        <f>IF($C34=0,"",SUMIFS(INPUT_DATA!AW:AW,INPUT_DATA!$A:$A,$C34,INPUT_DATA!$C:$C,"D"))</f>
        <v/>
      </c>
      <c r="AA34" s="775" t="str">
        <f t="shared" si="2"/>
        <v/>
      </c>
      <c r="AB34" s="774" t="str">
        <f>IF($C34=0,"",SUMIFS(INPUT_DATA!AX:AX,INPUT_DATA!$A:$A,$C34,INPUT_DATA!$C:$C,"D"))</f>
        <v/>
      </c>
      <c r="AC34" s="774" t="str">
        <f>IF($C34=0,"",SUMIFS(INPUT_DATA!AY:AY,INPUT_DATA!$A:$A,$C34,INPUT_DATA!$C:$C,"D"))</f>
        <v/>
      </c>
      <c r="AD34" s="774" t="str">
        <f>IF($C34=0,"",SUMIFS(INPUT_DATA!AZ:AZ,INPUT_DATA!$A:$A,$C34,INPUT_DATA!$C:$C,"D"))</f>
        <v/>
      </c>
      <c r="AE34" s="774" t="str">
        <f>IF($C34=0,"",SUMIFS(INPUT_DATA!BA:BA,INPUT_DATA!$A:$A,$C34,INPUT_DATA!$C:$C,"D"))</f>
        <v/>
      </c>
      <c r="AF34" s="774" t="str">
        <f>IF($C34=0,"",SUMIFS(INPUT_DATA!BB:BB,INPUT_DATA!$A:$A,$C34,INPUT_DATA!$C:$C,"D"))</f>
        <v/>
      </c>
      <c r="AG34" s="774" t="str">
        <f>IF($C34=0,"",SUMIFS(INPUT_DATA!BC:BC,INPUT_DATA!$A:$A,$C34,INPUT_DATA!$C:$C,"D"))</f>
        <v/>
      </c>
      <c r="AH34" s="774" t="str">
        <f>IF($C34=0,"",SUMIFS(INPUT_DATA!BD:BD,INPUT_DATA!$A:$A,$C34,INPUT_DATA!$C:$C,"D"))</f>
        <v/>
      </c>
      <c r="AI34" s="774" t="str">
        <f>IF($C34=0,"",SUMIFS(INPUT_DATA!BE:BE,INPUT_DATA!$A:$A,$C34,INPUT_DATA!$C:$C,"D"))</f>
        <v/>
      </c>
      <c r="AJ34" s="315" t="str">
        <f t="shared" si="3"/>
        <v/>
      </c>
      <c r="AK34" s="782" t="str">
        <f>IF($C34=0,"",SUMIFS(INPUT_DATA!BG:BG,INPUT_DATA!$A:$A,$C34,INPUT_DATA!$C:$C,"D"))</f>
        <v/>
      </c>
      <c r="AL34" s="782" t="str">
        <f>IF($C34=0,"",SUMIFS(INPUT_DATA!BH:BH,INPUT_DATA!$A:$A,$C34,INPUT_DATA!$C:$C,"D"))</f>
        <v/>
      </c>
      <c r="AM34" s="782" t="str">
        <f>IF($C34=0,"",SUMIFS(INPUT_DATA!BI:BI,INPUT_DATA!$A:$A,$C34,INPUT_DATA!$C:$C,"D"))</f>
        <v/>
      </c>
      <c r="AN34" s="780" t="str">
        <f t="shared" si="7"/>
        <v/>
      </c>
      <c r="AO34" s="785" t="str">
        <f>IF($C34=0,"",SUMIFS(INPUT_DATA!BK:BK,INPUT_DATA!$A:$A,$C34,INPUT_DATA!$C:$C,"D"))</f>
        <v/>
      </c>
      <c r="AP34" s="355" t="str">
        <f t="shared" si="8"/>
        <v/>
      </c>
      <c r="AQ34" s="149"/>
      <c r="AS34" s="355" t="str">
        <f t="shared" si="9"/>
        <v/>
      </c>
      <c r="AU34" s="391" t="str">
        <f>IF($C34=0,"",'03 - Monthly Asset Follow up'!E38+'03 - Monthly Asset Follow up'!F38-'03 - Monthly Asset Follow up'!U38+'03 - Monthly Asset Follow up'!X38-H34)</f>
        <v/>
      </c>
      <c r="AV34" s="391" t="str">
        <f>IF($C34=0,"",'03 - Monthly Asset Follow up'!BD38+'03 - Monthly Asset Follow up'!BE38-'03 - Monthly Asset Follow up'!BT38+'03 - Monthly Asset Follow up'!BW38)</f>
        <v/>
      </c>
      <c r="AX34" s="154"/>
    </row>
    <row r="35" spans="2:50" ht="13" x14ac:dyDescent="0.3">
      <c r="B35" s="766" t="str">
        <f t="shared" si="4"/>
        <v/>
      </c>
      <c r="C35" s="769">
        <f>'03 - Monthly Asset Follow up'!B39</f>
        <v>0</v>
      </c>
      <c r="D35" s="149"/>
      <c r="E35" s="762" t="str">
        <f>IF($C35=0,"",SUMIFS(INPUT_DATA!AU:AU,INPUT_DATA!$A:$A,$C35,INPUT_DATA!$C:$C,"S"))</f>
        <v/>
      </c>
      <c r="F35" s="774" t="str">
        <f>IF($C35=0,"",SUMIFS(INPUT_DATA!AV:AV,INPUT_DATA!$A:$A,$C35,INPUT_DATA!$C:$C,"S"))</f>
        <v/>
      </c>
      <c r="G35" s="774" t="str">
        <f>IF($C35=0,"",SUMIFS(INPUT_DATA!AW:AW,INPUT_DATA!$A:$A,$C35,INPUT_DATA!$C:$C,"S"))</f>
        <v/>
      </c>
      <c r="H35" s="776" t="str">
        <f t="shared" si="0"/>
        <v/>
      </c>
      <c r="I35" s="774" t="str">
        <f>IF($C35=0,"",SUMIFS(INPUT_DATA!AY:AY,INPUT_DATA!$A:$A,$C35,INPUT_DATA!$C:$C,"S"))</f>
        <v/>
      </c>
      <c r="J35" s="774" t="str">
        <f>IF($C35=0,"",SUMIFS(INPUT_DATA!AZ:AZ,INPUT_DATA!$A:$A,$C35,INPUT_DATA!$C:$C,"S"))</f>
        <v/>
      </c>
      <c r="K35" s="774" t="str">
        <f>IF($C35=0,"",SUMIFS(INPUT_DATA!BA:BA,INPUT_DATA!$A:$A,$C35,INPUT_DATA!$C:$C,"S"))</f>
        <v/>
      </c>
      <c r="L35" s="774" t="str">
        <f>IF($C35=0,"",SUMIFS(INPUT_DATA!BB:BB,INPUT_DATA!$A:$A,$C35,INPUT_DATA!$C:$C,"S"))</f>
        <v/>
      </c>
      <c r="M35" s="774" t="str">
        <f>IF($C35=0,"",SUMIFS(INPUT_DATA!BC:BC,INPUT_DATA!$A:$A,$C35,INPUT_DATA!$C:$C,"S"))</f>
        <v/>
      </c>
      <c r="N35" s="774" t="str">
        <f>IF($C35=0,"",SUMIFS(INPUT_DATA!BD:BD,INPUT_DATA!$A:$A,$C35,INPUT_DATA!$C:$C,"S"))</f>
        <v/>
      </c>
      <c r="O35" s="774" t="str">
        <f>IF($C35=0,"",SUMIFS(INPUT_DATA!BE:BE,INPUT_DATA!$A:$A,$C35,INPUT_DATA!$C:$C,"S"))</f>
        <v/>
      </c>
      <c r="P35" s="774" t="str">
        <f>IF($C35=0,"",SUMIFS(INPUT_DATA!BF:BF,INPUT_DATA!$A:$A,$C35,INPUT_DATA!$C:$C,"S"))</f>
        <v/>
      </c>
      <c r="Q35" s="780" t="str">
        <f t="shared" si="5"/>
        <v/>
      </c>
      <c r="R35" s="782" t="str">
        <f>IF($C35=0,"",SUMIFS(INPUT_DATA!BH:BH,INPUT_DATA!$A:$A,$C35,INPUT_DATA!$C:$C,"S"))</f>
        <v/>
      </c>
      <c r="S35" s="782" t="str">
        <f>IF($C35=0,"",SUMIFS(INPUT_DATA!BI:BI,INPUT_DATA!$A:$A,$C35,INPUT_DATA!$C:$C,"S"))</f>
        <v/>
      </c>
      <c r="T35" s="780" t="str">
        <f t="shared" si="6"/>
        <v/>
      </c>
      <c r="U35" s="785" t="str">
        <f>IF($C35=0,"",SUMIFS(INPUT_DATA!BL:BL,INPUT_DATA!$A:$A,$C35,INPUT_DATA!$C:$C,"S"))</f>
        <v/>
      </c>
      <c r="V35" s="155" t="str">
        <f t="shared" si="1"/>
        <v/>
      </c>
      <c r="W35" s="149"/>
      <c r="X35" s="762" t="str">
        <f>IF($C35=0,"",SUMIFS(INPUT_DATA!AU:AU,INPUT_DATA!$A:$A,$C35,INPUT_DATA!$C:$C,"D"))</f>
        <v/>
      </c>
      <c r="Y35" s="774" t="str">
        <f>IF($C35=0,"",SUMIFS(INPUT_DATA!AV:AV,INPUT_DATA!$A:$A,$C35,INPUT_DATA!$C:$C,"D"))</f>
        <v/>
      </c>
      <c r="Z35" s="774" t="str">
        <f>IF($C35=0,"",SUMIFS(INPUT_DATA!AW:AW,INPUT_DATA!$A:$A,$C35,INPUT_DATA!$C:$C,"D"))</f>
        <v/>
      </c>
      <c r="AA35" s="775" t="str">
        <f t="shared" si="2"/>
        <v/>
      </c>
      <c r="AB35" s="774" t="str">
        <f>IF($C35=0,"",SUMIFS(INPUT_DATA!AX:AX,INPUT_DATA!$A:$A,$C35,INPUT_DATA!$C:$C,"D"))</f>
        <v/>
      </c>
      <c r="AC35" s="774" t="str">
        <f>IF($C35=0,"",SUMIFS(INPUT_DATA!AY:AY,INPUT_DATA!$A:$A,$C35,INPUT_DATA!$C:$C,"D"))</f>
        <v/>
      </c>
      <c r="AD35" s="774" t="str">
        <f>IF($C35=0,"",SUMIFS(INPUT_DATA!AZ:AZ,INPUT_DATA!$A:$A,$C35,INPUT_DATA!$C:$C,"D"))</f>
        <v/>
      </c>
      <c r="AE35" s="774" t="str">
        <f>IF($C35=0,"",SUMIFS(INPUT_DATA!BA:BA,INPUT_DATA!$A:$A,$C35,INPUT_DATA!$C:$C,"D"))</f>
        <v/>
      </c>
      <c r="AF35" s="774" t="str">
        <f>IF($C35=0,"",SUMIFS(INPUT_DATA!BB:BB,INPUT_DATA!$A:$A,$C35,INPUT_DATA!$C:$C,"D"))</f>
        <v/>
      </c>
      <c r="AG35" s="774" t="str">
        <f>IF($C35=0,"",SUMIFS(INPUT_DATA!BC:BC,INPUT_DATA!$A:$A,$C35,INPUT_DATA!$C:$C,"D"))</f>
        <v/>
      </c>
      <c r="AH35" s="774" t="str">
        <f>IF($C35=0,"",SUMIFS(INPUT_DATA!BD:BD,INPUT_DATA!$A:$A,$C35,INPUT_DATA!$C:$C,"D"))</f>
        <v/>
      </c>
      <c r="AI35" s="774" t="str">
        <f>IF($C35=0,"",SUMIFS(INPUT_DATA!BE:BE,INPUT_DATA!$A:$A,$C35,INPUT_DATA!$C:$C,"D"))</f>
        <v/>
      </c>
      <c r="AJ35" s="315" t="str">
        <f t="shared" si="3"/>
        <v/>
      </c>
      <c r="AK35" s="782" t="str">
        <f>IF($C35=0,"",SUMIFS(INPUT_DATA!BG:BG,INPUT_DATA!$A:$A,$C35,INPUT_DATA!$C:$C,"D"))</f>
        <v/>
      </c>
      <c r="AL35" s="782" t="str">
        <f>IF($C35=0,"",SUMIFS(INPUT_DATA!BH:BH,INPUT_DATA!$A:$A,$C35,INPUT_DATA!$C:$C,"D"))</f>
        <v/>
      </c>
      <c r="AM35" s="782" t="str">
        <f>IF($C35=0,"",SUMIFS(INPUT_DATA!BI:BI,INPUT_DATA!$A:$A,$C35,INPUT_DATA!$C:$C,"D"))</f>
        <v/>
      </c>
      <c r="AN35" s="780" t="str">
        <f t="shared" si="7"/>
        <v/>
      </c>
      <c r="AO35" s="785" t="str">
        <f>IF($C35=0,"",SUMIFS(INPUT_DATA!BK:BK,INPUT_DATA!$A:$A,$C35,INPUT_DATA!$C:$C,"D"))</f>
        <v/>
      </c>
      <c r="AP35" s="355" t="str">
        <f t="shared" si="8"/>
        <v/>
      </c>
      <c r="AQ35" s="149"/>
      <c r="AS35" s="355" t="str">
        <f t="shared" si="9"/>
        <v/>
      </c>
      <c r="AU35" s="391" t="str">
        <f>IF($C35=0,"",'03 - Monthly Asset Follow up'!E39+'03 - Monthly Asset Follow up'!F39-'03 - Monthly Asset Follow up'!U39+'03 - Monthly Asset Follow up'!X39-H35)</f>
        <v/>
      </c>
      <c r="AV35" s="391" t="str">
        <f>IF($C35=0,"",'03 - Monthly Asset Follow up'!BD39+'03 - Monthly Asset Follow up'!BE39-'03 - Monthly Asset Follow up'!BT39+'03 - Monthly Asset Follow up'!BW39)</f>
        <v/>
      </c>
      <c r="AX35" s="154"/>
    </row>
    <row r="36" spans="2:50" ht="13" x14ac:dyDescent="0.3">
      <c r="B36" s="766" t="str">
        <f t="shared" si="4"/>
        <v/>
      </c>
      <c r="C36" s="769">
        <f>'03 - Monthly Asset Follow up'!B40</f>
        <v>0</v>
      </c>
      <c r="D36" s="149"/>
      <c r="E36" s="762" t="str">
        <f>IF($C36=0,"",SUMIFS(INPUT_DATA!AU:AU,INPUT_DATA!$A:$A,$C36,INPUT_DATA!$C:$C,"S"))</f>
        <v/>
      </c>
      <c r="F36" s="774" t="str">
        <f>IF($C36=0,"",SUMIFS(INPUT_DATA!AV:AV,INPUT_DATA!$A:$A,$C36,INPUT_DATA!$C:$C,"S"))</f>
        <v/>
      </c>
      <c r="G36" s="774" t="str">
        <f>IF($C36=0,"",SUMIFS(INPUT_DATA!AW:AW,INPUT_DATA!$A:$A,$C36,INPUT_DATA!$C:$C,"S"))</f>
        <v/>
      </c>
      <c r="H36" s="776" t="str">
        <f t="shared" si="0"/>
        <v/>
      </c>
      <c r="I36" s="774" t="str">
        <f>IF($C36=0,"",SUMIFS(INPUT_DATA!AY:AY,INPUT_DATA!$A:$A,$C36,INPUT_DATA!$C:$C,"S"))</f>
        <v/>
      </c>
      <c r="J36" s="774" t="str">
        <f>IF($C36=0,"",SUMIFS(INPUT_DATA!AZ:AZ,INPUT_DATA!$A:$A,$C36,INPUT_DATA!$C:$C,"S"))</f>
        <v/>
      </c>
      <c r="K36" s="774" t="str">
        <f>IF($C36=0,"",SUMIFS(INPUT_DATA!BA:BA,INPUT_DATA!$A:$A,$C36,INPUT_DATA!$C:$C,"S"))</f>
        <v/>
      </c>
      <c r="L36" s="774" t="str">
        <f>IF($C36=0,"",SUMIFS(INPUT_DATA!BB:BB,INPUT_DATA!$A:$A,$C36,INPUT_DATA!$C:$C,"S"))</f>
        <v/>
      </c>
      <c r="M36" s="774" t="str">
        <f>IF($C36=0,"",SUMIFS(INPUT_DATA!BC:BC,INPUT_DATA!$A:$A,$C36,INPUT_DATA!$C:$C,"S"))</f>
        <v/>
      </c>
      <c r="N36" s="774" t="str">
        <f>IF($C36=0,"",SUMIFS(INPUT_DATA!BD:BD,INPUT_DATA!$A:$A,$C36,INPUT_DATA!$C:$C,"S"))</f>
        <v/>
      </c>
      <c r="O36" s="774" t="str">
        <f>IF($C36=0,"",SUMIFS(INPUT_DATA!BE:BE,INPUT_DATA!$A:$A,$C36,INPUT_DATA!$C:$C,"S"))</f>
        <v/>
      </c>
      <c r="P36" s="774" t="str">
        <f>IF($C36=0,"",SUMIFS(INPUT_DATA!BF:BF,INPUT_DATA!$A:$A,$C36,INPUT_DATA!$C:$C,"S"))</f>
        <v/>
      </c>
      <c r="Q36" s="780" t="str">
        <f t="shared" si="5"/>
        <v/>
      </c>
      <c r="R36" s="782" t="str">
        <f>IF($C36=0,"",SUMIFS(INPUT_DATA!BH:BH,INPUT_DATA!$A:$A,$C36,INPUT_DATA!$C:$C,"S"))</f>
        <v/>
      </c>
      <c r="S36" s="782" t="str">
        <f>IF($C36=0,"",SUMIFS(INPUT_DATA!BI:BI,INPUT_DATA!$A:$A,$C36,INPUT_DATA!$C:$C,"S"))</f>
        <v/>
      </c>
      <c r="T36" s="780" t="str">
        <f t="shared" si="6"/>
        <v/>
      </c>
      <c r="U36" s="785" t="str">
        <f>IF($C36=0,"",SUMIFS(INPUT_DATA!BL:BL,INPUT_DATA!$A:$A,$C36,INPUT_DATA!$C:$C,"S"))</f>
        <v/>
      </c>
      <c r="V36" s="155" t="str">
        <f t="shared" si="1"/>
        <v/>
      </c>
      <c r="W36" s="149"/>
      <c r="X36" s="762" t="str">
        <f>IF($C36=0,"",SUMIFS(INPUT_DATA!AU:AU,INPUT_DATA!$A:$A,$C36,INPUT_DATA!$C:$C,"D"))</f>
        <v/>
      </c>
      <c r="Y36" s="774" t="str">
        <f>IF($C36=0,"",SUMIFS(INPUT_DATA!AV:AV,INPUT_DATA!$A:$A,$C36,INPUT_DATA!$C:$C,"D"))</f>
        <v/>
      </c>
      <c r="Z36" s="774" t="str">
        <f>IF($C36=0,"",SUMIFS(INPUT_DATA!AW:AW,INPUT_DATA!$A:$A,$C36,INPUT_DATA!$C:$C,"D"))</f>
        <v/>
      </c>
      <c r="AA36" s="775" t="str">
        <f t="shared" si="2"/>
        <v/>
      </c>
      <c r="AB36" s="774" t="str">
        <f>IF($C36=0,"",SUMIFS(INPUT_DATA!AX:AX,INPUT_DATA!$A:$A,$C36,INPUT_DATA!$C:$C,"D"))</f>
        <v/>
      </c>
      <c r="AC36" s="774" t="str">
        <f>IF($C36=0,"",SUMIFS(INPUT_DATA!AY:AY,INPUT_DATA!$A:$A,$C36,INPUT_DATA!$C:$C,"D"))</f>
        <v/>
      </c>
      <c r="AD36" s="774" t="str">
        <f>IF($C36=0,"",SUMIFS(INPUT_DATA!AZ:AZ,INPUT_DATA!$A:$A,$C36,INPUT_DATA!$C:$C,"D"))</f>
        <v/>
      </c>
      <c r="AE36" s="774" t="str">
        <f>IF($C36=0,"",SUMIFS(INPUT_DATA!BA:BA,INPUT_DATA!$A:$A,$C36,INPUT_DATA!$C:$C,"D"))</f>
        <v/>
      </c>
      <c r="AF36" s="774" t="str">
        <f>IF($C36=0,"",SUMIFS(INPUT_DATA!BB:BB,INPUT_DATA!$A:$A,$C36,INPUT_DATA!$C:$C,"D"))</f>
        <v/>
      </c>
      <c r="AG36" s="774" t="str">
        <f>IF($C36=0,"",SUMIFS(INPUT_DATA!BC:BC,INPUT_DATA!$A:$A,$C36,INPUT_DATA!$C:$C,"D"))</f>
        <v/>
      </c>
      <c r="AH36" s="774" t="str">
        <f>IF($C36=0,"",SUMIFS(INPUT_DATA!BD:BD,INPUT_DATA!$A:$A,$C36,INPUT_DATA!$C:$C,"D"))</f>
        <v/>
      </c>
      <c r="AI36" s="774" t="str">
        <f>IF($C36=0,"",SUMIFS(INPUT_DATA!BE:BE,INPUT_DATA!$A:$A,$C36,INPUT_DATA!$C:$C,"D"))</f>
        <v/>
      </c>
      <c r="AJ36" s="315" t="str">
        <f t="shared" si="3"/>
        <v/>
      </c>
      <c r="AK36" s="782" t="str">
        <f>IF($C36=0,"",SUMIFS(INPUT_DATA!BG:BG,INPUT_DATA!$A:$A,$C36,INPUT_DATA!$C:$C,"D"))</f>
        <v/>
      </c>
      <c r="AL36" s="782" t="str">
        <f>IF($C36=0,"",SUMIFS(INPUT_DATA!BH:BH,INPUT_DATA!$A:$A,$C36,INPUT_DATA!$C:$C,"D"))</f>
        <v/>
      </c>
      <c r="AM36" s="782" t="str">
        <f>IF($C36=0,"",SUMIFS(INPUT_DATA!BI:BI,INPUT_DATA!$A:$A,$C36,INPUT_DATA!$C:$C,"D"))</f>
        <v/>
      </c>
      <c r="AN36" s="780" t="str">
        <f t="shared" si="7"/>
        <v/>
      </c>
      <c r="AO36" s="785" t="str">
        <f>IF($C36=0,"",SUMIFS(INPUT_DATA!BK:BK,INPUT_DATA!$A:$A,$C36,INPUT_DATA!$C:$C,"D"))</f>
        <v/>
      </c>
      <c r="AP36" s="355" t="str">
        <f t="shared" si="8"/>
        <v/>
      </c>
      <c r="AQ36" s="149"/>
      <c r="AS36" s="355" t="str">
        <f t="shared" si="9"/>
        <v/>
      </c>
      <c r="AU36" s="391" t="str">
        <f>IF($C36=0,"",'03 - Monthly Asset Follow up'!E40+'03 - Monthly Asset Follow up'!F40-'03 - Monthly Asset Follow up'!U40+'03 - Monthly Asset Follow up'!X40-H36)</f>
        <v/>
      </c>
      <c r="AV36" s="391" t="str">
        <f>IF($C36=0,"",'03 - Monthly Asset Follow up'!BD40+'03 - Monthly Asset Follow up'!BE40-'03 - Monthly Asset Follow up'!BT40+'03 - Monthly Asset Follow up'!BW40)</f>
        <v/>
      </c>
      <c r="AX36" s="154"/>
    </row>
    <row r="37" spans="2:50" ht="13" x14ac:dyDescent="0.3">
      <c r="B37" s="766" t="str">
        <f t="shared" si="4"/>
        <v/>
      </c>
      <c r="C37" s="769">
        <f>'03 - Monthly Asset Follow up'!B41</f>
        <v>0</v>
      </c>
      <c r="D37" s="149"/>
      <c r="E37" s="762" t="str">
        <f>IF($C37=0,"",SUMIFS(INPUT_DATA!AU:AU,INPUT_DATA!$A:$A,$C37,INPUT_DATA!$C:$C,"S"))</f>
        <v/>
      </c>
      <c r="F37" s="774" t="str">
        <f>IF($C37=0,"",SUMIFS(INPUT_DATA!AV:AV,INPUT_DATA!$A:$A,$C37,INPUT_DATA!$C:$C,"S"))</f>
        <v/>
      </c>
      <c r="G37" s="774" t="str">
        <f>IF($C37=0,"",SUMIFS(INPUT_DATA!AW:AW,INPUT_DATA!$A:$A,$C37,INPUT_DATA!$C:$C,"S"))</f>
        <v/>
      </c>
      <c r="H37" s="776" t="str">
        <f t="shared" si="0"/>
        <v/>
      </c>
      <c r="I37" s="774" t="str">
        <f>IF($C37=0,"",SUMIFS(INPUT_DATA!AY:AY,INPUT_DATA!$A:$A,$C37,INPUT_DATA!$C:$C,"S"))</f>
        <v/>
      </c>
      <c r="J37" s="774" t="str">
        <f>IF($C37=0,"",SUMIFS(INPUT_DATA!AZ:AZ,INPUT_DATA!$A:$A,$C37,INPUT_DATA!$C:$C,"S"))</f>
        <v/>
      </c>
      <c r="K37" s="774" t="str">
        <f>IF($C37=0,"",SUMIFS(INPUT_DATA!BA:BA,INPUT_DATA!$A:$A,$C37,INPUT_DATA!$C:$C,"S"))</f>
        <v/>
      </c>
      <c r="L37" s="774" t="str">
        <f>IF($C37=0,"",SUMIFS(INPUT_DATA!BB:BB,INPUT_DATA!$A:$A,$C37,INPUT_DATA!$C:$C,"S"))</f>
        <v/>
      </c>
      <c r="M37" s="774" t="str">
        <f>IF($C37=0,"",SUMIFS(INPUT_DATA!BC:BC,INPUT_DATA!$A:$A,$C37,INPUT_DATA!$C:$C,"S"))</f>
        <v/>
      </c>
      <c r="N37" s="774" t="str">
        <f>IF($C37=0,"",SUMIFS(INPUT_DATA!BD:BD,INPUT_DATA!$A:$A,$C37,INPUT_DATA!$C:$C,"S"))</f>
        <v/>
      </c>
      <c r="O37" s="774" t="str">
        <f>IF($C37=0,"",SUMIFS(INPUT_DATA!BE:BE,INPUT_DATA!$A:$A,$C37,INPUT_DATA!$C:$C,"S"))</f>
        <v/>
      </c>
      <c r="P37" s="774" t="str">
        <f>IF($C37=0,"",SUMIFS(INPUT_DATA!BF:BF,INPUT_DATA!$A:$A,$C37,INPUT_DATA!$C:$C,"S"))</f>
        <v/>
      </c>
      <c r="Q37" s="780" t="str">
        <f t="shared" si="5"/>
        <v/>
      </c>
      <c r="R37" s="782" t="str">
        <f>IF($C37=0,"",SUMIFS(INPUT_DATA!BH:BH,INPUT_DATA!$A:$A,$C37,INPUT_DATA!$C:$C,"S"))</f>
        <v/>
      </c>
      <c r="S37" s="782" t="str">
        <f>IF($C37=0,"",SUMIFS(INPUT_DATA!BI:BI,INPUT_DATA!$A:$A,$C37,INPUT_DATA!$C:$C,"S"))</f>
        <v/>
      </c>
      <c r="T37" s="780" t="str">
        <f t="shared" si="6"/>
        <v/>
      </c>
      <c r="U37" s="785" t="str">
        <f>IF($C37=0,"",SUMIFS(INPUT_DATA!BL:BL,INPUT_DATA!$A:$A,$C37,INPUT_DATA!$C:$C,"S"))</f>
        <v/>
      </c>
      <c r="V37" s="155" t="str">
        <f t="shared" si="1"/>
        <v/>
      </c>
      <c r="W37" s="149"/>
      <c r="X37" s="762" t="str">
        <f>IF($C37=0,"",SUMIFS(INPUT_DATA!AU:AU,INPUT_DATA!$A:$A,$C37,INPUT_DATA!$C:$C,"D"))</f>
        <v/>
      </c>
      <c r="Y37" s="774" t="str">
        <f>IF($C37=0,"",SUMIFS(INPUT_DATA!AV:AV,INPUT_DATA!$A:$A,$C37,INPUT_DATA!$C:$C,"D"))</f>
        <v/>
      </c>
      <c r="Z37" s="774" t="str">
        <f>IF($C37=0,"",SUMIFS(INPUT_DATA!AW:AW,INPUT_DATA!$A:$A,$C37,INPUT_DATA!$C:$C,"D"))</f>
        <v/>
      </c>
      <c r="AA37" s="775" t="str">
        <f t="shared" si="2"/>
        <v/>
      </c>
      <c r="AB37" s="774" t="str">
        <f>IF($C37=0,"",SUMIFS(INPUT_DATA!AX:AX,INPUT_DATA!$A:$A,$C37,INPUT_DATA!$C:$C,"D"))</f>
        <v/>
      </c>
      <c r="AC37" s="774" t="str">
        <f>IF($C37=0,"",SUMIFS(INPUT_DATA!AY:AY,INPUT_DATA!$A:$A,$C37,INPUT_DATA!$C:$C,"D"))</f>
        <v/>
      </c>
      <c r="AD37" s="774" t="str">
        <f>IF($C37=0,"",SUMIFS(INPUT_DATA!AZ:AZ,INPUT_DATA!$A:$A,$C37,INPUT_DATA!$C:$C,"D"))</f>
        <v/>
      </c>
      <c r="AE37" s="774" t="str">
        <f>IF($C37=0,"",SUMIFS(INPUT_DATA!BA:BA,INPUT_DATA!$A:$A,$C37,INPUT_DATA!$C:$C,"D"))</f>
        <v/>
      </c>
      <c r="AF37" s="774" t="str">
        <f>IF($C37=0,"",SUMIFS(INPUT_DATA!BB:BB,INPUT_DATA!$A:$A,$C37,INPUT_DATA!$C:$C,"D"))</f>
        <v/>
      </c>
      <c r="AG37" s="774" t="str">
        <f>IF($C37=0,"",SUMIFS(INPUT_DATA!BC:BC,INPUT_DATA!$A:$A,$C37,INPUT_DATA!$C:$C,"D"))</f>
        <v/>
      </c>
      <c r="AH37" s="774" t="str">
        <f>IF($C37=0,"",SUMIFS(INPUT_DATA!BD:BD,INPUT_DATA!$A:$A,$C37,INPUT_DATA!$C:$C,"D"))</f>
        <v/>
      </c>
      <c r="AI37" s="774" t="str">
        <f>IF($C37=0,"",SUMIFS(INPUT_DATA!BE:BE,INPUT_DATA!$A:$A,$C37,INPUT_DATA!$C:$C,"D"))</f>
        <v/>
      </c>
      <c r="AJ37" s="315" t="str">
        <f t="shared" si="3"/>
        <v/>
      </c>
      <c r="AK37" s="782" t="str">
        <f>IF($C37=0,"",SUMIFS(INPUT_DATA!BG:BG,INPUT_DATA!$A:$A,$C37,INPUT_DATA!$C:$C,"D"))</f>
        <v/>
      </c>
      <c r="AL37" s="782" t="str">
        <f>IF($C37=0,"",SUMIFS(INPUT_DATA!BH:BH,INPUT_DATA!$A:$A,$C37,INPUT_DATA!$C:$C,"D"))</f>
        <v/>
      </c>
      <c r="AM37" s="782" t="str">
        <f>IF($C37=0,"",SUMIFS(INPUT_DATA!BI:BI,INPUT_DATA!$A:$A,$C37,INPUT_DATA!$C:$C,"D"))</f>
        <v/>
      </c>
      <c r="AN37" s="780" t="str">
        <f t="shared" si="7"/>
        <v/>
      </c>
      <c r="AO37" s="785" t="str">
        <f>IF($C37=0,"",SUMIFS(INPUT_DATA!BK:BK,INPUT_DATA!$A:$A,$C37,INPUT_DATA!$C:$C,"D"))</f>
        <v/>
      </c>
      <c r="AP37" s="355" t="str">
        <f t="shared" si="8"/>
        <v/>
      </c>
      <c r="AQ37" s="149"/>
      <c r="AS37" s="355" t="str">
        <f t="shared" si="9"/>
        <v/>
      </c>
      <c r="AU37" s="391" t="str">
        <f>IF($C37=0,"",'03 - Monthly Asset Follow up'!E41+'03 - Monthly Asset Follow up'!F41-'03 - Monthly Asset Follow up'!U41+'03 - Monthly Asset Follow up'!X41-H37)</f>
        <v/>
      </c>
      <c r="AV37" s="391" t="str">
        <f>IF($C37=0,"",'03 - Monthly Asset Follow up'!BD41+'03 - Monthly Asset Follow up'!BE41-'03 - Monthly Asset Follow up'!BT41+'03 - Monthly Asset Follow up'!BW41)</f>
        <v/>
      </c>
      <c r="AX37" s="154"/>
    </row>
    <row r="38" spans="2:50" ht="13" x14ac:dyDescent="0.3">
      <c r="B38" s="766" t="str">
        <f t="shared" si="4"/>
        <v/>
      </c>
      <c r="C38" s="769">
        <f>'03 - Monthly Asset Follow up'!B42</f>
        <v>0</v>
      </c>
      <c r="D38" s="149"/>
      <c r="E38" s="762" t="str">
        <f>IF($C38=0,"",SUMIFS(INPUT_DATA!AU:AU,INPUT_DATA!$A:$A,$C38,INPUT_DATA!$C:$C,"S"))</f>
        <v/>
      </c>
      <c r="F38" s="774" t="str">
        <f>IF($C38=0,"",SUMIFS(INPUT_DATA!AV:AV,INPUT_DATA!$A:$A,$C38,INPUT_DATA!$C:$C,"S"))</f>
        <v/>
      </c>
      <c r="G38" s="774" t="str">
        <f>IF($C38=0,"",SUMIFS(INPUT_DATA!AW:AW,INPUT_DATA!$A:$A,$C38,INPUT_DATA!$C:$C,"S"))</f>
        <v/>
      </c>
      <c r="H38" s="776" t="str">
        <f t="shared" si="0"/>
        <v/>
      </c>
      <c r="I38" s="774" t="str">
        <f>IF($C38=0,"",SUMIFS(INPUT_DATA!AY:AY,INPUT_DATA!$A:$A,$C38,INPUT_DATA!$C:$C,"S"))</f>
        <v/>
      </c>
      <c r="J38" s="774" t="str">
        <f>IF($C38=0,"",SUMIFS(INPUT_DATA!AZ:AZ,INPUT_DATA!$A:$A,$C38,INPUT_DATA!$C:$C,"S"))</f>
        <v/>
      </c>
      <c r="K38" s="774" t="str">
        <f>IF($C38=0,"",SUMIFS(INPUT_DATA!BA:BA,INPUT_DATA!$A:$A,$C38,INPUT_DATA!$C:$C,"S"))</f>
        <v/>
      </c>
      <c r="L38" s="774" t="str">
        <f>IF($C38=0,"",SUMIFS(INPUT_DATA!BB:BB,INPUT_DATA!$A:$A,$C38,INPUT_DATA!$C:$C,"S"))</f>
        <v/>
      </c>
      <c r="M38" s="774" t="str">
        <f>IF($C38=0,"",SUMIFS(INPUT_DATA!BC:BC,INPUT_DATA!$A:$A,$C38,INPUT_DATA!$C:$C,"S"))</f>
        <v/>
      </c>
      <c r="N38" s="774" t="str">
        <f>IF($C38=0,"",SUMIFS(INPUT_DATA!BD:BD,INPUT_DATA!$A:$A,$C38,INPUT_DATA!$C:$C,"S"))</f>
        <v/>
      </c>
      <c r="O38" s="774" t="str">
        <f>IF($C38=0,"",SUMIFS(INPUT_DATA!BE:BE,INPUT_DATA!$A:$A,$C38,INPUT_DATA!$C:$C,"S"))</f>
        <v/>
      </c>
      <c r="P38" s="774" t="str">
        <f>IF($C38=0,"",SUMIFS(INPUT_DATA!BF:BF,INPUT_DATA!$A:$A,$C38,INPUT_DATA!$C:$C,"S"))</f>
        <v/>
      </c>
      <c r="Q38" s="780" t="str">
        <f t="shared" si="5"/>
        <v/>
      </c>
      <c r="R38" s="782" t="str">
        <f>IF($C38=0,"",SUMIFS(INPUT_DATA!BH:BH,INPUT_DATA!$A:$A,$C38,INPUT_DATA!$C:$C,"S"))</f>
        <v/>
      </c>
      <c r="S38" s="782" t="str">
        <f>IF($C38=0,"",SUMIFS(INPUT_DATA!BI:BI,INPUT_DATA!$A:$A,$C38,INPUT_DATA!$C:$C,"S"))</f>
        <v/>
      </c>
      <c r="T38" s="780" t="str">
        <f t="shared" si="6"/>
        <v/>
      </c>
      <c r="U38" s="785" t="str">
        <f>IF($C38=0,"",SUMIFS(INPUT_DATA!BL:BL,INPUT_DATA!$A:$A,$C38,INPUT_DATA!$C:$C,"S"))</f>
        <v/>
      </c>
      <c r="V38" s="155" t="str">
        <f t="shared" si="1"/>
        <v/>
      </c>
      <c r="W38" s="149"/>
      <c r="X38" s="762" t="str">
        <f>IF($C38=0,"",SUMIFS(INPUT_DATA!AU:AU,INPUT_DATA!$A:$A,$C38,INPUT_DATA!$C:$C,"D"))</f>
        <v/>
      </c>
      <c r="Y38" s="774" t="str">
        <f>IF($C38=0,"",SUMIFS(INPUT_DATA!AV:AV,INPUT_DATA!$A:$A,$C38,INPUT_DATA!$C:$C,"D"))</f>
        <v/>
      </c>
      <c r="Z38" s="774" t="str">
        <f>IF($C38=0,"",SUMIFS(INPUT_DATA!AW:AW,INPUT_DATA!$A:$A,$C38,INPUT_DATA!$C:$C,"D"))</f>
        <v/>
      </c>
      <c r="AA38" s="775" t="str">
        <f t="shared" si="2"/>
        <v/>
      </c>
      <c r="AB38" s="774" t="str">
        <f>IF($C38=0,"",SUMIFS(INPUT_DATA!AX:AX,INPUT_DATA!$A:$A,$C38,INPUT_DATA!$C:$C,"D"))</f>
        <v/>
      </c>
      <c r="AC38" s="774" t="str">
        <f>IF($C38=0,"",SUMIFS(INPUT_DATA!AY:AY,INPUT_DATA!$A:$A,$C38,INPUT_DATA!$C:$C,"D"))</f>
        <v/>
      </c>
      <c r="AD38" s="774" t="str">
        <f>IF($C38=0,"",SUMIFS(INPUT_DATA!AZ:AZ,INPUT_DATA!$A:$A,$C38,INPUT_DATA!$C:$C,"D"))</f>
        <v/>
      </c>
      <c r="AE38" s="774" t="str">
        <f>IF($C38=0,"",SUMIFS(INPUT_DATA!BA:BA,INPUT_DATA!$A:$A,$C38,INPUT_DATA!$C:$C,"D"))</f>
        <v/>
      </c>
      <c r="AF38" s="774" t="str">
        <f>IF($C38=0,"",SUMIFS(INPUT_DATA!BB:BB,INPUT_DATA!$A:$A,$C38,INPUT_DATA!$C:$C,"D"))</f>
        <v/>
      </c>
      <c r="AG38" s="774" t="str">
        <f>IF($C38=0,"",SUMIFS(INPUT_DATA!BC:BC,INPUT_DATA!$A:$A,$C38,INPUT_DATA!$C:$C,"D"))</f>
        <v/>
      </c>
      <c r="AH38" s="774" t="str">
        <f>IF($C38=0,"",SUMIFS(INPUT_DATA!BD:BD,INPUT_DATA!$A:$A,$C38,INPUT_DATA!$C:$C,"D"))</f>
        <v/>
      </c>
      <c r="AI38" s="774" t="str">
        <f>IF($C38=0,"",SUMIFS(INPUT_DATA!BE:BE,INPUT_DATA!$A:$A,$C38,INPUT_DATA!$C:$C,"D"))</f>
        <v/>
      </c>
      <c r="AJ38" s="315" t="str">
        <f t="shared" si="3"/>
        <v/>
      </c>
      <c r="AK38" s="782" t="str">
        <f>IF($C38=0,"",SUMIFS(INPUT_DATA!BG:BG,INPUT_DATA!$A:$A,$C38,INPUT_DATA!$C:$C,"D"))</f>
        <v/>
      </c>
      <c r="AL38" s="782" t="str">
        <f>IF($C38=0,"",SUMIFS(INPUT_DATA!BH:BH,INPUT_DATA!$A:$A,$C38,INPUT_DATA!$C:$C,"D"))</f>
        <v/>
      </c>
      <c r="AM38" s="782" t="str">
        <f>IF($C38=0,"",SUMIFS(INPUT_DATA!BI:BI,INPUT_DATA!$A:$A,$C38,INPUT_DATA!$C:$C,"D"))</f>
        <v/>
      </c>
      <c r="AN38" s="780" t="str">
        <f t="shared" si="7"/>
        <v/>
      </c>
      <c r="AO38" s="785" t="str">
        <f>IF($C38=0,"",SUMIFS(INPUT_DATA!BK:BK,INPUT_DATA!$A:$A,$C38,INPUT_DATA!$C:$C,"D"))</f>
        <v/>
      </c>
      <c r="AP38" s="355" t="str">
        <f t="shared" si="8"/>
        <v/>
      </c>
      <c r="AQ38" s="149"/>
      <c r="AS38" s="355" t="str">
        <f t="shared" si="9"/>
        <v/>
      </c>
      <c r="AU38" s="391" t="str">
        <f>IF($C38=0,"",'03 - Monthly Asset Follow up'!E42+'03 - Monthly Asset Follow up'!F42-'03 - Monthly Asset Follow up'!U42+'03 - Monthly Asset Follow up'!X42-H38)</f>
        <v/>
      </c>
      <c r="AV38" s="391" t="str">
        <f>IF($C38=0,"",'03 - Monthly Asset Follow up'!BD42+'03 - Monthly Asset Follow up'!BE42-'03 - Monthly Asset Follow up'!BT42+'03 - Monthly Asset Follow up'!BW42)</f>
        <v/>
      </c>
      <c r="AX38" s="154"/>
    </row>
    <row r="39" spans="2:50" ht="13" x14ac:dyDescent="0.3">
      <c r="B39" s="766" t="str">
        <f t="shared" si="4"/>
        <v/>
      </c>
      <c r="C39" s="769">
        <f>'03 - Monthly Asset Follow up'!B43</f>
        <v>0</v>
      </c>
      <c r="D39" s="149"/>
      <c r="E39" s="762" t="str">
        <f>IF($C39=0,"",SUMIFS(INPUT_DATA!AU:AU,INPUT_DATA!$A:$A,$C39,INPUT_DATA!$C:$C,"S"))</f>
        <v/>
      </c>
      <c r="F39" s="774" t="str">
        <f>IF($C39=0,"",SUMIFS(INPUT_DATA!AV:AV,INPUT_DATA!$A:$A,$C39,INPUT_DATA!$C:$C,"S"))</f>
        <v/>
      </c>
      <c r="G39" s="774" t="str">
        <f>IF($C39=0,"",SUMIFS(INPUT_DATA!AW:AW,INPUT_DATA!$A:$A,$C39,INPUT_DATA!$C:$C,"S"))</f>
        <v/>
      </c>
      <c r="H39" s="776" t="str">
        <f t="shared" si="0"/>
        <v/>
      </c>
      <c r="I39" s="774" t="str">
        <f>IF($C39=0,"",SUMIFS(INPUT_DATA!AY:AY,INPUT_DATA!$A:$A,$C39,INPUT_DATA!$C:$C,"S"))</f>
        <v/>
      </c>
      <c r="J39" s="774" t="str">
        <f>IF($C39=0,"",SUMIFS(INPUT_DATA!AZ:AZ,INPUT_DATA!$A:$A,$C39,INPUT_DATA!$C:$C,"S"))</f>
        <v/>
      </c>
      <c r="K39" s="774" t="str">
        <f>IF($C39=0,"",SUMIFS(INPUT_DATA!BA:BA,INPUT_DATA!$A:$A,$C39,INPUT_DATA!$C:$C,"S"))</f>
        <v/>
      </c>
      <c r="L39" s="774" t="str">
        <f>IF($C39=0,"",SUMIFS(INPUT_DATA!BB:BB,INPUT_DATA!$A:$A,$C39,INPUT_DATA!$C:$C,"S"))</f>
        <v/>
      </c>
      <c r="M39" s="774" t="str">
        <f>IF($C39=0,"",SUMIFS(INPUT_DATA!BC:BC,INPUT_DATA!$A:$A,$C39,INPUT_DATA!$C:$C,"S"))</f>
        <v/>
      </c>
      <c r="N39" s="774" t="str">
        <f>IF($C39=0,"",SUMIFS(INPUT_DATA!BD:BD,INPUT_DATA!$A:$A,$C39,INPUT_DATA!$C:$C,"S"))</f>
        <v/>
      </c>
      <c r="O39" s="774" t="str">
        <f>IF($C39=0,"",SUMIFS(INPUT_DATA!BE:BE,INPUT_DATA!$A:$A,$C39,INPUT_DATA!$C:$C,"S"))</f>
        <v/>
      </c>
      <c r="P39" s="774" t="str">
        <f>IF($C39=0,"",SUMIFS(INPUT_DATA!BF:BF,INPUT_DATA!$A:$A,$C39,INPUT_DATA!$C:$C,"S"))</f>
        <v/>
      </c>
      <c r="Q39" s="780" t="str">
        <f t="shared" si="5"/>
        <v/>
      </c>
      <c r="R39" s="782" t="str">
        <f>IF($C39=0,"",SUMIFS(INPUT_DATA!BH:BH,INPUT_DATA!$A:$A,$C39,INPUT_DATA!$C:$C,"S"))</f>
        <v/>
      </c>
      <c r="S39" s="782" t="str">
        <f>IF($C39=0,"",SUMIFS(INPUT_DATA!BI:BI,INPUT_DATA!$A:$A,$C39,INPUT_DATA!$C:$C,"S"))</f>
        <v/>
      </c>
      <c r="T39" s="780" t="str">
        <f t="shared" si="6"/>
        <v/>
      </c>
      <c r="U39" s="785" t="str">
        <f>IF($C39=0,"",SUMIFS(INPUT_DATA!BL:BL,INPUT_DATA!$A:$A,$C39,INPUT_DATA!$C:$C,"S"))</f>
        <v/>
      </c>
      <c r="V39" s="155" t="str">
        <f t="shared" si="1"/>
        <v/>
      </c>
      <c r="W39" s="149"/>
      <c r="X39" s="762" t="str">
        <f>IF($C39=0,"",SUMIFS(INPUT_DATA!AU:AU,INPUT_DATA!$A:$A,$C39,INPUT_DATA!$C:$C,"D"))</f>
        <v/>
      </c>
      <c r="Y39" s="774" t="str">
        <f>IF($C39=0,"",SUMIFS(INPUT_DATA!AV:AV,INPUT_DATA!$A:$A,$C39,INPUT_DATA!$C:$C,"D"))</f>
        <v/>
      </c>
      <c r="Z39" s="774" t="str">
        <f>IF($C39=0,"",SUMIFS(INPUT_DATA!AW:AW,INPUT_DATA!$A:$A,$C39,INPUT_DATA!$C:$C,"D"))</f>
        <v/>
      </c>
      <c r="AA39" s="775" t="str">
        <f t="shared" si="2"/>
        <v/>
      </c>
      <c r="AB39" s="774" t="str">
        <f>IF($C39=0,"",SUMIFS(INPUT_DATA!AX:AX,INPUT_DATA!$A:$A,$C39,INPUT_DATA!$C:$C,"D"))</f>
        <v/>
      </c>
      <c r="AC39" s="774" t="str">
        <f>IF($C39=0,"",SUMIFS(INPUT_DATA!AY:AY,INPUT_DATA!$A:$A,$C39,INPUT_DATA!$C:$C,"D"))</f>
        <v/>
      </c>
      <c r="AD39" s="774" t="str">
        <f>IF($C39=0,"",SUMIFS(INPUT_DATA!AZ:AZ,INPUT_DATA!$A:$A,$C39,INPUT_DATA!$C:$C,"D"))</f>
        <v/>
      </c>
      <c r="AE39" s="774" t="str">
        <f>IF($C39=0,"",SUMIFS(INPUT_DATA!BA:BA,INPUT_DATA!$A:$A,$C39,INPUT_DATA!$C:$C,"D"))</f>
        <v/>
      </c>
      <c r="AF39" s="774" t="str">
        <f>IF($C39=0,"",SUMIFS(INPUT_DATA!BB:BB,INPUT_DATA!$A:$A,$C39,INPUT_DATA!$C:$C,"D"))</f>
        <v/>
      </c>
      <c r="AG39" s="774" t="str">
        <f>IF($C39=0,"",SUMIFS(INPUT_DATA!BC:BC,INPUT_DATA!$A:$A,$C39,INPUT_DATA!$C:$C,"D"))</f>
        <v/>
      </c>
      <c r="AH39" s="774" t="str">
        <f>IF($C39=0,"",SUMIFS(INPUT_DATA!BD:BD,INPUT_DATA!$A:$A,$C39,INPUT_DATA!$C:$C,"D"))</f>
        <v/>
      </c>
      <c r="AI39" s="774" t="str">
        <f>IF($C39=0,"",SUMIFS(INPUT_DATA!BE:BE,INPUT_DATA!$A:$A,$C39,INPUT_DATA!$C:$C,"D"))</f>
        <v/>
      </c>
      <c r="AJ39" s="315" t="str">
        <f t="shared" si="3"/>
        <v/>
      </c>
      <c r="AK39" s="782" t="str">
        <f>IF($C39=0,"",SUMIFS(INPUT_DATA!BG:BG,INPUT_DATA!$A:$A,$C39,INPUT_DATA!$C:$C,"D"))</f>
        <v/>
      </c>
      <c r="AL39" s="782" t="str">
        <f>IF($C39=0,"",SUMIFS(INPUT_DATA!BH:BH,INPUT_DATA!$A:$A,$C39,INPUT_DATA!$C:$C,"D"))</f>
        <v/>
      </c>
      <c r="AM39" s="782" t="str">
        <f>IF($C39=0,"",SUMIFS(INPUT_DATA!BI:BI,INPUT_DATA!$A:$A,$C39,INPUT_DATA!$C:$C,"D"))</f>
        <v/>
      </c>
      <c r="AN39" s="780" t="str">
        <f t="shared" si="7"/>
        <v/>
      </c>
      <c r="AO39" s="785" t="str">
        <f>IF($C39=0,"",SUMIFS(INPUT_DATA!BK:BK,INPUT_DATA!$A:$A,$C39,INPUT_DATA!$C:$C,"D"))</f>
        <v/>
      </c>
      <c r="AP39" s="355" t="str">
        <f t="shared" si="8"/>
        <v/>
      </c>
      <c r="AQ39" s="149"/>
      <c r="AS39" s="355" t="str">
        <f t="shared" si="9"/>
        <v/>
      </c>
      <c r="AU39" s="391" t="str">
        <f>IF($C39=0,"",'03 - Monthly Asset Follow up'!E43+'03 - Monthly Asset Follow up'!F43-'03 - Monthly Asset Follow up'!U43+'03 - Monthly Asset Follow up'!X43-H39)</f>
        <v/>
      </c>
      <c r="AV39" s="391" t="str">
        <f>IF($C39=0,"",'03 - Monthly Asset Follow up'!BD43+'03 - Monthly Asset Follow up'!BE43-'03 - Monthly Asset Follow up'!BT43+'03 - Monthly Asset Follow up'!BW43)</f>
        <v/>
      </c>
      <c r="AX39" s="154"/>
    </row>
    <row r="40" spans="2:50" ht="13" x14ac:dyDescent="0.3">
      <c r="B40" s="766" t="str">
        <f t="shared" si="4"/>
        <v/>
      </c>
      <c r="C40" s="769">
        <f>'03 - Monthly Asset Follow up'!B44</f>
        <v>0</v>
      </c>
      <c r="D40" s="149"/>
      <c r="E40" s="762" t="str">
        <f>IF($C40=0,"",SUMIFS(INPUT_DATA!AU:AU,INPUT_DATA!$A:$A,$C40,INPUT_DATA!$C:$C,"S"))</f>
        <v/>
      </c>
      <c r="F40" s="774" t="str">
        <f>IF($C40=0,"",SUMIFS(INPUT_DATA!AV:AV,INPUT_DATA!$A:$A,$C40,INPUT_DATA!$C:$C,"S"))</f>
        <v/>
      </c>
      <c r="G40" s="774" t="str">
        <f>IF($C40=0,"",SUMIFS(INPUT_DATA!AW:AW,INPUT_DATA!$A:$A,$C40,INPUT_DATA!$C:$C,"S"))</f>
        <v/>
      </c>
      <c r="H40" s="776" t="str">
        <f t="shared" si="0"/>
        <v/>
      </c>
      <c r="I40" s="774" t="str">
        <f>IF($C40=0,"",SUMIFS(INPUT_DATA!AY:AY,INPUT_DATA!$A:$A,$C40,INPUT_DATA!$C:$C,"S"))</f>
        <v/>
      </c>
      <c r="J40" s="774" t="str">
        <f>IF($C40=0,"",SUMIFS(INPUT_DATA!AZ:AZ,INPUT_DATA!$A:$A,$C40,INPUT_DATA!$C:$C,"S"))</f>
        <v/>
      </c>
      <c r="K40" s="774" t="str">
        <f>IF($C40=0,"",SUMIFS(INPUT_DATA!BA:BA,INPUT_DATA!$A:$A,$C40,INPUT_DATA!$C:$C,"S"))</f>
        <v/>
      </c>
      <c r="L40" s="774" t="str">
        <f>IF($C40=0,"",SUMIFS(INPUT_DATA!BB:BB,INPUT_DATA!$A:$A,$C40,INPUT_DATA!$C:$C,"S"))</f>
        <v/>
      </c>
      <c r="M40" s="774" t="str">
        <f>IF($C40=0,"",SUMIFS(INPUT_DATA!BC:BC,INPUT_DATA!$A:$A,$C40,INPUT_DATA!$C:$C,"S"))</f>
        <v/>
      </c>
      <c r="N40" s="774" t="str">
        <f>IF($C40=0,"",SUMIFS(INPUT_DATA!BD:BD,INPUT_DATA!$A:$A,$C40,INPUT_DATA!$C:$C,"S"))</f>
        <v/>
      </c>
      <c r="O40" s="774" t="str">
        <f>IF($C40=0,"",SUMIFS(INPUT_DATA!BE:BE,INPUT_DATA!$A:$A,$C40,INPUT_DATA!$C:$C,"S"))</f>
        <v/>
      </c>
      <c r="P40" s="774" t="str">
        <f>IF($C40=0,"",SUMIFS(INPUT_DATA!BF:BF,INPUT_DATA!$A:$A,$C40,INPUT_DATA!$C:$C,"S"))</f>
        <v/>
      </c>
      <c r="Q40" s="780" t="str">
        <f t="shared" si="5"/>
        <v/>
      </c>
      <c r="R40" s="782" t="str">
        <f>IF($C40=0,"",SUMIFS(INPUT_DATA!BH:BH,INPUT_DATA!$A:$A,$C40,INPUT_DATA!$C:$C,"S"))</f>
        <v/>
      </c>
      <c r="S40" s="782" t="str">
        <f>IF($C40=0,"",SUMIFS(INPUT_DATA!BI:BI,INPUT_DATA!$A:$A,$C40,INPUT_DATA!$C:$C,"S"))</f>
        <v/>
      </c>
      <c r="T40" s="780" t="str">
        <f t="shared" si="6"/>
        <v/>
      </c>
      <c r="U40" s="785" t="str">
        <f>IF($C40=0,"",SUMIFS(INPUT_DATA!BL:BL,INPUT_DATA!$A:$A,$C40,INPUT_DATA!$C:$C,"S"))</f>
        <v/>
      </c>
      <c r="V40" s="155" t="str">
        <f t="shared" si="1"/>
        <v/>
      </c>
      <c r="W40" s="149"/>
      <c r="X40" s="762" t="str">
        <f>IF($C40=0,"",SUMIFS(INPUT_DATA!AU:AU,INPUT_DATA!$A:$A,$C40,INPUT_DATA!$C:$C,"D"))</f>
        <v/>
      </c>
      <c r="Y40" s="774" t="str">
        <f>IF($C40=0,"",SUMIFS(INPUT_DATA!AV:AV,INPUT_DATA!$A:$A,$C40,INPUT_DATA!$C:$C,"D"))</f>
        <v/>
      </c>
      <c r="Z40" s="774" t="str">
        <f>IF($C40=0,"",SUMIFS(INPUT_DATA!AW:AW,INPUT_DATA!$A:$A,$C40,INPUT_DATA!$C:$C,"D"))</f>
        <v/>
      </c>
      <c r="AA40" s="775" t="str">
        <f t="shared" si="2"/>
        <v/>
      </c>
      <c r="AB40" s="774" t="str">
        <f>IF($C40=0,"",SUMIFS(INPUT_DATA!AX:AX,INPUT_DATA!$A:$A,$C40,INPUT_DATA!$C:$C,"D"))</f>
        <v/>
      </c>
      <c r="AC40" s="774" t="str">
        <f>IF($C40=0,"",SUMIFS(INPUT_DATA!AY:AY,INPUT_DATA!$A:$A,$C40,INPUT_DATA!$C:$C,"D"))</f>
        <v/>
      </c>
      <c r="AD40" s="774" t="str">
        <f>IF($C40=0,"",SUMIFS(INPUT_DATA!AZ:AZ,INPUT_DATA!$A:$A,$C40,INPUT_DATA!$C:$C,"D"))</f>
        <v/>
      </c>
      <c r="AE40" s="774" t="str">
        <f>IF($C40=0,"",SUMIFS(INPUT_DATA!BA:BA,INPUT_DATA!$A:$A,$C40,INPUT_DATA!$C:$C,"D"))</f>
        <v/>
      </c>
      <c r="AF40" s="774" t="str">
        <f>IF($C40=0,"",SUMIFS(INPUT_DATA!BB:BB,INPUT_DATA!$A:$A,$C40,INPUT_DATA!$C:$C,"D"))</f>
        <v/>
      </c>
      <c r="AG40" s="774" t="str">
        <f>IF($C40=0,"",SUMIFS(INPUT_DATA!BC:BC,INPUT_DATA!$A:$A,$C40,INPUT_DATA!$C:$C,"D"))</f>
        <v/>
      </c>
      <c r="AH40" s="774" t="str">
        <f>IF($C40=0,"",SUMIFS(INPUT_DATA!BD:BD,INPUT_DATA!$A:$A,$C40,INPUT_DATA!$C:$C,"D"))</f>
        <v/>
      </c>
      <c r="AI40" s="774" t="str">
        <f>IF($C40=0,"",SUMIFS(INPUT_DATA!BE:BE,INPUT_DATA!$A:$A,$C40,INPUT_DATA!$C:$C,"D"))</f>
        <v/>
      </c>
      <c r="AJ40" s="315" t="str">
        <f t="shared" si="3"/>
        <v/>
      </c>
      <c r="AK40" s="782" t="str">
        <f>IF($C40=0,"",SUMIFS(INPUT_DATA!BG:BG,INPUT_DATA!$A:$A,$C40,INPUT_DATA!$C:$C,"D"))</f>
        <v/>
      </c>
      <c r="AL40" s="782" t="str">
        <f>IF($C40=0,"",SUMIFS(INPUT_DATA!BH:BH,INPUT_DATA!$A:$A,$C40,INPUT_DATA!$C:$C,"D"))</f>
        <v/>
      </c>
      <c r="AM40" s="782" t="str">
        <f>IF($C40=0,"",SUMIFS(INPUT_DATA!BI:BI,INPUT_DATA!$A:$A,$C40,INPUT_DATA!$C:$C,"D"))</f>
        <v/>
      </c>
      <c r="AN40" s="780" t="str">
        <f t="shared" si="7"/>
        <v/>
      </c>
      <c r="AO40" s="785" t="str">
        <f>IF($C40=0,"",SUMIFS(INPUT_DATA!BK:BK,INPUT_DATA!$A:$A,$C40,INPUT_DATA!$C:$C,"D"))</f>
        <v/>
      </c>
      <c r="AP40" s="355" t="str">
        <f t="shared" si="8"/>
        <v/>
      </c>
      <c r="AQ40" s="149"/>
      <c r="AS40" s="355" t="str">
        <f t="shared" si="9"/>
        <v/>
      </c>
      <c r="AU40" s="391" t="str">
        <f>IF($C40=0,"",'03 - Monthly Asset Follow up'!E44+'03 - Monthly Asset Follow up'!F44-'03 - Monthly Asset Follow up'!U44+'03 - Monthly Asset Follow up'!X44-H40)</f>
        <v/>
      </c>
      <c r="AV40" s="391" t="str">
        <f>IF($C40=0,"",'03 - Monthly Asset Follow up'!BD44+'03 - Monthly Asset Follow up'!BE44-'03 - Monthly Asset Follow up'!BT44+'03 - Monthly Asset Follow up'!BW44)</f>
        <v/>
      </c>
      <c r="AX40" s="154"/>
    </row>
    <row r="41" spans="2:50" ht="13" x14ac:dyDescent="0.3">
      <c r="B41" s="766" t="str">
        <f t="shared" si="4"/>
        <v/>
      </c>
      <c r="C41" s="769">
        <f>'03 - Monthly Asset Follow up'!B45</f>
        <v>0</v>
      </c>
      <c r="D41" s="149"/>
      <c r="E41" s="762" t="str">
        <f>IF($C41=0,"",SUMIFS(INPUT_DATA!AU:AU,INPUT_DATA!$A:$A,$C41,INPUT_DATA!$C:$C,"S"))</f>
        <v/>
      </c>
      <c r="F41" s="774" t="str">
        <f>IF($C41=0,"",SUMIFS(INPUT_DATA!AV:AV,INPUT_DATA!$A:$A,$C41,INPUT_DATA!$C:$C,"S"))</f>
        <v/>
      </c>
      <c r="G41" s="774" t="str">
        <f>IF($C41=0,"",SUMIFS(INPUT_DATA!AW:AW,INPUT_DATA!$A:$A,$C41,INPUT_DATA!$C:$C,"S"))</f>
        <v/>
      </c>
      <c r="H41" s="776" t="str">
        <f t="shared" si="0"/>
        <v/>
      </c>
      <c r="I41" s="774" t="str">
        <f>IF($C41=0,"",SUMIFS(INPUT_DATA!AY:AY,INPUT_DATA!$A:$A,$C41,INPUT_DATA!$C:$C,"S"))</f>
        <v/>
      </c>
      <c r="J41" s="774" t="str">
        <f>IF($C41=0,"",SUMIFS(INPUT_DATA!AZ:AZ,INPUT_DATA!$A:$A,$C41,INPUT_DATA!$C:$C,"S"))</f>
        <v/>
      </c>
      <c r="K41" s="774" t="str">
        <f>IF($C41=0,"",SUMIFS(INPUT_DATA!BA:BA,INPUT_DATA!$A:$A,$C41,INPUT_DATA!$C:$C,"S"))</f>
        <v/>
      </c>
      <c r="L41" s="774" t="str">
        <f>IF($C41=0,"",SUMIFS(INPUT_DATA!BB:BB,INPUT_DATA!$A:$A,$C41,INPUT_DATA!$C:$C,"S"))</f>
        <v/>
      </c>
      <c r="M41" s="774" t="str">
        <f>IF($C41=0,"",SUMIFS(INPUT_DATA!BC:BC,INPUT_DATA!$A:$A,$C41,INPUT_DATA!$C:$C,"S"))</f>
        <v/>
      </c>
      <c r="N41" s="774" t="str">
        <f>IF($C41=0,"",SUMIFS(INPUT_DATA!BD:BD,INPUT_DATA!$A:$A,$C41,INPUT_DATA!$C:$C,"S"))</f>
        <v/>
      </c>
      <c r="O41" s="774" t="str">
        <f>IF($C41=0,"",SUMIFS(INPUT_DATA!BE:BE,INPUT_DATA!$A:$A,$C41,INPUT_DATA!$C:$C,"S"))</f>
        <v/>
      </c>
      <c r="P41" s="774" t="str">
        <f>IF($C41=0,"",SUMIFS(INPUT_DATA!BF:BF,INPUT_DATA!$A:$A,$C41,INPUT_DATA!$C:$C,"S"))</f>
        <v/>
      </c>
      <c r="Q41" s="780" t="str">
        <f t="shared" si="5"/>
        <v/>
      </c>
      <c r="R41" s="782" t="str">
        <f>IF($C41=0,"",SUMIFS(INPUT_DATA!BH:BH,INPUT_DATA!$A:$A,$C41,INPUT_DATA!$C:$C,"S"))</f>
        <v/>
      </c>
      <c r="S41" s="782" t="str">
        <f>IF($C41=0,"",SUMIFS(INPUT_DATA!BI:BI,INPUT_DATA!$A:$A,$C41,INPUT_DATA!$C:$C,"S"))</f>
        <v/>
      </c>
      <c r="T41" s="780" t="str">
        <f t="shared" si="6"/>
        <v/>
      </c>
      <c r="U41" s="785" t="str">
        <f>IF($C41=0,"",SUMIFS(INPUT_DATA!BL:BL,INPUT_DATA!$A:$A,$C41,INPUT_DATA!$C:$C,"S"))</f>
        <v/>
      </c>
      <c r="V41" s="155" t="str">
        <f t="shared" si="1"/>
        <v/>
      </c>
      <c r="W41" s="149"/>
      <c r="X41" s="762" t="str">
        <f>IF($C41=0,"",SUMIFS(INPUT_DATA!AU:AU,INPUT_DATA!$A:$A,$C41,INPUT_DATA!$C:$C,"D"))</f>
        <v/>
      </c>
      <c r="Y41" s="774" t="str">
        <f>IF($C41=0,"",SUMIFS(INPUT_DATA!AV:AV,INPUT_DATA!$A:$A,$C41,INPUT_DATA!$C:$C,"D"))</f>
        <v/>
      </c>
      <c r="Z41" s="774" t="str">
        <f>IF($C41=0,"",SUMIFS(INPUT_DATA!AW:AW,INPUT_DATA!$A:$A,$C41,INPUT_DATA!$C:$C,"D"))</f>
        <v/>
      </c>
      <c r="AA41" s="775" t="str">
        <f t="shared" si="2"/>
        <v/>
      </c>
      <c r="AB41" s="774" t="str">
        <f>IF($C41=0,"",SUMIFS(INPUT_DATA!AX:AX,INPUT_DATA!$A:$A,$C41,INPUT_DATA!$C:$C,"D"))</f>
        <v/>
      </c>
      <c r="AC41" s="774" t="str">
        <f>IF($C41=0,"",SUMIFS(INPUT_DATA!AY:AY,INPUT_DATA!$A:$A,$C41,INPUT_DATA!$C:$C,"D"))</f>
        <v/>
      </c>
      <c r="AD41" s="774" t="str">
        <f>IF($C41=0,"",SUMIFS(INPUT_DATA!AZ:AZ,INPUT_DATA!$A:$A,$C41,INPUT_DATA!$C:$C,"D"))</f>
        <v/>
      </c>
      <c r="AE41" s="774" t="str">
        <f>IF($C41=0,"",SUMIFS(INPUT_DATA!BA:BA,INPUT_DATA!$A:$A,$C41,INPUT_DATA!$C:$C,"D"))</f>
        <v/>
      </c>
      <c r="AF41" s="774" t="str">
        <f>IF($C41=0,"",SUMIFS(INPUT_DATA!BB:BB,INPUT_DATA!$A:$A,$C41,INPUT_DATA!$C:$C,"D"))</f>
        <v/>
      </c>
      <c r="AG41" s="774" t="str">
        <f>IF($C41=0,"",SUMIFS(INPUT_DATA!BC:BC,INPUT_DATA!$A:$A,$C41,INPUT_DATA!$C:$C,"D"))</f>
        <v/>
      </c>
      <c r="AH41" s="774" t="str">
        <f>IF($C41=0,"",SUMIFS(INPUT_DATA!BD:BD,INPUT_DATA!$A:$A,$C41,INPUT_DATA!$C:$C,"D"))</f>
        <v/>
      </c>
      <c r="AI41" s="774" t="str">
        <f>IF($C41=0,"",SUMIFS(INPUT_DATA!BE:BE,INPUT_DATA!$A:$A,$C41,INPUT_DATA!$C:$C,"D"))</f>
        <v/>
      </c>
      <c r="AJ41" s="315" t="str">
        <f t="shared" si="3"/>
        <v/>
      </c>
      <c r="AK41" s="782" t="str">
        <f>IF($C41=0,"",SUMIFS(INPUT_DATA!BG:BG,INPUT_DATA!$A:$A,$C41,INPUT_DATA!$C:$C,"D"))</f>
        <v/>
      </c>
      <c r="AL41" s="782" t="str">
        <f>IF($C41=0,"",SUMIFS(INPUT_DATA!BH:BH,INPUT_DATA!$A:$A,$C41,INPUT_DATA!$C:$C,"D"))</f>
        <v/>
      </c>
      <c r="AM41" s="782" t="str">
        <f>IF($C41=0,"",SUMIFS(INPUT_DATA!BI:BI,INPUT_DATA!$A:$A,$C41,INPUT_DATA!$C:$C,"D"))</f>
        <v/>
      </c>
      <c r="AN41" s="780" t="str">
        <f t="shared" si="7"/>
        <v/>
      </c>
      <c r="AO41" s="785" t="str">
        <f>IF($C41=0,"",SUMIFS(INPUT_DATA!BK:BK,INPUT_DATA!$A:$A,$C41,INPUT_DATA!$C:$C,"D"))</f>
        <v/>
      </c>
      <c r="AP41" s="355" t="str">
        <f t="shared" si="8"/>
        <v/>
      </c>
      <c r="AQ41" s="149"/>
      <c r="AS41" s="355" t="str">
        <f t="shared" si="9"/>
        <v/>
      </c>
      <c r="AU41" s="391" t="str">
        <f>IF($C41=0,"",'03 - Monthly Asset Follow up'!E45+'03 - Monthly Asset Follow up'!F45-'03 - Monthly Asset Follow up'!U45+'03 - Monthly Asset Follow up'!X45-H41)</f>
        <v/>
      </c>
      <c r="AV41" s="391" t="str">
        <f>IF($C41=0,"",'03 - Monthly Asset Follow up'!BD45+'03 - Monthly Asset Follow up'!BE45-'03 - Monthly Asset Follow up'!BT45+'03 - Monthly Asset Follow up'!BW45)</f>
        <v/>
      </c>
      <c r="AX41" s="154"/>
    </row>
    <row r="42" spans="2:50" ht="13" x14ac:dyDescent="0.3">
      <c r="B42" s="766" t="str">
        <f t="shared" si="4"/>
        <v/>
      </c>
      <c r="C42" s="769">
        <f>'03 - Monthly Asset Follow up'!B46</f>
        <v>0</v>
      </c>
      <c r="D42" s="149"/>
      <c r="E42" s="762" t="str">
        <f>IF($C42=0,"",SUMIFS(INPUT_DATA!AU:AU,INPUT_DATA!$A:$A,$C42,INPUT_DATA!$C:$C,"S"))</f>
        <v/>
      </c>
      <c r="F42" s="774" t="str">
        <f>IF($C42=0,"",SUMIFS(INPUT_DATA!AV:AV,INPUT_DATA!$A:$A,$C42,INPUT_DATA!$C:$C,"S"))</f>
        <v/>
      </c>
      <c r="G42" s="774" t="str">
        <f>IF($C42=0,"",SUMIFS(INPUT_DATA!AW:AW,INPUT_DATA!$A:$A,$C42,INPUT_DATA!$C:$C,"S"))</f>
        <v/>
      </c>
      <c r="H42" s="776" t="str">
        <f t="shared" si="0"/>
        <v/>
      </c>
      <c r="I42" s="774" t="str">
        <f>IF($C42=0,"",SUMIFS(INPUT_DATA!AY:AY,INPUT_DATA!$A:$A,$C42,INPUT_DATA!$C:$C,"S"))</f>
        <v/>
      </c>
      <c r="J42" s="774" t="str">
        <f>IF($C42=0,"",SUMIFS(INPUT_DATA!AZ:AZ,INPUT_DATA!$A:$A,$C42,INPUT_DATA!$C:$C,"S"))</f>
        <v/>
      </c>
      <c r="K42" s="774" t="str">
        <f>IF($C42=0,"",SUMIFS(INPUT_DATA!BA:BA,INPUT_DATA!$A:$A,$C42,INPUT_DATA!$C:$C,"S"))</f>
        <v/>
      </c>
      <c r="L42" s="774" t="str">
        <f>IF($C42=0,"",SUMIFS(INPUT_DATA!BB:BB,INPUT_DATA!$A:$A,$C42,INPUT_DATA!$C:$C,"S"))</f>
        <v/>
      </c>
      <c r="M42" s="774" t="str">
        <f>IF($C42=0,"",SUMIFS(INPUT_DATA!BC:BC,INPUT_DATA!$A:$A,$C42,INPUT_DATA!$C:$C,"S"))</f>
        <v/>
      </c>
      <c r="N42" s="774" t="str">
        <f>IF($C42=0,"",SUMIFS(INPUT_DATA!BD:BD,INPUT_DATA!$A:$A,$C42,INPUT_DATA!$C:$C,"S"))</f>
        <v/>
      </c>
      <c r="O42" s="774" t="str">
        <f>IF($C42=0,"",SUMIFS(INPUT_DATA!BE:BE,INPUT_DATA!$A:$A,$C42,INPUT_DATA!$C:$C,"S"))</f>
        <v/>
      </c>
      <c r="P42" s="774" t="str">
        <f>IF($C42=0,"",SUMIFS(INPUT_DATA!BF:BF,INPUT_DATA!$A:$A,$C42,INPUT_DATA!$C:$C,"S"))</f>
        <v/>
      </c>
      <c r="Q42" s="780" t="str">
        <f t="shared" si="5"/>
        <v/>
      </c>
      <c r="R42" s="782" t="str">
        <f>IF($C42=0,"",SUMIFS(INPUT_DATA!BH:BH,INPUT_DATA!$A:$A,$C42,INPUT_DATA!$C:$C,"S"))</f>
        <v/>
      </c>
      <c r="S42" s="782" t="str">
        <f>IF($C42=0,"",SUMIFS(INPUT_DATA!BI:BI,INPUT_DATA!$A:$A,$C42,INPUT_DATA!$C:$C,"S"))</f>
        <v/>
      </c>
      <c r="T42" s="780" t="str">
        <f t="shared" si="6"/>
        <v/>
      </c>
      <c r="U42" s="785" t="str">
        <f>IF($C42=0,"",SUMIFS(INPUT_DATA!BL:BL,INPUT_DATA!$A:$A,$C42,INPUT_DATA!$C:$C,"S"))</f>
        <v/>
      </c>
      <c r="V42" s="155" t="str">
        <f t="shared" si="1"/>
        <v/>
      </c>
      <c r="W42" s="149"/>
      <c r="X42" s="762" t="str">
        <f>IF($C42=0,"",SUMIFS(INPUT_DATA!AU:AU,INPUT_DATA!$A:$A,$C42,INPUT_DATA!$C:$C,"D"))</f>
        <v/>
      </c>
      <c r="Y42" s="774" t="str">
        <f>IF($C42=0,"",SUMIFS(INPUT_DATA!AV:AV,INPUT_DATA!$A:$A,$C42,INPUT_DATA!$C:$C,"D"))</f>
        <v/>
      </c>
      <c r="Z42" s="774" t="str">
        <f>IF($C42=0,"",SUMIFS(INPUT_DATA!AW:AW,INPUT_DATA!$A:$A,$C42,INPUT_DATA!$C:$C,"D"))</f>
        <v/>
      </c>
      <c r="AA42" s="775" t="str">
        <f t="shared" si="2"/>
        <v/>
      </c>
      <c r="AB42" s="774" t="str">
        <f>IF($C42=0,"",SUMIFS(INPUT_DATA!AX:AX,INPUT_DATA!$A:$A,$C42,INPUT_DATA!$C:$C,"D"))</f>
        <v/>
      </c>
      <c r="AC42" s="774" t="str">
        <f>IF($C42=0,"",SUMIFS(INPUT_DATA!AY:AY,INPUT_DATA!$A:$A,$C42,INPUT_DATA!$C:$C,"D"))</f>
        <v/>
      </c>
      <c r="AD42" s="774" t="str">
        <f>IF($C42=0,"",SUMIFS(INPUT_DATA!AZ:AZ,INPUT_DATA!$A:$A,$C42,INPUT_DATA!$C:$C,"D"))</f>
        <v/>
      </c>
      <c r="AE42" s="774" t="str">
        <f>IF($C42=0,"",SUMIFS(INPUT_DATA!BA:BA,INPUT_DATA!$A:$A,$C42,INPUT_DATA!$C:$C,"D"))</f>
        <v/>
      </c>
      <c r="AF42" s="774" t="str">
        <f>IF($C42=0,"",SUMIFS(INPUT_DATA!BB:BB,INPUT_DATA!$A:$A,$C42,INPUT_DATA!$C:$C,"D"))</f>
        <v/>
      </c>
      <c r="AG42" s="774" t="str">
        <f>IF($C42=0,"",SUMIFS(INPUT_DATA!BC:BC,INPUT_DATA!$A:$A,$C42,INPUT_DATA!$C:$C,"D"))</f>
        <v/>
      </c>
      <c r="AH42" s="774" t="str">
        <f>IF($C42=0,"",SUMIFS(INPUT_DATA!BD:BD,INPUT_DATA!$A:$A,$C42,INPUT_DATA!$C:$C,"D"))</f>
        <v/>
      </c>
      <c r="AI42" s="774" t="str">
        <f>IF($C42=0,"",SUMIFS(INPUT_DATA!BE:BE,INPUT_DATA!$A:$A,$C42,INPUT_DATA!$C:$C,"D"))</f>
        <v/>
      </c>
      <c r="AJ42" s="315" t="str">
        <f t="shared" si="3"/>
        <v/>
      </c>
      <c r="AK42" s="782" t="str">
        <f>IF($C42=0,"",SUMIFS(INPUT_DATA!BG:BG,INPUT_DATA!$A:$A,$C42,INPUT_DATA!$C:$C,"D"))</f>
        <v/>
      </c>
      <c r="AL42" s="782" t="str">
        <f>IF($C42=0,"",SUMIFS(INPUT_DATA!BH:BH,INPUT_DATA!$A:$A,$C42,INPUT_DATA!$C:$C,"D"))</f>
        <v/>
      </c>
      <c r="AM42" s="782" t="str">
        <f>IF($C42=0,"",SUMIFS(INPUT_DATA!BI:BI,INPUT_DATA!$A:$A,$C42,INPUT_DATA!$C:$C,"D"))</f>
        <v/>
      </c>
      <c r="AN42" s="780" t="str">
        <f t="shared" si="7"/>
        <v/>
      </c>
      <c r="AO42" s="785" t="str">
        <f>IF($C42=0,"",SUMIFS(INPUT_DATA!BK:BK,INPUT_DATA!$A:$A,$C42,INPUT_DATA!$C:$C,"D"))</f>
        <v/>
      </c>
      <c r="AP42" s="355" t="str">
        <f t="shared" si="8"/>
        <v/>
      </c>
      <c r="AQ42" s="149"/>
      <c r="AS42" s="355" t="str">
        <f t="shared" si="9"/>
        <v/>
      </c>
      <c r="AU42" s="391" t="str">
        <f>IF($C42=0,"",'03 - Monthly Asset Follow up'!E46+'03 - Monthly Asset Follow up'!F46-'03 - Monthly Asset Follow up'!U46+'03 - Monthly Asset Follow up'!X46-H42)</f>
        <v/>
      </c>
      <c r="AV42" s="391" t="str">
        <f>IF($C42=0,"",'03 - Monthly Asset Follow up'!BD46+'03 - Monthly Asset Follow up'!BE46-'03 - Monthly Asset Follow up'!BT46+'03 - Monthly Asset Follow up'!BW46)</f>
        <v/>
      </c>
      <c r="AX42" s="154"/>
    </row>
    <row r="43" spans="2:50" ht="13" x14ac:dyDescent="0.3">
      <c r="B43" s="766" t="str">
        <f t="shared" si="4"/>
        <v/>
      </c>
      <c r="C43" s="769">
        <f>'03 - Monthly Asset Follow up'!B47</f>
        <v>0</v>
      </c>
      <c r="D43" s="149"/>
      <c r="E43" s="762" t="str">
        <f>IF($C43=0,"",SUMIFS(INPUT_DATA!AU:AU,INPUT_DATA!$A:$A,$C43,INPUT_DATA!$C:$C,"S"))</f>
        <v/>
      </c>
      <c r="F43" s="774" t="str">
        <f>IF($C43=0,"",SUMIFS(INPUT_DATA!AV:AV,INPUT_DATA!$A:$A,$C43,INPUT_DATA!$C:$C,"S"))</f>
        <v/>
      </c>
      <c r="G43" s="774" t="str">
        <f>IF($C43=0,"",SUMIFS(INPUT_DATA!AW:AW,INPUT_DATA!$A:$A,$C43,INPUT_DATA!$C:$C,"S"))</f>
        <v/>
      </c>
      <c r="H43" s="776" t="str">
        <f t="shared" si="0"/>
        <v/>
      </c>
      <c r="I43" s="774" t="str">
        <f>IF($C43=0,"",SUMIFS(INPUT_DATA!AY:AY,INPUT_DATA!$A:$A,$C43,INPUT_DATA!$C:$C,"S"))</f>
        <v/>
      </c>
      <c r="J43" s="774" t="str">
        <f>IF($C43=0,"",SUMIFS(INPUT_DATA!AZ:AZ,INPUT_DATA!$A:$A,$C43,INPUT_DATA!$C:$C,"S"))</f>
        <v/>
      </c>
      <c r="K43" s="774" t="str">
        <f>IF($C43=0,"",SUMIFS(INPUT_DATA!BA:BA,INPUT_DATA!$A:$A,$C43,INPUT_DATA!$C:$C,"S"))</f>
        <v/>
      </c>
      <c r="L43" s="774" t="str">
        <f>IF($C43=0,"",SUMIFS(INPUT_DATA!BB:BB,INPUT_DATA!$A:$A,$C43,INPUT_DATA!$C:$C,"S"))</f>
        <v/>
      </c>
      <c r="M43" s="774" t="str">
        <f>IF($C43=0,"",SUMIFS(INPUT_DATA!BC:BC,INPUT_DATA!$A:$A,$C43,INPUT_DATA!$C:$C,"S"))</f>
        <v/>
      </c>
      <c r="N43" s="774" t="str">
        <f>IF($C43=0,"",SUMIFS(INPUT_DATA!BD:BD,INPUT_DATA!$A:$A,$C43,INPUT_DATA!$C:$C,"S"))</f>
        <v/>
      </c>
      <c r="O43" s="774" t="str">
        <f>IF($C43=0,"",SUMIFS(INPUT_DATA!BE:BE,INPUT_DATA!$A:$A,$C43,INPUT_DATA!$C:$C,"S"))</f>
        <v/>
      </c>
      <c r="P43" s="774" t="str">
        <f>IF($C43=0,"",SUMIFS(INPUT_DATA!BF:BF,INPUT_DATA!$A:$A,$C43,INPUT_DATA!$C:$C,"S"))</f>
        <v/>
      </c>
      <c r="Q43" s="780" t="str">
        <f t="shared" si="5"/>
        <v/>
      </c>
      <c r="R43" s="782" t="str">
        <f>IF($C43=0,"",SUMIFS(INPUT_DATA!BH:BH,INPUT_DATA!$A:$A,$C43,INPUT_DATA!$C:$C,"S"))</f>
        <v/>
      </c>
      <c r="S43" s="782" t="str">
        <f>IF($C43=0,"",SUMIFS(INPUT_DATA!BI:BI,INPUT_DATA!$A:$A,$C43,INPUT_DATA!$C:$C,"S"))</f>
        <v/>
      </c>
      <c r="T43" s="780" t="str">
        <f t="shared" si="6"/>
        <v/>
      </c>
      <c r="U43" s="785" t="str">
        <f>IF($C43=0,"",SUMIFS(INPUT_DATA!BL:BL,INPUT_DATA!$A:$A,$C43,INPUT_DATA!$C:$C,"S"))</f>
        <v/>
      </c>
      <c r="V43" s="155" t="str">
        <f t="shared" si="1"/>
        <v/>
      </c>
      <c r="W43" s="149"/>
      <c r="X43" s="762" t="str">
        <f>IF($C43=0,"",SUMIFS(INPUT_DATA!AU:AU,INPUT_DATA!$A:$A,$C43,INPUT_DATA!$C:$C,"D"))</f>
        <v/>
      </c>
      <c r="Y43" s="774" t="str">
        <f>IF($C43=0,"",SUMIFS(INPUT_DATA!AV:AV,INPUT_DATA!$A:$A,$C43,INPUT_DATA!$C:$C,"D"))</f>
        <v/>
      </c>
      <c r="Z43" s="774" t="str">
        <f>IF($C43=0,"",SUMIFS(INPUT_DATA!AW:AW,INPUT_DATA!$A:$A,$C43,INPUT_DATA!$C:$C,"D"))</f>
        <v/>
      </c>
      <c r="AA43" s="775" t="str">
        <f t="shared" si="2"/>
        <v/>
      </c>
      <c r="AB43" s="774" t="str">
        <f>IF($C43=0,"",SUMIFS(INPUT_DATA!AX:AX,INPUT_DATA!$A:$A,$C43,INPUT_DATA!$C:$C,"D"))</f>
        <v/>
      </c>
      <c r="AC43" s="774" t="str">
        <f>IF($C43=0,"",SUMIFS(INPUT_DATA!AY:AY,INPUT_DATA!$A:$A,$C43,INPUT_DATA!$C:$C,"D"))</f>
        <v/>
      </c>
      <c r="AD43" s="774" t="str">
        <f>IF($C43=0,"",SUMIFS(INPUT_DATA!AZ:AZ,INPUT_DATA!$A:$A,$C43,INPUT_DATA!$C:$C,"D"))</f>
        <v/>
      </c>
      <c r="AE43" s="774" t="str">
        <f>IF($C43=0,"",SUMIFS(INPUT_DATA!BA:BA,INPUT_DATA!$A:$A,$C43,INPUT_DATA!$C:$C,"D"))</f>
        <v/>
      </c>
      <c r="AF43" s="774" t="str">
        <f>IF($C43=0,"",SUMIFS(INPUT_DATA!BB:BB,INPUT_DATA!$A:$A,$C43,INPUT_DATA!$C:$C,"D"))</f>
        <v/>
      </c>
      <c r="AG43" s="774" t="str">
        <f>IF($C43=0,"",SUMIFS(INPUT_DATA!BC:BC,INPUT_DATA!$A:$A,$C43,INPUT_DATA!$C:$C,"D"))</f>
        <v/>
      </c>
      <c r="AH43" s="774" t="str">
        <f>IF($C43=0,"",SUMIFS(INPUT_DATA!BD:BD,INPUT_DATA!$A:$A,$C43,INPUT_DATA!$C:$C,"D"))</f>
        <v/>
      </c>
      <c r="AI43" s="774" t="str">
        <f>IF($C43=0,"",SUMIFS(INPUT_DATA!BE:BE,INPUT_DATA!$A:$A,$C43,INPUT_DATA!$C:$C,"D"))</f>
        <v/>
      </c>
      <c r="AJ43" s="315" t="str">
        <f t="shared" si="3"/>
        <v/>
      </c>
      <c r="AK43" s="782" t="str">
        <f>IF($C43=0,"",SUMIFS(INPUT_DATA!BG:BG,INPUT_DATA!$A:$A,$C43,INPUT_DATA!$C:$C,"D"))</f>
        <v/>
      </c>
      <c r="AL43" s="782" t="str">
        <f>IF($C43=0,"",SUMIFS(INPUT_DATA!BH:BH,INPUT_DATA!$A:$A,$C43,INPUT_DATA!$C:$C,"D"))</f>
        <v/>
      </c>
      <c r="AM43" s="782" t="str">
        <f>IF($C43=0,"",SUMIFS(INPUT_DATA!BI:BI,INPUT_DATA!$A:$A,$C43,INPUT_DATA!$C:$C,"D"))</f>
        <v/>
      </c>
      <c r="AN43" s="780" t="str">
        <f t="shared" si="7"/>
        <v/>
      </c>
      <c r="AO43" s="785" t="str">
        <f>IF($C43=0,"",SUMIFS(INPUT_DATA!BK:BK,INPUT_DATA!$A:$A,$C43,INPUT_DATA!$C:$C,"D"))</f>
        <v/>
      </c>
      <c r="AP43" s="355" t="str">
        <f t="shared" si="8"/>
        <v/>
      </c>
      <c r="AQ43" s="149"/>
      <c r="AS43" s="355" t="str">
        <f t="shared" si="9"/>
        <v/>
      </c>
      <c r="AU43" s="391" t="str">
        <f>IF($C43=0,"",'03 - Monthly Asset Follow up'!E47+'03 - Monthly Asset Follow up'!F47-'03 - Monthly Asset Follow up'!U47+'03 - Monthly Asset Follow up'!X47-H43)</f>
        <v/>
      </c>
      <c r="AV43" s="391" t="str">
        <f>IF($C43=0,"",'03 - Monthly Asset Follow up'!BD47+'03 - Monthly Asset Follow up'!BE47-'03 - Monthly Asset Follow up'!BT47+'03 - Monthly Asset Follow up'!BW47)</f>
        <v/>
      </c>
      <c r="AX43" s="154"/>
    </row>
    <row r="44" spans="2:50" ht="13" x14ac:dyDescent="0.3">
      <c r="B44" s="766" t="str">
        <f t="shared" si="4"/>
        <v/>
      </c>
      <c r="C44" s="769">
        <f>'03 - Monthly Asset Follow up'!B48</f>
        <v>0</v>
      </c>
      <c r="D44" s="149"/>
      <c r="E44" s="762" t="str">
        <f>IF($C44=0,"",SUMIFS(INPUT_DATA!AU:AU,INPUT_DATA!$A:$A,$C44,INPUT_DATA!$C:$C,"S"))</f>
        <v/>
      </c>
      <c r="F44" s="774" t="str">
        <f>IF($C44=0,"",SUMIFS(INPUT_DATA!AV:AV,INPUT_DATA!$A:$A,$C44,INPUT_DATA!$C:$C,"S"))</f>
        <v/>
      </c>
      <c r="G44" s="774" t="str">
        <f>IF($C44=0,"",SUMIFS(INPUT_DATA!AW:AW,INPUT_DATA!$A:$A,$C44,INPUT_DATA!$C:$C,"S"))</f>
        <v/>
      </c>
      <c r="H44" s="776" t="str">
        <f t="shared" si="0"/>
        <v/>
      </c>
      <c r="I44" s="774" t="str">
        <f>IF($C44=0,"",SUMIFS(INPUT_DATA!AY:AY,INPUT_DATA!$A:$A,$C44,INPUT_DATA!$C:$C,"S"))</f>
        <v/>
      </c>
      <c r="J44" s="774" t="str">
        <f>IF($C44=0,"",SUMIFS(INPUT_DATA!AZ:AZ,INPUT_DATA!$A:$A,$C44,INPUT_DATA!$C:$C,"S"))</f>
        <v/>
      </c>
      <c r="K44" s="774" t="str">
        <f>IF($C44=0,"",SUMIFS(INPUT_DATA!BA:BA,INPUT_DATA!$A:$A,$C44,INPUT_DATA!$C:$C,"S"))</f>
        <v/>
      </c>
      <c r="L44" s="774" t="str">
        <f>IF($C44=0,"",SUMIFS(INPUT_DATA!BB:BB,INPUT_DATA!$A:$A,$C44,INPUT_DATA!$C:$C,"S"))</f>
        <v/>
      </c>
      <c r="M44" s="774" t="str">
        <f>IF($C44=0,"",SUMIFS(INPUT_DATA!BC:BC,INPUT_DATA!$A:$A,$C44,INPUT_DATA!$C:$C,"S"))</f>
        <v/>
      </c>
      <c r="N44" s="774" t="str">
        <f>IF($C44=0,"",SUMIFS(INPUT_DATA!BD:BD,INPUT_DATA!$A:$A,$C44,INPUT_DATA!$C:$C,"S"))</f>
        <v/>
      </c>
      <c r="O44" s="774" t="str">
        <f>IF($C44=0,"",SUMIFS(INPUT_DATA!BE:BE,INPUT_DATA!$A:$A,$C44,INPUT_DATA!$C:$C,"S"))</f>
        <v/>
      </c>
      <c r="P44" s="774" t="str">
        <f>IF($C44=0,"",SUMIFS(INPUT_DATA!BF:BF,INPUT_DATA!$A:$A,$C44,INPUT_DATA!$C:$C,"S"))</f>
        <v/>
      </c>
      <c r="Q44" s="780" t="str">
        <f t="shared" si="5"/>
        <v/>
      </c>
      <c r="R44" s="782" t="str">
        <f>IF($C44=0,"",SUMIFS(INPUT_DATA!BH:BH,INPUT_DATA!$A:$A,$C44,INPUT_DATA!$C:$C,"S"))</f>
        <v/>
      </c>
      <c r="S44" s="782" t="str">
        <f>IF($C44=0,"",SUMIFS(INPUT_DATA!BI:BI,INPUT_DATA!$A:$A,$C44,INPUT_DATA!$C:$C,"S"))</f>
        <v/>
      </c>
      <c r="T44" s="780" t="str">
        <f t="shared" si="6"/>
        <v/>
      </c>
      <c r="U44" s="785" t="str">
        <f>IF($C44=0,"",SUMIFS(INPUT_DATA!BL:BL,INPUT_DATA!$A:$A,$C44,INPUT_DATA!$C:$C,"S"))</f>
        <v/>
      </c>
      <c r="V44" s="155" t="str">
        <f t="shared" si="1"/>
        <v/>
      </c>
      <c r="W44" s="149"/>
      <c r="X44" s="762" t="str">
        <f>IF($C44=0,"",SUMIFS(INPUT_DATA!AU:AU,INPUT_DATA!$A:$A,$C44,INPUT_DATA!$C:$C,"D"))</f>
        <v/>
      </c>
      <c r="Y44" s="774" t="str">
        <f>IF($C44=0,"",SUMIFS(INPUT_DATA!AV:AV,INPUT_DATA!$A:$A,$C44,INPUT_DATA!$C:$C,"D"))</f>
        <v/>
      </c>
      <c r="Z44" s="774" t="str">
        <f>IF($C44=0,"",SUMIFS(INPUT_DATA!AW:AW,INPUT_DATA!$A:$A,$C44,INPUT_DATA!$C:$C,"D"))</f>
        <v/>
      </c>
      <c r="AA44" s="775" t="str">
        <f t="shared" si="2"/>
        <v/>
      </c>
      <c r="AB44" s="774" t="str">
        <f>IF($C44=0,"",SUMIFS(INPUT_DATA!AX:AX,INPUT_DATA!$A:$A,$C44,INPUT_DATA!$C:$C,"D"))</f>
        <v/>
      </c>
      <c r="AC44" s="774" t="str">
        <f>IF($C44=0,"",SUMIFS(INPUT_DATA!AY:AY,INPUT_DATA!$A:$A,$C44,INPUT_DATA!$C:$C,"D"))</f>
        <v/>
      </c>
      <c r="AD44" s="774" t="str">
        <f>IF($C44=0,"",SUMIFS(INPUT_DATA!AZ:AZ,INPUT_DATA!$A:$A,$C44,INPUT_DATA!$C:$C,"D"))</f>
        <v/>
      </c>
      <c r="AE44" s="774" t="str">
        <f>IF($C44=0,"",SUMIFS(INPUT_DATA!BA:BA,INPUT_DATA!$A:$A,$C44,INPUT_DATA!$C:$C,"D"))</f>
        <v/>
      </c>
      <c r="AF44" s="774" t="str">
        <f>IF($C44=0,"",SUMIFS(INPUT_DATA!BB:BB,INPUT_DATA!$A:$A,$C44,INPUT_DATA!$C:$C,"D"))</f>
        <v/>
      </c>
      <c r="AG44" s="774" t="str">
        <f>IF($C44=0,"",SUMIFS(INPUT_DATA!BC:BC,INPUT_DATA!$A:$A,$C44,INPUT_DATA!$C:$C,"D"))</f>
        <v/>
      </c>
      <c r="AH44" s="774" t="str">
        <f>IF($C44=0,"",SUMIFS(INPUT_DATA!BD:BD,INPUT_DATA!$A:$A,$C44,INPUT_DATA!$C:$C,"D"))</f>
        <v/>
      </c>
      <c r="AI44" s="774" t="str">
        <f>IF($C44=0,"",SUMIFS(INPUT_DATA!BE:BE,INPUT_DATA!$A:$A,$C44,INPUT_DATA!$C:$C,"D"))</f>
        <v/>
      </c>
      <c r="AJ44" s="315" t="str">
        <f t="shared" si="3"/>
        <v/>
      </c>
      <c r="AK44" s="782" t="str">
        <f>IF($C44=0,"",SUMIFS(INPUT_DATA!BG:BG,INPUT_DATA!$A:$A,$C44,INPUT_DATA!$C:$C,"D"))</f>
        <v/>
      </c>
      <c r="AL44" s="782" t="str">
        <f>IF($C44=0,"",SUMIFS(INPUT_DATA!BH:BH,INPUT_DATA!$A:$A,$C44,INPUT_DATA!$C:$C,"D"))</f>
        <v/>
      </c>
      <c r="AM44" s="782" t="str">
        <f>IF($C44=0,"",SUMIFS(INPUT_DATA!BI:BI,INPUT_DATA!$A:$A,$C44,INPUT_DATA!$C:$C,"D"))</f>
        <v/>
      </c>
      <c r="AN44" s="780" t="str">
        <f t="shared" si="7"/>
        <v/>
      </c>
      <c r="AO44" s="785" t="str">
        <f>IF($C44=0,"",SUMIFS(INPUT_DATA!BK:BK,INPUT_DATA!$A:$A,$C44,INPUT_DATA!$C:$C,"D"))</f>
        <v/>
      </c>
      <c r="AP44" s="355" t="str">
        <f t="shared" si="8"/>
        <v/>
      </c>
      <c r="AQ44" s="149"/>
      <c r="AS44" s="355" t="str">
        <f t="shared" si="9"/>
        <v/>
      </c>
      <c r="AU44" s="391" t="str">
        <f>IF($C44=0,"",'03 - Monthly Asset Follow up'!E48+'03 - Monthly Asset Follow up'!F48-'03 - Monthly Asset Follow up'!U48+'03 - Monthly Asset Follow up'!X48-H44)</f>
        <v/>
      </c>
      <c r="AV44" s="391" t="str">
        <f>IF($C44=0,"",'03 - Monthly Asset Follow up'!BD48+'03 - Monthly Asset Follow up'!BE48-'03 - Monthly Asset Follow up'!BT48+'03 - Monthly Asset Follow up'!BW48)</f>
        <v/>
      </c>
      <c r="AX44" s="154"/>
    </row>
    <row r="45" spans="2:50" ht="13" x14ac:dyDescent="0.3">
      <c r="B45" s="766" t="str">
        <f t="shared" si="4"/>
        <v/>
      </c>
      <c r="C45" s="769">
        <f>'03 - Monthly Asset Follow up'!B49</f>
        <v>0</v>
      </c>
      <c r="D45" s="149"/>
      <c r="E45" s="762" t="str">
        <f>IF($C45=0,"",SUMIFS(INPUT_DATA!AU:AU,INPUT_DATA!$A:$A,$C45,INPUT_DATA!$C:$C,"S"))</f>
        <v/>
      </c>
      <c r="F45" s="774" t="str">
        <f>IF($C45=0,"",SUMIFS(INPUT_DATA!AV:AV,INPUT_DATA!$A:$A,$C45,INPUT_DATA!$C:$C,"S"))</f>
        <v/>
      </c>
      <c r="G45" s="774" t="str">
        <f>IF($C45=0,"",SUMIFS(INPUT_DATA!AW:AW,INPUT_DATA!$A:$A,$C45,INPUT_DATA!$C:$C,"S"))</f>
        <v/>
      </c>
      <c r="H45" s="776" t="str">
        <f t="shared" si="0"/>
        <v/>
      </c>
      <c r="I45" s="774" t="str">
        <f>IF($C45=0,"",SUMIFS(INPUT_DATA!AY:AY,INPUT_DATA!$A:$A,$C45,INPUT_DATA!$C:$C,"S"))</f>
        <v/>
      </c>
      <c r="J45" s="774" t="str">
        <f>IF($C45=0,"",SUMIFS(INPUT_DATA!AZ:AZ,INPUT_DATA!$A:$A,$C45,INPUT_DATA!$C:$C,"S"))</f>
        <v/>
      </c>
      <c r="K45" s="774" t="str">
        <f>IF($C45=0,"",SUMIFS(INPUT_DATA!BA:BA,INPUT_DATA!$A:$A,$C45,INPUT_DATA!$C:$C,"S"))</f>
        <v/>
      </c>
      <c r="L45" s="774" t="str">
        <f>IF($C45=0,"",SUMIFS(INPUT_DATA!BB:BB,INPUT_DATA!$A:$A,$C45,INPUT_DATA!$C:$C,"S"))</f>
        <v/>
      </c>
      <c r="M45" s="774" t="str">
        <f>IF($C45=0,"",SUMIFS(INPUT_DATA!BC:BC,INPUT_DATA!$A:$A,$C45,INPUT_DATA!$C:$C,"S"))</f>
        <v/>
      </c>
      <c r="N45" s="774" t="str">
        <f>IF($C45=0,"",SUMIFS(INPUT_DATA!BD:BD,INPUT_DATA!$A:$A,$C45,INPUT_DATA!$C:$C,"S"))</f>
        <v/>
      </c>
      <c r="O45" s="774" t="str">
        <f>IF($C45=0,"",SUMIFS(INPUT_DATA!BE:BE,INPUT_DATA!$A:$A,$C45,INPUT_DATA!$C:$C,"S"))</f>
        <v/>
      </c>
      <c r="P45" s="774" t="str">
        <f>IF($C45=0,"",SUMIFS(INPUT_DATA!BF:BF,INPUT_DATA!$A:$A,$C45,INPUT_DATA!$C:$C,"S"))</f>
        <v/>
      </c>
      <c r="Q45" s="780" t="str">
        <f t="shared" si="5"/>
        <v/>
      </c>
      <c r="R45" s="782" t="str">
        <f>IF($C45=0,"",SUMIFS(INPUT_DATA!BH:BH,INPUT_DATA!$A:$A,$C45,INPUT_DATA!$C:$C,"S"))</f>
        <v/>
      </c>
      <c r="S45" s="782" t="str">
        <f>IF($C45=0,"",SUMIFS(INPUT_DATA!BI:BI,INPUT_DATA!$A:$A,$C45,INPUT_DATA!$C:$C,"S"))</f>
        <v/>
      </c>
      <c r="T45" s="780" t="str">
        <f t="shared" si="6"/>
        <v/>
      </c>
      <c r="U45" s="785" t="str">
        <f>IF($C45=0,"",SUMIFS(INPUT_DATA!BL:BL,INPUT_DATA!$A:$A,$C45,INPUT_DATA!$C:$C,"S"))</f>
        <v/>
      </c>
      <c r="V45" s="155" t="str">
        <f t="shared" si="1"/>
        <v/>
      </c>
      <c r="W45" s="149"/>
      <c r="X45" s="762" t="str">
        <f>IF($C45=0,"",SUMIFS(INPUT_DATA!AU:AU,INPUT_DATA!$A:$A,$C45,INPUT_DATA!$C:$C,"D"))</f>
        <v/>
      </c>
      <c r="Y45" s="774" t="str">
        <f>IF($C45=0,"",SUMIFS(INPUT_DATA!AV:AV,INPUT_DATA!$A:$A,$C45,INPUT_DATA!$C:$C,"D"))</f>
        <v/>
      </c>
      <c r="Z45" s="774" t="str">
        <f>IF($C45=0,"",SUMIFS(INPUT_DATA!AW:AW,INPUT_DATA!$A:$A,$C45,INPUT_DATA!$C:$C,"D"))</f>
        <v/>
      </c>
      <c r="AA45" s="775" t="str">
        <f t="shared" si="2"/>
        <v/>
      </c>
      <c r="AB45" s="774" t="str">
        <f>IF($C45=0,"",SUMIFS(INPUT_DATA!AX:AX,INPUT_DATA!$A:$A,$C45,INPUT_DATA!$C:$C,"D"))</f>
        <v/>
      </c>
      <c r="AC45" s="774" t="str">
        <f>IF($C45=0,"",SUMIFS(INPUT_DATA!AY:AY,INPUT_DATA!$A:$A,$C45,INPUT_DATA!$C:$C,"D"))</f>
        <v/>
      </c>
      <c r="AD45" s="774" t="str">
        <f>IF($C45=0,"",SUMIFS(INPUT_DATA!AZ:AZ,INPUT_DATA!$A:$A,$C45,INPUT_DATA!$C:$C,"D"))</f>
        <v/>
      </c>
      <c r="AE45" s="774" t="str">
        <f>IF($C45=0,"",SUMIFS(INPUT_DATA!BA:BA,INPUT_DATA!$A:$A,$C45,INPUT_DATA!$C:$C,"D"))</f>
        <v/>
      </c>
      <c r="AF45" s="774" t="str">
        <f>IF($C45=0,"",SUMIFS(INPUT_DATA!BB:BB,INPUT_DATA!$A:$A,$C45,INPUT_DATA!$C:$C,"D"))</f>
        <v/>
      </c>
      <c r="AG45" s="774" t="str">
        <f>IF($C45=0,"",SUMIFS(INPUT_DATA!BC:BC,INPUT_DATA!$A:$A,$C45,INPUT_DATA!$C:$C,"D"))</f>
        <v/>
      </c>
      <c r="AH45" s="774" t="str">
        <f>IF($C45=0,"",SUMIFS(INPUT_DATA!BD:BD,INPUT_DATA!$A:$A,$C45,INPUT_DATA!$C:$C,"D"))</f>
        <v/>
      </c>
      <c r="AI45" s="774" t="str">
        <f>IF($C45=0,"",SUMIFS(INPUT_DATA!BE:BE,INPUT_DATA!$A:$A,$C45,INPUT_DATA!$C:$C,"D"))</f>
        <v/>
      </c>
      <c r="AJ45" s="315" t="str">
        <f t="shared" si="3"/>
        <v/>
      </c>
      <c r="AK45" s="782" t="str">
        <f>IF($C45=0,"",SUMIFS(INPUT_DATA!BG:BG,INPUT_DATA!$A:$A,$C45,INPUT_DATA!$C:$C,"D"))</f>
        <v/>
      </c>
      <c r="AL45" s="782" t="str">
        <f>IF($C45=0,"",SUMIFS(INPUT_DATA!BH:BH,INPUT_DATA!$A:$A,$C45,INPUT_DATA!$C:$C,"D"))</f>
        <v/>
      </c>
      <c r="AM45" s="782" t="str">
        <f>IF($C45=0,"",SUMIFS(INPUT_DATA!BI:BI,INPUT_DATA!$A:$A,$C45,INPUT_DATA!$C:$C,"D"))</f>
        <v/>
      </c>
      <c r="AN45" s="780" t="str">
        <f t="shared" si="7"/>
        <v/>
      </c>
      <c r="AO45" s="785" t="str">
        <f>IF($C45=0,"",SUMIFS(INPUT_DATA!BK:BK,INPUT_DATA!$A:$A,$C45,INPUT_DATA!$C:$C,"D"))</f>
        <v/>
      </c>
      <c r="AP45" s="355" t="str">
        <f t="shared" si="8"/>
        <v/>
      </c>
      <c r="AQ45" s="149"/>
      <c r="AS45" s="355" t="str">
        <f t="shared" si="9"/>
        <v/>
      </c>
      <c r="AU45" s="391" t="str">
        <f>IF($C45=0,"",'03 - Monthly Asset Follow up'!E49+'03 - Monthly Asset Follow up'!F49-'03 - Monthly Asset Follow up'!U49+'03 - Monthly Asset Follow up'!X49-H45)</f>
        <v/>
      </c>
      <c r="AV45" s="391" t="str">
        <f>IF($C45=0,"",'03 - Monthly Asset Follow up'!BD49+'03 - Monthly Asset Follow up'!BE49-'03 - Monthly Asset Follow up'!BT49+'03 - Monthly Asset Follow up'!BW49)</f>
        <v/>
      </c>
      <c r="AX45" s="154"/>
    </row>
    <row r="46" spans="2:50" ht="13" x14ac:dyDescent="0.3">
      <c r="B46" s="766" t="str">
        <f t="shared" si="4"/>
        <v/>
      </c>
      <c r="C46" s="769">
        <f>'03 - Monthly Asset Follow up'!B50</f>
        <v>0</v>
      </c>
      <c r="D46" s="149"/>
      <c r="E46" s="762" t="str">
        <f>IF($C46=0,"",SUMIFS(INPUT_DATA!AU:AU,INPUT_DATA!$A:$A,$C46,INPUT_DATA!$C:$C,"S"))</f>
        <v/>
      </c>
      <c r="F46" s="774" t="str">
        <f>IF($C46=0,"",SUMIFS(INPUT_DATA!AV:AV,INPUT_DATA!$A:$A,$C46,INPUT_DATA!$C:$C,"S"))</f>
        <v/>
      </c>
      <c r="G46" s="774" t="str">
        <f>IF($C46=0,"",SUMIFS(INPUT_DATA!AW:AW,INPUT_DATA!$A:$A,$C46,INPUT_DATA!$C:$C,"S"))</f>
        <v/>
      </c>
      <c r="H46" s="776" t="str">
        <f t="shared" si="0"/>
        <v/>
      </c>
      <c r="I46" s="774" t="str">
        <f>IF($C46=0,"",SUMIFS(INPUT_DATA!AY:AY,INPUT_DATA!$A:$A,$C46,INPUT_DATA!$C:$C,"S"))</f>
        <v/>
      </c>
      <c r="J46" s="774" t="str">
        <f>IF($C46=0,"",SUMIFS(INPUT_DATA!AZ:AZ,INPUT_DATA!$A:$A,$C46,INPUT_DATA!$C:$C,"S"))</f>
        <v/>
      </c>
      <c r="K46" s="774" t="str">
        <f>IF($C46=0,"",SUMIFS(INPUT_DATA!BA:BA,INPUT_DATA!$A:$A,$C46,INPUT_DATA!$C:$C,"S"))</f>
        <v/>
      </c>
      <c r="L46" s="774" t="str">
        <f>IF($C46=0,"",SUMIFS(INPUT_DATA!BB:BB,INPUT_DATA!$A:$A,$C46,INPUT_DATA!$C:$C,"S"))</f>
        <v/>
      </c>
      <c r="M46" s="774" t="str">
        <f>IF($C46=0,"",SUMIFS(INPUT_DATA!BC:BC,INPUT_DATA!$A:$A,$C46,INPUT_DATA!$C:$C,"S"))</f>
        <v/>
      </c>
      <c r="N46" s="774" t="str">
        <f>IF($C46=0,"",SUMIFS(INPUT_DATA!BD:BD,INPUT_DATA!$A:$A,$C46,INPUT_DATA!$C:$C,"S"))</f>
        <v/>
      </c>
      <c r="O46" s="774" t="str">
        <f>IF($C46=0,"",SUMIFS(INPUT_DATA!BE:BE,INPUT_DATA!$A:$A,$C46,INPUT_DATA!$C:$C,"S"))</f>
        <v/>
      </c>
      <c r="P46" s="774" t="str">
        <f>IF($C46=0,"",SUMIFS(INPUT_DATA!BF:BF,INPUT_DATA!$A:$A,$C46,INPUT_DATA!$C:$C,"S"))</f>
        <v/>
      </c>
      <c r="Q46" s="780" t="str">
        <f t="shared" si="5"/>
        <v/>
      </c>
      <c r="R46" s="782" t="str">
        <f>IF($C46=0,"",SUMIFS(INPUT_DATA!BH:BH,INPUT_DATA!$A:$A,$C46,INPUT_DATA!$C:$C,"S"))</f>
        <v/>
      </c>
      <c r="S46" s="782" t="str">
        <f>IF($C46=0,"",SUMIFS(INPUT_DATA!BI:BI,INPUT_DATA!$A:$A,$C46,INPUT_DATA!$C:$C,"S"))</f>
        <v/>
      </c>
      <c r="T46" s="780" t="str">
        <f t="shared" si="6"/>
        <v/>
      </c>
      <c r="U46" s="785" t="str">
        <f>IF($C46=0,"",SUMIFS(INPUT_DATA!BL:BL,INPUT_DATA!$A:$A,$C46,INPUT_DATA!$C:$C,"S"))</f>
        <v/>
      </c>
      <c r="V46" s="155" t="str">
        <f t="shared" si="1"/>
        <v/>
      </c>
      <c r="W46" s="149"/>
      <c r="X46" s="762" t="str">
        <f>IF($C46=0,"",SUMIFS(INPUT_DATA!AU:AU,INPUT_DATA!$A:$A,$C46,INPUT_DATA!$C:$C,"D"))</f>
        <v/>
      </c>
      <c r="Y46" s="774" t="str">
        <f>IF($C46=0,"",SUMIFS(INPUT_DATA!AV:AV,INPUT_DATA!$A:$A,$C46,INPUT_DATA!$C:$C,"D"))</f>
        <v/>
      </c>
      <c r="Z46" s="774" t="str">
        <f>IF($C46=0,"",SUMIFS(INPUT_DATA!AW:AW,INPUT_DATA!$A:$A,$C46,INPUT_DATA!$C:$C,"D"))</f>
        <v/>
      </c>
      <c r="AA46" s="775" t="str">
        <f t="shared" si="2"/>
        <v/>
      </c>
      <c r="AB46" s="774" t="str">
        <f>IF($C46=0,"",SUMIFS(INPUT_DATA!AX:AX,INPUT_DATA!$A:$A,$C46,INPUT_DATA!$C:$C,"D"))</f>
        <v/>
      </c>
      <c r="AC46" s="774" t="str">
        <f>IF($C46=0,"",SUMIFS(INPUT_DATA!AY:AY,INPUT_DATA!$A:$A,$C46,INPUT_DATA!$C:$C,"D"))</f>
        <v/>
      </c>
      <c r="AD46" s="774" t="str">
        <f>IF($C46=0,"",SUMIFS(INPUT_DATA!AZ:AZ,INPUT_DATA!$A:$A,$C46,INPUT_DATA!$C:$C,"D"))</f>
        <v/>
      </c>
      <c r="AE46" s="774" t="str">
        <f>IF($C46=0,"",SUMIFS(INPUT_DATA!BA:BA,INPUT_DATA!$A:$A,$C46,INPUT_DATA!$C:$C,"D"))</f>
        <v/>
      </c>
      <c r="AF46" s="774" t="str">
        <f>IF($C46=0,"",SUMIFS(INPUT_DATA!BB:BB,INPUT_DATA!$A:$A,$C46,INPUT_DATA!$C:$C,"D"))</f>
        <v/>
      </c>
      <c r="AG46" s="774" t="str">
        <f>IF($C46=0,"",SUMIFS(INPUT_DATA!BC:BC,INPUT_DATA!$A:$A,$C46,INPUT_DATA!$C:$C,"D"))</f>
        <v/>
      </c>
      <c r="AH46" s="774" t="str">
        <f>IF($C46=0,"",SUMIFS(INPUT_DATA!BD:BD,INPUT_DATA!$A:$A,$C46,INPUT_DATA!$C:$C,"D"))</f>
        <v/>
      </c>
      <c r="AI46" s="774" t="str">
        <f>IF($C46=0,"",SUMIFS(INPUT_DATA!BE:BE,INPUT_DATA!$A:$A,$C46,INPUT_DATA!$C:$C,"D"))</f>
        <v/>
      </c>
      <c r="AJ46" s="315" t="str">
        <f t="shared" si="3"/>
        <v/>
      </c>
      <c r="AK46" s="782" t="str">
        <f>IF($C46=0,"",SUMIFS(INPUT_DATA!BG:BG,INPUT_DATA!$A:$A,$C46,INPUT_DATA!$C:$C,"D"))</f>
        <v/>
      </c>
      <c r="AL46" s="782" t="str">
        <f>IF($C46=0,"",SUMIFS(INPUT_DATA!BH:BH,INPUT_DATA!$A:$A,$C46,INPUT_DATA!$C:$C,"D"))</f>
        <v/>
      </c>
      <c r="AM46" s="782" t="str">
        <f>IF($C46=0,"",SUMIFS(INPUT_DATA!BI:BI,INPUT_DATA!$A:$A,$C46,INPUT_DATA!$C:$C,"D"))</f>
        <v/>
      </c>
      <c r="AN46" s="780" t="str">
        <f t="shared" si="7"/>
        <v/>
      </c>
      <c r="AO46" s="785" t="str">
        <f>IF($C46=0,"",SUMIFS(INPUT_DATA!BK:BK,INPUT_DATA!$A:$A,$C46,INPUT_DATA!$C:$C,"D"))</f>
        <v/>
      </c>
      <c r="AP46" s="355" t="str">
        <f t="shared" si="8"/>
        <v/>
      </c>
      <c r="AQ46" s="149"/>
      <c r="AS46" s="355" t="str">
        <f t="shared" si="9"/>
        <v/>
      </c>
      <c r="AU46" s="391" t="str">
        <f>IF($C46=0,"",'03 - Monthly Asset Follow up'!E50+'03 - Monthly Asset Follow up'!F50-'03 - Monthly Asset Follow up'!U50+'03 - Monthly Asset Follow up'!X50-H46)</f>
        <v/>
      </c>
      <c r="AV46" s="391" t="str">
        <f>IF($C46=0,"",'03 - Monthly Asset Follow up'!BD50+'03 - Monthly Asset Follow up'!BE50-'03 - Monthly Asset Follow up'!BT50+'03 - Monthly Asset Follow up'!BW50)</f>
        <v/>
      </c>
      <c r="AX46" s="154"/>
    </row>
    <row r="47" spans="2:50" ht="13" x14ac:dyDescent="0.3">
      <c r="B47" s="766" t="str">
        <f t="shared" si="4"/>
        <v/>
      </c>
      <c r="C47" s="769">
        <f>'03 - Monthly Asset Follow up'!B51</f>
        <v>0</v>
      </c>
      <c r="D47" s="149"/>
      <c r="E47" s="762" t="str">
        <f>IF($C47=0,"",SUMIFS(INPUT_DATA!AU:AU,INPUT_DATA!$A:$A,$C47,INPUT_DATA!$C:$C,"S"))</f>
        <v/>
      </c>
      <c r="F47" s="774" t="str">
        <f>IF($C47=0,"",SUMIFS(INPUT_DATA!AV:AV,INPUT_DATA!$A:$A,$C47,INPUT_DATA!$C:$C,"S"))</f>
        <v/>
      </c>
      <c r="G47" s="774" t="str">
        <f>IF($C47=0,"",SUMIFS(INPUT_DATA!AW:AW,INPUT_DATA!$A:$A,$C47,INPUT_DATA!$C:$C,"S"))</f>
        <v/>
      </c>
      <c r="H47" s="776" t="str">
        <f t="shared" si="0"/>
        <v/>
      </c>
      <c r="I47" s="774" t="str">
        <f>IF($C47=0,"",SUMIFS(INPUT_DATA!AY:AY,INPUT_DATA!$A:$A,$C47,INPUT_DATA!$C:$C,"S"))</f>
        <v/>
      </c>
      <c r="J47" s="774" t="str">
        <f>IF($C47=0,"",SUMIFS(INPUT_DATA!AZ:AZ,INPUT_DATA!$A:$A,$C47,INPUT_DATA!$C:$C,"S"))</f>
        <v/>
      </c>
      <c r="K47" s="774" t="str">
        <f>IF($C47=0,"",SUMIFS(INPUT_DATA!BA:BA,INPUT_DATA!$A:$A,$C47,INPUT_DATA!$C:$C,"S"))</f>
        <v/>
      </c>
      <c r="L47" s="774" t="str">
        <f>IF($C47=0,"",SUMIFS(INPUT_DATA!BB:BB,INPUT_DATA!$A:$A,$C47,INPUT_DATA!$C:$C,"S"))</f>
        <v/>
      </c>
      <c r="M47" s="774" t="str">
        <f>IF($C47=0,"",SUMIFS(INPUT_DATA!BC:BC,INPUT_DATA!$A:$A,$C47,INPUT_DATA!$C:$C,"S"))</f>
        <v/>
      </c>
      <c r="N47" s="774" t="str">
        <f>IF($C47=0,"",SUMIFS(INPUT_DATA!BD:BD,INPUT_DATA!$A:$A,$C47,INPUT_DATA!$C:$C,"S"))</f>
        <v/>
      </c>
      <c r="O47" s="774" t="str">
        <f>IF($C47=0,"",SUMIFS(INPUT_DATA!BE:BE,INPUT_DATA!$A:$A,$C47,INPUT_DATA!$C:$C,"S"))</f>
        <v/>
      </c>
      <c r="P47" s="774" t="str">
        <f>IF($C47=0,"",SUMIFS(INPUT_DATA!BF:BF,INPUT_DATA!$A:$A,$C47,INPUT_DATA!$C:$C,"S"))</f>
        <v/>
      </c>
      <c r="Q47" s="780" t="str">
        <f t="shared" si="5"/>
        <v/>
      </c>
      <c r="R47" s="782" t="str">
        <f>IF($C47=0,"",SUMIFS(INPUT_DATA!BH:BH,INPUT_DATA!$A:$A,$C47,INPUT_DATA!$C:$C,"S"))</f>
        <v/>
      </c>
      <c r="S47" s="782" t="str">
        <f>IF($C47=0,"",SUMIFS(INPUT_DATA!BI:BI,INPUT_DATA!$A:$A,$C47,INPUT_DATA!$C:$C,"S"))</f>
        <v/>
      </c>
      <c r="T47" s="780" t="str">
        <f t="shared" si="6"/>
        <v/>
      </c>
      <c r="U47" s="785" t="str">
        <f>IF($C47=0,"",SUMIFS(INPUT_DATA!BL:BL,INPUT_DATA!$A:$A,$C47,INPUT_DATA!$C:$C,"S"))</f>
        <v/>
      </c>
      <c r="V47" s="155" t="str">
        <f t="shared" si="1"/>
        <v/>
      </c>
      <c r="W47" s="149"/>
      <c r="X47" s="762" t="str">
        <f>IF($C47=0,"",SUMIFS(INPUT_DATA!AU:AU,INPUT_DATA!$A:$A,$C47,INPUT_DATA!$C:$C,"D"))</f>
        <v/>
      </c>
      <c r="Y47" s="774" t="str">
        <f>IF($C47=0,"",SUMIFS(INPUT_DATA!AV:AV,INPUT_DATA!$A:$A,$C47,INPUT_DATA!$C:$C,"D"))</f>
        <v/>
      </c>
      <c r="Z47" s="774" t="str">
        <f>IF($C47=0,"",SUMIFS(INPUT_DATA!AW:AW,INPUT_DATA!$A:$A,$C47,INPUT_DATA!$C:$C,"D"))</f>
        <v/>
      </c>
      <c r="AA47" s="775" t="str">
        <f t="shared" si="2"/>
        <v/>
      </c>
      <c r="AB47" s="774" t="str">
        <f>IF($C47=0,"",SUMIFS(INPUT_DATA!AX:AX,INPUT_DATA!$A:$A,$C47,INPUT_DATA!$C:$C,"D"))</f>
        <v/>
      </c>
      <c r="AC47" s="774" t="str">
        <f>IF($C47=0,"",SUMIFS(INPUT_DATA!AY:AY,INPUT_DATA!$A:$A,$C47,INPUT_DATA!$C:$C,"D"))</f>
        <v/>
      </c>
      <c r="AD47" s="774" t="str">
        <f>IF($C47=0,"",SUMIFS(INPUT_DATA!AZ:AZ,INPUT_DATA!$A:$A,$C47,INPUT_DATA!$C:$C,"D"))</f>
        <v/>
      </c>
      <c r="AE47" s="774" t="str">
        <f>IF($C47=0,"",SUMIFS(INPUT_DATA!BA:BA,INPUT_DATA!$A:$A,$C47,INPUT_DATA!$C:$C,"D"))</f>
        <v/>
      </c>
      <c r="AF47" s="774" t="str">
        <f>IF($C47=0,"",SUMIFS(INPUT_DATA!BB:BB,INPUT_DATA!$A:$A,$C47,INPUT_DATA!$C:$C,"D"))</f>
        <v/>
      </c>
      <c r="AG47" s="774" t="str">
        <f>IF($C47=0,"",SUMIFS(INPUT_DATA!BC:BC,INPUT_DATA!$A:$A,$C47,INPUT_DATA!$C:$C,"D"))</f>
        <v/>
      </c>
      <c r="AH47" s="774" t="str">
        <f>IF($C47=0,"",SUMIFS(INPUT_DATA!BD:BD,INPUT_DATA!$A:$A,$C47,INPUT_DATA!$C:$C,"D"))</f>
        <v/>
      </c>
      <c r="AI47" s="774" t="str">
        <f>IF($C47=0,"",SUMIFS(INPUT_DATA!BE:BE,INPUT_DATA!$A:$A,$C47,INPUT_DATA!$C:$C,"D"))</f>
        <v/>
      </c>
      <c r="AJ47" s="315" t="str">
        <f t="shared" si="3"/>
        <v/>
      </c>
      <c r="AK47" s="782" t="str">
        <f>IF($C47=0,"",SUMIFS(INPUT_DATA!BG:BG,INPUT_DATA!$A:$A,$C47,INPUT_DATA!$C:$C,"D"))</f>
        <v/>
      </c>
      <c r="AL47" s="782" t="str">
        <f>IF($C47=0,"",SUMIFS(INPUT_DATA!BH:BH,INPUT_DATA!$A:$A,$C47,INPUT_DATA!$C:$C,"D"))</f>
        <v/>
      </c>
      <c r="AM47" s="782" t="str">
        <f>IF($C47=0,"",SUMIFS(INPUT_DATA!BI:BI,INPUT_DATA!$A:$A,$C47,INPUT_DATA!$C:$C,"D"))</f>
        <v/>
      </c>
      <c r="AN47" s="780" t="str">
        <f t="shared" si="7"/>
        <v/>
      </c>
      <c r="AO47" s="785" t="str">
        <f>IF($C47=0,"",SUMIFS(INPUT_DATA!BK:BK,INPUT_DATA!$A:$A,$C47,INPUT_DATA!$C:$C,"D"))</f>
        <v/>
      </c>
      <c r="AP47" s="355" t="str">
        <f t="shared" si="8"/>
        <v/>
      </c>
      <c r="AQ47" s="149"/>
      <c r="AS47" s="355" t="str">
        <f t="shared" si="9"/>
        <v/>
      </c>
      <c r="AU47" s="391" t="str">
        <f>IF($C47=0,"",'03 - Monthly Asset Follow up'!E51+'03 - Monthly Asset Follow up'!F51-'03 - Monthly Asset Follow up'!U51+'03 - Monthly Asset Follow up'!X51-H47)</f>
        <v/>
      </c>
      <c r="AV47" s="391" t="str">
        <f>IF($C47=0,"",'03 - Monthly Asset Follow up'!BD51+'03 - Monthly Asset Follow up'!BE51-'03 - Monthly Asset Follow up'!BT51+'03 - Monthly Asset Follow up'!BW51)</f>
        <v/>
      </c>
      <c r="AX47" s="154"/>
    </row>
    <row r="48" spans="2:50" ht="13" x14ac:dyDescent="0.3">
      <c r="B48" s="766" t="str">
        <f t="shared" si="4"/>
        <v/>
      </c>
      <c r="C48" s="769">
        <f>'03 - Monthly Asset Follow up'!B52</f>
        <v>0</v>
      </c>
      <c r="D48" s="149"/>
      <c r="E48" s="762" t="str">
        <f>IF($C48=0,"",SUMIFS(INPUT_DATA!AU:AU,INPUT_DATA!$A:$A,$C48,INPUT_DATA!$C:$C,"S"))</f>
        <v/>
      </c>
      <c r="F48" s="774" t="str">
        <f>IF($C48=0,"",SUMIFS(INPUT_DATA!AV:AV,INPUT_DATA!$A:$A,$C48,INPUT_DATA!$C:$C,"S"))</f>
        <v/>
      </c>
      <c r="G48" s="774" t="str">
        <f>IF($C48=0,"",SUMIFS(INPUT_DATA!AW:AW,INPUT_DATA!$A:$A,$C48,INPUT_DATA!$C:$C,"S"))</f>
        <v/>
      </c>
      <c r="H48" s="776" t="str">
        <f t="shared" si="0"/>
        <v/>
      </c>
      <c r="I48" s="774" t="str">
        <f>IF($C48=0,"",SUMIFS(INPUT_DATA!AY:AY,INPUT_DATA!$A:$A,$C48,INPUT_DATA!$C:$C,"S"))</f>
        <v/>
      </c>
      <c r="J48" s="774" t="str">
        <f>IF($C48=0,"",SUMIFS(INPUT_DATA!AZ:AZ,INPUT_DATA!$A:$A,$C48,INPUT_DATA!$C:$C,"S"))</f>
        <v/>
      </c>
      <c r="K48" s="774" t="str">
        <f>IF($C48=0,"",SUMIFS(INPUT_DATA!BA:BA,INPUT_DATA!$A:$A,$C48,INPUT_DATA!$C:$C,"S"))</f>
        <v/>
      </c>
      <c r="L48" s="774" t="str">
        <f>IF($C48=0,"",SUMIFS(INPUT_DATA!BB:BB,INPUT_DATA!$A:$A,$C48,INPUT_DATA!$C:$C,"S"))</f>
        <v/>
      </c>
      <c r="M48" s="774" t="str">
        <f>IF($C48=0,"",SUMIFS(INPUT_DATA!BC:BC,INPUT_DATA!$A:$A,$C48,INPUT_DATA!$C:$C,"S"))</f>
        <v/>
      </c>
      <c r="N48" s="774" t="str">
        <f>IF($C48=0,"",SUMIFS(INPUT_DATA!BD:BD,INPUT_DATA!$A:$A,$C48,INPUT_DATA!$C:$C,"S"))</f>
        <v/>
      </c>
      <c r="O48" s="774" t="str">
        <f>IF($C48=0,"",SUMIFS(INPUT_DATA!BE:BE,INPUT_DATA!$A:$A,$C48,INPUT_DATA!$C:$C,"S"))</f>
        <v/>
      </c>
      <c r="P48" s="774" t="str">
        <f>IF($C48=0,"",SUMIFS(INPUT_DATA!BF:BF,INPUT_DATA!$A:$A,$C48,INPUT_DATA!$C:$C,"S"))</f>
        <v/>
      </c>
      <c r="Q48" s="780" t="str">
        <f t="shared" si="5"/>
        <v/>
      </c>
      <c r="R48" s="782" t="str">
        <f>IF($C48=0,"",SUMIFS(INPUT_DATA!BH:BH,INPUT_DATA!$A:$A,$C48,INPUT_DATA!$C:$C,"S"))</f>
        <v/>
      </c>
      <c r="S48" s="782" t="str">
        <f>IF($C48=0,"",SUMIFS(INPUT_DATA!BI:BI,INPUT_DATA!$A:$A,$C48,INPUT_DATA!$C:$C,"S"))</f>
        <v/>
      </c>
      <c r="T48" s="780" t="str">
        <f t="shared" si="6"/>
        <v/>
      </c>
      <c r="U48" s="785" t="str">
        <f>IF($C48=0,"",SUMIFS(INPUT_DATA!BL:BL,INPUT_DATA!$A:$A,$C48,INPUT_DATA!$C:$C,"S"))</f>
        <v/>
      </c>
      <c r="V48" s="155" t="str">
        <f t="shared" si="1"/>
        <v/>
      </c>
      <c r="W48" s="149"/>
      <c r="X48" s="762" t="str">
        <f>IF($C48=0,"",SUMIFS(INPUT_DATA!AU:AU,INPUT_DATA!$A:$A,$C48,INPUT_DATA!$C:$C,"D"))</f>
        <v/>
      </c>
      <c r="Y48" s="774" t="str">
        <f>IF($C48=0,"",SUMIFS(INPUT_DATA!AV:AV,INPUT_DATA!$A:$A,$C48,INPUT_DATA!$C:$C,"D"))</f>
        <v/>
      </c>
      <c r="Z48" s="774" t="str">
        <f>IF($C48=0,"",SUMIFS(INPUT_DATA!AW:AW,INPUT_DATA!$A:$A,$C48,INPUT_DATA!$C:$C,"D"))</f>
        <v/>
      </c>
      <c r="AA48" s="775" t="str">
        <f t="shared" si="2"/>
        <v/>
      </c>
      <c r="AB48" s="774" t="str">
        <f>IF($C48=0,"",SUMIFS(INPUT_DATA!AX:AX,INPUT_DATA!$A:$A,$C48,INPUT_DATA!$C:$C,"D"))</f>
        <v/>
      </c>
      <c r="AC48" s="774" t="str">
        <f>IF($C48=0,"",SUMIFS(INPUT_DATA!AY:AY,INPUT_DATA!$A:$A,$C48,INPUT_DATA!$C:$C,"D"))</f>
        <v/>
      </c>
      <c r="AD48" s="774" t="str">
        <f>IF($C48=0,"",SUMIFS(INPUT_DATA!AZ:AZ,INPUT_DATA!$A:$A,$C48,INPUT_DATA!$C:$C,"D"))</f>
        <v/>
      </c>
      <c r="AE48" s="774" t="str">
        <f>IF($C48=0,"",SUMIFS(INPUT_DATA!BA:BA,INPUT_DATA!$A:$A,$C48,INPUT_DATA!$C:$C,"D"))</f>
        <v/>
      </c>
      <c r="AF48" s="774" t="str">
        <f>IF($C48=0,"",SUMIFS(INPUT_DATA!BB:BB,INPUT_DATA!$A:$A,$C48,INPUT_DATA!$C:$C,"D"))</f>
        <v/>
      </c>
      <c r="AG48" s="774" t="str">
        <f>IF($C48=0,"",SUMIFS(INPUT_DATA!BC:BC,INPUT_DATA!$A:$A,$C48,INPUT_DATA!$C:$C,"D"))</f>
        <v/>
      </c>
      <c r="AH48" s="774" t="str">
        <f>IF($C48=0,"",SUMIFS(INPUT_DATA!BD:BD,INPUT_DATA!$A:$A,$C48,INPUT_DATA!$C:$C,"D"))</f>
        <v/>
      </c>
      <c r="AI48" s="774" t="str">
        <f>IF($C48=0,"",SUMIFS(INPUT_DATA!BE:BE,INPUT_DATA!$A:$A,$C48,INPUT_DATA!$C:$C,"D"))</f>
        <v/>
      </c>
      <c r="AJ48" s="315" t="str">
        <f t="shared" si="3"/>
        <v/>
      </c>
      <c r="AK48" s="782" t="str">
        <f>IF($C48=0,"",SUMIFS(INPUT_DATA!BG:BG,INPUT_DATA!$A:$A,$C48,INPUT_DATA!$C:$C,"D"))</f>
        <v/>
      </c>
      <c r="AL48" s="782" t="str">
        <f>IF($C48=0,"",SUMIFS(INPUT_DATA!BH:BH,INPUT_DATA!$A:$A,$C48,INPUT_DATA!$C:$C,"D"))</f>
        <v/>
      </c>
      <c r="AM48" s="782" t="str">
        <f>IF($C48=0,"",SUMIFS(INPUT_DATA!BI:BI,INPUT_DATA!$A:$A,$C48,INPUT_DATA!$C:$C,"D"))</f>
        <v/>
      </c>
      <c r="AN48" s="780" t="str">
        <f t="shared" si="7"/>
        <v/>
      </c>
      <c r="AO48" s="785" t="str">
        <f>IF($C48=0,"",SUMIFS(INPUT_DATA!BK:BK,INPUT_DATA!$A:$A,$C48,INPUT_DATA!$C:$C,"D"))</f>
        <v/>
      </c>
      <c r="AP48" s="355" t="str">
        <f t="shared" si="8"/>
        <v/>
      </c>
      <c r="AQ48" s="149"/>
      <c r="AS48" s="355" t="str">
        <f t="shared" si="9"/>
        <v/>
      </c>
      <c r="AU48" s="391" t="str">
        <f>IF($C48=0,"",'03 - Monthly Asset Follow up'!E52+'03 - Monthly Asset Follow up'!F52-'03 - Monthly Asset Follow up'!U52+'03 - Monthly Asset Follow up'!X52-H48)</f>
        <v/>
      </c>
      <c r="AV48" s="391" t="str">
        <f>IF($C48=0,"",'03 - Monthly Asset Follow up'!BD52+'03 - Monthly Asset Follow up'!BE52-'03 - Monthly Asset Follow up'!BT52+'03 - Monthly Asset Follow up'!BW52)</f>
        <v/>
      </c>
      <c r="AX48" s="154"/>
    </row>
    <row r="49" spans="2:50" ht="13" x14ac:dyDescent="0.3">
      <c r="B49" s="766" t="str">
        <f t="shared" si="4"/>
        <v/>
      </c>
      <c r="C49" s="769">
        <f>'03 - Monthly Asset Follow up'!B53</f>
        <v>0</v>
      </c>
      <c r="D49" s="149"/>
      <c r="E49" s="762" t="str">
        <f>IF($C49=0,"",SUMIFS(INPUT_DATA!AU:AU,INPUT_DATA!$A:$A,$C49,INPUT_DATA!$C:$C,"S"))</f>
        <v/>
      </c>
      <c r="F49" s="774" t="str">
        <f>IF($C49=0,"",SUMIFS(INPUT_DATA!AV:AV,INPUT_DATA!$A:$A,$C49,INPUT_DATA!$C:$C,"S"))</f>
        <v/>
      </c>
      <c r="G49" s="774" t="str">
        <f>IF($C49=0,"",SUMIFS(INPUT_DATA!AW:AW,INPUT_DATA!$A:$A,$C49,INPUT_DATA!$C:$C,"S"))</f>
        <v/>
      </c>
      <c r="H49" s="776" t="str">
        <f t="shared" si="0"/>
        <v/>
      </c>
      <c r="I49" s="774" t="str">
        <f>IF($C49=0,"",SUMIFS(INPUT_DATA!AY:AY,INPUT_DATA!$A:$A,$C49,INPUT_DATA!$C:$C,"S"))</f>
        <v/>
      </c>
      <c r="J49" s="774" t="str">
        <f>IF($C49=0,"",SUMIFS(INPUT_DATA!AZ:AZ,INPUT_DATA!$A:$A,$C49,INPUT_DATA!$C:$C,"S"))</f>
        <v/>
      </c>
      <c r="K49" s="774" t="str">
        <f>IF($C49=0,"",SUMIFS(INPUT_DATA!BA:BA,INPUT_DATA!$A:$A,$C49,INPUT_DATA!$C:$C,"S"))</f>
        <v/>
      </c>
      <c r="L49" s="774" t="str">
        <f>IF($C49=0,"",SUMIFS(INPUT_DATA!BB:BB,INPUT_DATA!$A:$A,$C49,INPUT_DATA!$C:$C,"S"))</f>
        <v/>
      </c>
      <c r="M49" s="774" t="str">
        <f>IF($C49=0,"",SUMIFS(INPUT_DATA!BC:BC,INPUT_DATA!$A:$A,$C49,INPUT_DATA!$C:$C,"S"))</f>
        <v/>
      </c>
      <c r="N49" s="774" t="str">
        <f>IF($C49=0,"",SUMIFS(INPUT_DATA!BD:BD,INPUT_DATA!$A:$A,$C49,INPUT_DATA!$C:$C,"S"))</f>
        <v/>
      </c>
      <c r="O49" s="774" t="str">
        <f>IF($C49=0,"",SUMIFS(INPUT_DATA!BE:BE,INPUT_DATA!$A:$A,$C49,INPUT_DATA!$C:$C,"S"))</f>
        <v/>
      </c>
      <c r="P49" s="774" t="str">
        <f>IF($C49=0,"",SUMIFS(INPUT_DATA!BF:BF,INPUT_DATA!$A:$A,$C49,INPUT_DATA!$C:$C,"S"))</f>
        <v/>
      </c>
      <c r="Q49" s="780" t="str">
        <f t="shared" si="5"/>
        <v/>
      </c>
      <c r="R49" s="782" t="str">
        <f>IF($C49=0,"",SUMIFS(INPUT_DATA!BH:BH,INPUT_DATA!$A:$A,$C49,INPUT_DATA!$C:$C,"S"))</f>
        <v/>
      </c>
      <c r="S49" s="782" t="str">
        <f>IF($C49=0,"",SUMIFS(INPUT_DATA!BI:BI,INPUT_DATA!$A:$A,$C49,INPUT_DATA!$C:$C,"S"))</f>
        <v/>
      </c>
      <c r="T49" s="780" t="str">
        <f t="shared" si="6"/>
        <v/>
      </c>
      <c r="U49" s="785" t="str">
        <f>IF($C49=0,"",SUMIFS(INPUT_DATA!BL:BL,INPUT_DATA!$A:$A,$C49,INPUT_DATA!$C:$C,"S"))</f>
        <v/>
      </c>
      <c r="V49" s="155" t="str">
        <f t="shared" si="1"/>
        <v/>
      </c>
      <c r="W49" s="149"/>
      <c r="X49" s="762" t="str">
        <f>IF($C49=0,"",SUMIFS(INPUT_DATA!AU:AU,INPUT_DATA!$A:$A,$C49,INPUT_DATA!$C:$C,"D"))</f>
        <v/>
      </c>
      <c r="Y49" s="774" t="str">
        <f>IF($C49=0,"",SUMIFS(INPUT_DATA!AV:AV,INPUT_DATA!$A:$A,$C49,INPUT_DATA!$C:$C,"D"))</f>
        <v/>
      </c>
      <c r="Z49" s="774" t="str">
        <f>IF($C49=0,"",SUMIFS(INPUT_DATA!AW:AW,INPUT_DATA!$A:$A,$C49,INPUT_DATA!$C:$C,"D"))</f>
        <v/>
      </c>
      <c r="AA49" s="775" t="str">
        <f t="shared" si="2"/>
        <v/>
      </c>
      <c r="AB49" s="774" t="str">
        <f>IF($C49=0,"",SUMIFS(INPUT_DATA!AX:AX,INPUT_DATA!$A:$A,$C49,INPUT_DATA!$C:$C,"D"))</f>
        <v/>
      </c>
      <c r="AC49" s="774" t="str">
        <f>IF($C49=0,"",SUMIFS(INPUT_DATA!AY:AY,INPUT_DATA!$A:$A,$C49,INPUT_DATA!$C:$C,"D"))</f>
        <v/>
      </c>
      <c r="AD49" s="774" t="str">
        <f>IF($C49=0,"",SUMIFS(INPUT_DATA!AZ:AZ,INPUT_DATA!$A:$A,$C49,INPUT_DATA!$C:$C,"D"))</f>
        <v/>
      </c>
      <c r="AE49" s="774" t="str">
        <f>IF($C49=0,"",SUMIFS(INPUT_DATA!BA:BA,INPUT_DATA!$A:$A,$C49,INPUT_DATA!$C:$C,"D"))</f>
        <v/>
      </c>
      <c r="AF49" s="774" t="str">
        <f>IF($C49=0,"",SUMIFS(INPUT_DATA!BB:BB,INPUT_DATA!$A:$A,$C49,INPUT_DATA!$C:$C,"D"))</f>
        <v/>
      </c>
      <c r="AG49" s="774" t="str">
        <f>IF($C49=0,"",SUMIFS(INPUT_DATA!BC:BC,INPUT_DATA!$A:$A,$C49,INPUT_DATA!$C:$C,"D"))</f>
        <v/>
      </c>
      <c r="AH49" s="774" t="str">
        <f>IF($C49=0,"",SUMIFS(INPUT_DATA!BD:BD,INPUT_DATA!$A:$A,$C49,INPUT_DATA!$C:$C,"D"))</f>
        <v/>
      </c>
      <c r="AI49" s="774" t="str">
        <f>IF($C49=0,"",SUMIFS(INPUT_DATA!BE:BE,INPUT_DATA!$A:$A,$C49,INPUT_DATA!$C:$C,"D"))</f>
        <v/>
      </c>
      <c r="AJ49" s="315" t="str">
        <f t="shared" si="3"/>
        <v/>
      </c>
      <c r="AK49" s="782" t="str">
        <f>IF($C49=0,"",SUMIFS(INPUT_DATA!BG:BG,INPUT_DATA!$A:$A,$C49,INPUT_DATA!$C:$C,"D"))</f>
        <v/>
      </c>
      <c r="AL49" s="782" t="str">
        <f>IF($C49=0,"",SUMIFS(INPUT_DATA!BH:BH,INPUT_DATA!$A:$A,$C49,INPUT_DATA!$C:$C,"D"))</f>
        <v/>
      </c>
      <c r="AM49" s="782" t="str">
        <f>IF($C49=0,"",SUMIFS(INPUT_DATA!BI:BI,INPUT_DATA!$A:$A,$C49,INPUT_DATA!$C:$C,"D"))</f>
        <v/>
      </c>
      <c r="AN49" s="780" t="str">
        <f t="shared" si="7"/>
        <v/>
      </c>
      <c r="AO49" s="785" t="str">
        <f>IF($C49=0,"",SUMIFS(INPUT_DATA!BK:BK,INPUT_DATA!$A:$A,$C49,INPUT_DATA!$C:$C,"D"))</f>
        <v/>
      </c>
      <c r="AP49" s="355" t="str">
        <f t="shared" si="8"/>
        <v/>
      </c>
      <c r="AQ49" s="149"/>
      <c r="AS49" s="355" t="str">
        <f t="shared" si="9"/>
        <v/>
      </c>
      <c r="AU49" s="391" t="str">
        <f>IF($C49=0,"",'03 - Monthly Asset Follow up'!E53+'03 - Monthly Asset Follow up'!F53-'03 - Monthly Asset Follow up'!U53+'03 - Monthly Asset Follow up'!X53-H49)</f>
        <v/>
      </c>
      <c r="AV49" s="391" t="str">
        <f>IF($C49=0,"",'03 - Monthly Asset Follow up'!BD53+'03 - Monthly Asset Follow up'!BE53-'03 - Monthly Asset Follow up'!BT53+'03 - Monthly Asset Follow up'!BW53)</f>
        <v/>
      </c>
      <c r="AX49" s="154"/>
    </row>
    <row r="50" spans="2:50" ht="13" x14ac:dyDescent="0.3">
      <c r="B50" s="766" t="str">
        <f t="shared" si="4"/>
        <v/>
      </c>
      <c r="C50" s="769">
        <f>'03 - Monthly Asset Follow up'!B54</f>
        <v>0</v>
      </c>
      <c r="D50" s="149"/>
      <c r="E50" s="762" t="str">
        <f>IF($C50=0,"",SUMIFS(INPUT_DATA!AU:AU,INPUT_DATA!$A:$A,$C50,INPUT_DATA!$C:$C,"S"))</f>
        <v/>
      </c>
      <c r="F50" s="774" t="str">
        <f>IF($C50=0,"",SUMIFS(INPUT_DATA!AV:AV,INPUT_DATA!$A:$A,$C50,INPUT_DATA!$C:$C,"S"))</f>
        <v/>
      </c>
      <c r="G50" s="774" t="str">
        <f>IF($C50=0,"",SUMIFS(INPUT_DATA!AW:AW,INPUT_DATA!$A:$A,$C50,INPUT_DATA!$C:$C,"S"))</f>
        <v/>
      </c>
      <c r="H50" s="776" t="str">
        <f t="shared" si="0"/>
        <v/>
      </c>
      <c r="I50" s="774" t="str">
        <f>IF($C50=0,"",SUMIFS(INPUT_DATA!AY:AY,INPUT_DATA!$A:$A,$C50,INPUT_DATA!$C:$C,"S"))</f>
        <v/>
      </c>
      <c r="J50" s="774" t="str">
        <f>IF($C50=0,"",SUMIFS(INPUT_DATA!AZ:AZ,INPUT_DATA!$A:$A,$C50,INPUT_DATA!$C:$C,"S"))</f>
        <v/>
      </c>
      <c r="K50" s="774" t="str">
        <f>IF($C50=0,"",SUMIFS(INPUT_DATA!BA:BA,INPUT_DATA!$A:$A,$C50,INPUT_DATA!$C:$C,"S"))</f>
        <v/>
      </c>
      <c r="L50" s="774" t="str">
        <f>IF($C50=0,"",SUMIFS(INPUT_DATA!BB:BB,INPUT_DATA!$A:$A,$C50,INPUT_DATA!$C:$C,"S"))</f>
        <v/>
      </c>
      <c r="M50" s="774" t="str">
        <f>IF($C50=0,"",SUMIFS(INPUT_DATA!BC:BC,INPUT_DATA!$A:$A,$C50,INPUT_DATA!$C:$C,"S"))</f>
        <v/>
      </c>
      <c r="N50" s="774" t="str">
        <f>IF($C50=0,"",SUMIFS(INPUT_DATA!BD:BD,INPUT_DATA!$A:$A,$C50,INPUT_DATA!$C:$C,"S"))</f>
        <v/>
      </c>
      <c r="O50" s="774" t="str">
        <f>IF($C50=0,"",SUMIFS(INPUT_DATA!BE:BE,INPUT_DATA!$A:$A,$C50,INPUT_DATA!$C:$C,"S"))</f>
        <v/>
      </c>
      <c r="P50" s="774" t="str">
        <f>IF($C50=0,"",SUMIFS(INPUT_DATA!BF:BF,INPUT_DATA!$A:$A,$C50,INPUT_DATA!$C:$C,"S"))</f>
        <v/>
      </c>
      <c r="Q50" s="780" t="str">
        <f t="shared" si="5"/>
        <v/>
      </c>
      <c r="R50" s="782" t="str">
        <f>IF($C50=0,"",SUMIFS(INPUT_DATA!BH:BH,INPUT_DATA!$A:$A,$C50,INPUT_DATA!$C:$C,"S"))</f>
        <v/>
      </c>
      <c r="S50" s="782" t="str">
        <f>IF($C50=0,"",SUMIFS(INPUT_DATA!BI:BI,INPUT_DATA!$A:$A,$C50,INPUT_DATA!$C:$C,"S"))</f>
        <v/>
      </c>
      <c r="T50" s="780" t="str">
        <f t="shared" si="6"/>
        <v/>
      </c>
      <c r="U50" s="785" t="str">
        <f>IF($C50=0,"",SUMIFS(INPUT_DATA!BL:BL,INPUT_DATA!$A:$A,$C50,INPUT_DATA!$C:$C,"S"))</f>
        <v/>
      </c>
      <c r="V50" s="155" t="str">
        <f t="shared" si="1"/>
        <v/>
      </c>
      <c r="W50" s="149"/>
      <c r="X50" s="762" t="str">
        <f>IF($C50=0,"",SUMIFS(INPUT_DATA!AU:AU,INPUT_DATA!$A:$A,$C50,INPUT_DATA!$C:$C,"D"))</f>
        <v/>
      </c>
      <c r="Y50" s="774" t="str">
        <f>IF($C50=0,"",SUMIFS(INPUT_DATA!AV:AV,INPUT_DATA!$A:$A,$C50,INPUT_DATA!$C:$C,"D"))</f>
        <v/>
      </c>
      <c r="Z50" s="774" t="str">
        <f>IF($C50=0,"",SUMIFS(INPUT_DATA!AW:AW,INPUT_DATA!$A:$A,$C50,INPUT_DATA!$C:$C,"D"))</f>
        <v/>
      </c>
      <c r="AA50" s="775" t="str">
        <f t="shared" si="2"/>
        <v/>
      </c>
      <c r="AB50" s="774" t="str">
        <f>IF($C50=0,"",SUMIFS(INPUT_DATA!AX:AX,INPUT_DATA!$A:$A,$C50,INPUT_DATA!$C:$C,"D"))</f>
        <v/>
      </c>
      <c r="AC50" s="774" t="str">
        <f>IF($C50=0,"",SUMIFS(INPUT_DATA!AY:AY,INPUT_DATA!$A:$A,$C50,INPUT_DATA!$C:$C,"D"))</f>
        <v/>
      </c>
      <c r="AD50" s="774" t="str">
        <f>IF($C50=0,"",SUMIFS(INPUT_DATA!AZ:AZ,INPUT_DATA!$A:$A,$C50,INPUT_DATA!$C:$C,"D"))</f>
        <v/>
      </c>
      <c r="AE50" s="774" t="str">
        <f>IF($C50=0,"",SUMIFS(INPUT_DATA!BA:BA,INPUT_DATA!$A:$A,$C50,INPUT_DATA!$C:$C,"D"))</f>
        <v/>
      </c>
      <c r="AF50" s="774" t="str">
        <f>IF($C50=0,"",SUMIFS(INPUT_DATA!BB:BB,INPUT_DATA!$A:$A,$C50,INPUT_DATA!$C:$C,"D"))</f>
        <v/>
      </c>
      <c r="AG50" s="774" t="str">
        <f>IF($C50=0,"",SUMIFS(INPUT_DATA!BC:BC,INPUT_DATA!$A:$A,$C50,INPUT_DATA!$C:$C,"D"))</f>
        <v/>
      </c>
      <c r="AH50" s="774" t="str">
        <f>IF($C50=0,"",SUMIFS(INPUT_DATA!BD:BD,INPUT_DATA!$A:$A,$C50,INPUT_DATA!$C:$C,"D"))</f>
        <v/>
      </c>
      <c r="AI50" s="774" t="str">
        <f>IF($C50=0,"",SUMIFS(INPUT_DATA!BE:BE,INPUT_DATA!$A:$A,$C50,INPUT_DATA!$C:$C,"D"))</f>
        <v/>
      </c>
      <c r="AJ50" s="315" t="str">
        <f t="shared" si="3"/>
        <v/>
      </c>
      <c r="AK50" s="782" t="str">
        <f>IF($C50=0,"",SUMIFS(INPUT_DATA!BG:BG,INPUT_DATA!$A:$A,$C50,INPUT_DATA!$C:$C,"D"))</f>
        <v/>
      </c>
      <c r="AL50" s="782" t="str">
        <f>IF($C50=0,"",SUMIFS(INPUT_DATA!BH:BH,INPUT_DATA!$A:$A,$C50,INPUT_DATA!$C:$C,"D"))</f>
        <v/>
      </c>
      <c r="AM50" s="782" t="str">
        <f>IF($C50=0,"",SUMIFS(INPUT_DATA!BI:BI,INPUT_DATA!$A:$A,$C50,INPUT_DATA!$C:$C,"D"))</f>
        <v/>
      </c>
      <c r="AN50" s="780" t="str">
        <f t="shared" si="7"/>
        <v/>
      </c>
      <c r="AO50" s="785" t="str">
        <f>IF($C50=0,"",SUMIFS(INPUT_DATA!BK:BK,INPUT_DATA!$A:$A,$C50,INPUT_DATA!$C:$C,"D"))</f>
        <v/>
      </c>
      <c r="AP50" s="355" t="str">
        <f t="shared" si="8"/>
        <v/>
      </c>
      <c r="AQ50" s="149"/>
      <c r="AS50" s="355" t="str">
        <f t="shared" si="9"/>
        <v/>
      </c>
      <c r="AU50" s="391" t="str">
        <f>IF($C50=0,"",'03 - Monthly Asset Follow up'!E54+'03 - Monthly Asset Follow up'!F54-'03 - Monthly Asset Follow up'!U54+'03 - Monthly Asset Follow up'!X54-H50)</f>
        <v/>
      </c>
      <c r="AV50" s="391" t="str">
        <f>IF($C50=0,"",'03 - Monthly Asset Follow up'!BD54+'03 - Monthly Asset Follow up'!BE54-'03 - Monthly Asset Follow up'!BT54+'03 - Monthly Asset Follow up'!BW54)</f>
        <v/>
      </c>
      <c r="AX50" s="154"/>
    </row>
    <row r="51" spans="2:50" ht="13" x14ac:dyDescent="0.3">
      <c r="B51" s="766" t="str">
        <f t="shared" si="4"/>
        <v/>
      </c>
      <c r="C51" s="769">
        <f>'03 - Monthly Asset Follow up'!B55</f>
        <v>0</v>
      </c>
      <c r="D51" s="149"/>
      <c r="E51" s="762" t="str">
        <f>IF($C51=0,"",SUMIFS(INPUT_DATA!AU:AU,INPUT_DATA!$A:$A,$C51,INPUT_DATA!$C:$C,"S"))</f>
        <v/>
      </c>
      <c r="F51" s="774" t="str">
        <f>IF($C51=0,"",SUMIFS(INPUT_DATA!AV:AV,INPUT_DATA!$A:$A,$C51,INPUT_DATA!$C:$C,"S"))</f>
        <v/>
      </c>
      <c r="G51" s="774" t="str">
        <f>IF($C51=0,"",SUMIFS(INPUT_DATA!AW:AW,INPUT_DATA!$A:$A,$C51,INPUT_DATA!$C:$C,"S"))</f>
        <v/>
      </c>
      <c r="H51" s="776" t="str">
        <f t="shared" si="0"/>
        <v/>
      </c>
      <c r="I51" s="774" t="str">
        <f>IF($C51=0,"",SUMIFS(INPUT_DATA!AY:AY,INPUT_DATA!$A:$A,$C51,INPUT_DATA!$C:$C,"S"))</f>
        <v/>
      </c>
      <c r="J51" s="774" t="str">
        <f>IF($C51=0,"",SUMIFS(INPUT_DATA!AZ:AZ,INPUT_DATA!$A:$A,$C51,INPUT_DATA!$C:$C,"S"))</f>
        <v/>
      </c>
      <c r="K51" s="774" t="str">
        <f>IF($C51=0,"",SUMIFS(INPUT_DATA!BA:BA,INPUT_DATA!$A:$A,$C51,INPUT_DATA!$C:$C,"S"))</f>
        <v/>
      </c>
      <c r="L51" s="774" t="str">
        <f>IF($C51=0,"",SUMIFS(INPUT_DATA!BB:BB,INPUT_DATA!$A:$A,$C51,INPUT_DATA!$C:$C,"S"))</f>
        <v/>
      </c>
      <c r="M51" s="774" t="str">
        <f>IF($C51=0,"",SUMIFS(INPUT_DATA!BC:BC,INPUT_DATA!$A:$A,$C51,INPUT_DATA!$C:$C,"S"))</f>
        <v/>
      </c>
      <c r="N51" s="774" t="str">
        <f>IF($C51=0,"",SUMIFS(INPUT_DATA!BD:BD,INPUT_DATA!$A:$A,$C51,INPUT_DATA!$C:$C,"S"))</f>
        <v/>
      </c>
      <c r="O51" s="774" t="str">
        <f>IF($C51=0,"",SUMIFS(INPUT_DATA!BE:BE,INPUT_DATA!$A:$A,$C51,INPUT_DATA!$C:$C,"S"))</f>
        <v/>
      </c>
      <c r="P51" s="774" t="str">
        <f>IF($C51=0,"",SUMIFS(INPUT_DATA!BF:BF,INPUT_DATA!$A:$A,$C51,INPUT_DATA!$C:$C,"S"))</f>
        <v/>
      </c>
      <c r="Q51" s="780" t="str">
        <f t="shared" si="5"/>
        <v/>
      </c>
      <c r="R51" s="782" t="str">
        <f>IF($C51=0,"",SUMIFS(INPUT_DATA!BH:BH,INPUT_DATA!$A:$A,$C51,INPUT_DATA!$C:$C,"S"))</f>
        <v/>
      </c>
      <c r="S51" s="782" t="str">
        <f>IF($C51=0,"",SUMIFS(INPUT_DATA!BI:BI,INPUT_DATA!$A:$A,$C51,INPUT_DATA!$C:$C,"S"))</f>
        <v/>
      </c>
      <c r="T51" s="780" t="str">
        <f t="shared" si="6"/>
        <v/>
      </c>
      <c r="U51" s="785" t="str">
        <f>IF($C51=0,"",SUMIFS(INPUT_DATA!BL:BL,INPUT_DATA!$A:$A,$C51,INPUT_DATA!$C:$C,"S"))</f>
        <v/>
      </c>
      <c r="V51" s="155" t="str">
        <f t="shared" si="1"/>
        <v/>
      </c>
      <c r="W51" s="149"/>
      <c r="X51" s="762" t="str">
        <f>IF($C51=0,"",SUMIFS(INPUT_DATA!AU:AU,INPUT_DATA!$A:$A,$C51,INPUT_DATA!$C:$C,"D"))</f>
        <v/>
      </c>
      <c r="Y51" s="774" t="str">
        <f>IF($C51=0,"",SUMIFS(INPUT_DATA!AV:AV,INPUT_DATA!$A:$A,$C51,INPUT_DATA!$C:$C,"D"))</f>
        <v/>
      </c>
      <c r="Z51" s="774" t="str">
        <f>IF($C51=0,"",SUMIFS(INPUT_DATA!AW:AW,INPUT_DATA!$A:$A,$C51,INPUT_DATA!$C:$C,"D"))</f>
        <v/>
      </c>
      <c r="AA51" s="775" t="str">
        <f t="shared" si="2"/>
        <v/>
      </c>
      <c r="AB51" s="774" t="str">
        <f>IF($C51=0,"",SUMIFS(INPUT_DATA!AX:AX,INPUT_DATA!$A:$A,$C51,INPUT_DATA!$C:$C,"D"))</f>
        <v/>
      </c>
      <c r="AC51" s="774" t="str">
        <f>IF($C51=0,"",SUMIFS(INPUT_DATA!AY:AY,INPUT_DATA!$A:$A,$C51,INPUT_DATA!$C:$C,"D"))</f>
        <v/>
      </c>
      <c r="AD51" s="774" t="str">
        <f>IF($C51=0,"",SUMIFS(INPUT_DATA!AZ:AZ,INPUT_DATA!$A:$A,$C51,INPUT_DATA!$C:$C,"D"))</f>
        <v/>
      </c>
      <c r="AE51" s="774" t="str">
        <f>IF($C51=0,"",SUMIFS(INPUT_DATA!BA:BA,INPUT_DATA!$A:$A,$C51,INPUT_DATA!$C:$C,"D"))</f>
        <v/>
      </c>
      <c r="AF51" s="774" t="str">
        <f>IF($C51=0,"",SUMIFS(INPUT_DATA!BB:BB,INPUT_DATA!$A:$A,$C51,INPUT_DATA!$C:$C,"D"))</f>
        <v/>
      </c>
      <c r="AG51" s="774" t="str">
        <f>IF($C51=0,"",SUMIFS(INPUT_DATA!BC:BC,INPUT_DATA!$A:$A,$C51,INPUT_DATA!$C:$C,"D"))</f>
        <v/>
      </c>
      <c r="AH51" s="774" t="str">
        <f>IF($C51=0,"",SUMIFS(INPUT_DATA!BD:BD,INPUT_DATA!$A:$A,$C51,INPUT_DATA!$C:$C,"D"))</f>
        <v/>
      </c>
      <c r="AI51" s="774" t="str">
        <f>IF($C51=0,"",SUMIFS(INPUT_DATA!BE:BE,INPUT_DATA!$A:$A,$C51,INPUT_DATA!$C:$C,"D"))</f>
        <v/>
      </c>
      <c r="AJ51" s="315" t="str">
        <f t="shared" si="3"/>
        <v/>
      </c>
      <c r="AK51" s="782" t="str">
        <f>IF($C51=0,"",SUMIFS(INPUT_DATA!BG:BG,INPUT_DATA!$A:$A,$C51,INPUT_DATA!$C:$C,"D"))</f>
        <v/>
      </c>
      <c r="AL51" s="782" t="str">
        <f>IF($C51=0,"",SUMIFS(INPUT_DATA!BH:BH,INPUT_DATA!$A:$A,$C51,INPUT_DATA!$C:$C,"D"))</f>
        <v/>
      </c>
      <c r="AM51" s="782" t="str">
        <f>IF($C51=0,"",SUMIFS(INPUT_DATA!BI:BI,INPUT_DATA!$A:$A,$C51,INPUT_DATA!$C:$C,"D"))</f>
        <v/>
      </c>
      <c r="AN51" s="780" t="str">
        <f t="shared" si="7"/>
        <v/>
      </c>
      <c r="AO51" s="785" t="str">
        <f>IF($C51=0,"",SUMIFS(INPUT_DATA!BK:BK,INPUT_DATA!$A:$A,$C51,INPUT_DATA!$C:$C,"D"))</f>
        <v/>
      </c>
      <c r="AP51" s="355" t="str">
        <f t="shared" si="8"/>
        <v/>
      </c>
      <c r="AQ51" s="149"/>
      <c r="AS51" s="355" t="str">
        <f t="shared" si="9"/>
        <v/>
      </c>
      <c r="AU51" s="391" t="str">
        <f>IF($C51=0,"",'03 - Monthly Asset Follow up'!E55+'03 - Monthly Asset Follow up'!F55-'03 - Monthly Asset Follow up'!U55+'03 - Monthly Asset Follow up'!X55-H51)</f>
        <v/>
      </c>
      <c r="AV51" s="391" t="str">
        <f>IF($C51=0,"",'03 - Monthly Asset Follow up'!BD55+'03 - Monthly Asset Follow up'!BE55-'03 - Monthly Asset Follow up'!BT55+'03 - Monthly Asset Follow up'!BW55)</f>
        <v/>
      </c>
      <c r="AX51" s="154"/>
    </row>
    <row r="52" spans="2:50" ht="13" x14ac:dyDescent="0.3">
      <c r="B52" s="766" t="str">
        <f t="shared" si="4"/>
        <v/>
      </c>
      <c r="C52" s="769">
        <f>'03 - Monthly Asset Follow up'!B56</f>
        <v>0</v>
      </c>
      <c r="D52" s="149"/>
      <c r="E52" s="762" t="str">
        <f>IF($C52=0,"",SUMIFS(INPUT_DATA!AU:AU,INPUT_DATA!$A:$A,$C52,INPUT_DATA!$C:$C,"S"))</f>
        <v/>
      </c>
      <c r="F52" s="774" t="str">
        <f>IF($C52=0,"",SUMIFS(INPUT_DATA!AV:AV,INPUT_DATA!$A:$A,$C52,INPUT_DATA!$C:$C,"S"))</f>
        <v/>
      </c>
      <c r="G52" s="774" t="str">
        <f>IF($C52=0,"",SUMIFS(INPUT_DATA!AW:AW,INPUT_DATA!$A:$A,$C52,INPUT_DATA!$C:$C,"S"))</f>
        <v/>
      </c>
      <c r="H52" s="776" t="str">
        <f t="shared" si="0"/>
        <v/>
      </c>
      <c r="I52" s="774" t="str">
        <f>IF($C52=0,"",SUMIFS(INPUT_DATA!AY:AY,INPUT_DATA!$A:$A,$C52,INPUT_DATA!$C:$C,"S"))</f>
        <v/>
      </c>
      <c r="J52" s="774" t="str">
        <f>IF($C52=0,"",SUMIFS(INPUT_DATA!AZ:AZ,INPUT_DATA!$A:$A,$C52,INPUT_DATA!$C:$C,"S"))</f>
        <v/>
      </c>
      <c r="K52" s="774" t="str">
        <f>IF($C52=0,"",SUMIFS(INPUT_DATA!BA:BA,INPUT_DATA!$A:$A,$C52,INPUT_DATA!$C:$C,"S"))</f>
        <v/>
      </c>
      <c r="L52" s="774" t="str">
        <f>IF($C52=0,"",SUMIFS(INPUT_DATA!BB:BB,INPUT_DATA!$A:$A,$C52,INPUT_DATA!$C:$C,"S"))</f>
        <v/>
      </c>
      <c r="M52" s="774" t="str">
        <f>IF($C52=0,"",SUMIFS(INPUT_DATA!BC:BC,INPUT_DATA!$A:$A,$C52,INPUT_DATA!$C:$C,"S"))</f>
        <v/>
      </c>
      <c r="N52" s="774" t="str">
        <f>IF($C52=0,"",SUMIFS(INPUT_DATA!BD:BD,INPUT_DATA!$A:$A,$C52,INPUT_DATA!$C:$C,"S"))</f>
        <v/>
      </c>
      <c r="O52" s="774" t="str">
        <f>IF($C52=0,"",SUMIFS(INPUT_DATA!BE:BE,INPUT_DATA!$A:$A,$C52,INPUT_DATA!$C:$C,"S"))</f>
        <v/>
      </c>
      <c r="P52" s="774" t="str">
        <f>IF($C52=0,"",SUMIFS(INPUT_DATA!BF:BF,INPUT_DATA!$A:$A,$C52,INPUT_DATA!$C:$C,"S"))</f>
        <v/>
      </c>
      <c r="Q52" s="780" t="str">
        <f t="shared" si="5"/>
        <v/>
      </c>
      <c r="R52" s="782" t="str">
        <f>IF($C52=0,"",SUMIFS(INPUT_DATA!BH:BH,INPUT_DATA!$A:$A,$C52,INPUT_DATA!$C:$C,"S"))</f>
        <v/>
      </c>
      <c r="S52" s="782" t="str">
        <f>IF($C52=0,"",SUMIFS(INPUT_DATA!BI:BI,INPUT_DATA!$A:$A,$C52,INPUT_DATA!$C:$C,"S"))</f>
        <v/>
      </c>
      <c r="T52" s="780" t="str">
        <f t="shared" si="6"/>
        <v/>
      </c>
      <c r="U52" s="785" t="str">
        <f>IF($C52=0,"",SUMIFS(INPUT_DATA!BL:BL,INPUT_DATA!$A:$A,$C52,INPUT_DATA!$C:$C,"S"))</f>
        <v/>
      </c>
      <c r="V52" s="155" t="str">
        <f t="shared" si="1"/>
        <v/>
      </c>
      <c r="W52" s="149"/>
      <c r="X52" s="762" t="str">
        <f>IF($C52=0,"",SUMIFS(INPUT_DATA!AU:AU,INPUT_DATA!$A:$A,$C52,INPUT_DATA!$C:$C,"D"))</f>
        <v/>
      </c>
      <c r="Y52" s="774" t="str">
        <f>IF($C52=0,"",SUMIFS(INPUT_DATA!AV:AV,INPUT_DATA!$A:$A,$C52,INPUT_DATA!$C:$C,"D"))</f>
        <v/>
      </c>
      <c r="Z52" s="774" t="str">
        <f>IF($C52=0,"",SUMIFS(INPUT_DATA!AW:AW,INPUT_DATA!$A:$A,$C52,INPUT_DATA!$C:$C,"D"))</f>
        <v/>
      </c>
      <c r="AA52" s="775" t="str">
        <f t="shared" si="2"/>
        <v/>
      </c>
      <c r="AB52" s="774" t="str">
        <f>IF($C52=0,"",SUMIFS(INPUT_DATA!AX:AX,INPUT_DATA!$A:$A,$C52,INPUT_DATA!$C:$C,"D"))</f>
        <v/>
      </c>
      <c r="AC52" s="774" t="str">
        <f>IF($C52=0,"",SUMIFS(INPUT_DATA!AY:AY,INPUT_DATA!$A:$A,$C52,INPUT_DATA!$C:$C,"D"))</f>
        <v/>
      </c>
      <c r="AD52" s="774" t="str">
        <f>IF($C52=0,"",SUMIFS(INPUT_DATA!AZ:AZ,INPUT_DATA!$A:$A,$C52,INPUT_DATA!$C:$C,"D"))</f>
        <v/>
      </c>
      <c r="AE52" s="774" t="str">
        <f>IF($C52=0,"",SUMIFS(INPUT_DATA!BA:BA,INPUT_DATA!$A:$A,$C52,INPUT_DATA!$C:$C,"D"))</f>
        <v/>
      </c>
      <c r="AF52" s="774" t="str">
        <f>IF($C52=0,"",SUMIFS(INPUT_DATA!BB:BB,INPUT_DATA!$A:$A,$C52,INPUT_DATA!$C:$C,"D"))</f>
        <v/>
      </c>
      <c r="AG52" s="774" t="str">
        <f>IF($C52=0,"",SUMIFS(INPUT_DATA!BC:BC,INPUT_DATA!$A:$A,$C52,INPUT_DATA!$C:$C,"D"))</f>
        <v/>
      </c>
      <c r="AH52" s="774" t="str">
        <f>IF($C52=0,"",SUMIFS(INPUT_DATA!BD:BD,INPUT_DATA!$A:$A,$C52,INPUT_DATA!$C:$C,"D"))</f>
        <v/>
      </c>
      <c r="AI52" s="774" t="str">
        <f>IF($C52=0,"",SUMIFS(INPUT_DATA!BE:BE,INPUT_DATA!$A:$A,$C52,INPUT_DATA!$C:$C,"D"))</f>
        <v/>
      </c>
      <c r="AJ52" s="315" t="str">
        <f t="shared" si="3"/>
        <v/>
      </c>
      <c r="AK52" s="782" t="str">
        <f>IF($C52=0,"",SUMIFS(INPUT_DATA!BG:BG,INPUT_DATA!$A:$A,$C52,INPUT_DATA!$C:$C,"D"))</f>
        <v/>
      </c>
      <c r="AL52" s="782" t="str">
        <f>IF($C52=0,"",SUMIFS(INPUT_DATA!BH:BH,INPUT_DATA!$A:$A,$C52,INPUT_DATA!$C:$C,"D"))</f>
        <v/>
      </c>
      <c r="AM52" s="782" t="str">
        <f>IF($C52=0,"",SUMIFS(INPUT_DATA!BI:BI,INPUT_DATA!$A:$A,$C52,INPUT_DATA!$C:$C,"D"))</f>
        <v/>
      </c>
      <c r="AN52" s="780" t="str">
        <f t="shared" si="7"/>
        <v/>
      </c>
      <c r="AO52" s="785" t="str">
        <f>IF($C52=0,"",SUMIFS(INPUT_DATA!BK:BK,INPUT_DATA!$A:$A,$C52,INPUT_DATA!$C:$C,"D"))</f>
        <v/>
      </c>
      <c r="AP52" s="355" t="str">
        <f t="shared" si="8"/>
        <v/>
      </c>
      <c r="AQ52" s="149"/>
      <c r="AS52" s="355" t="str">
        <f t="shared" si="9"/>
        <v/>
      </c>
      <c r="AU52" s="391" t="str">
        <f>IF($C52=0,"",'03 - Monthly Asset Follow up'!E56+'03 - Monthly Asset Follow up'!F56-'03 - Monthly Asset Follow up'!U56+'03 - Monthly Asset Follow up'!X56-H52)</f>
        <v/>
      </c>
      <c r="AV52" s="391" t="str">
        <f>IF($C52=0,"",'03 - Monthly Asset Follow up'!BD56+'03 - Monthly Asset Follow up'!BE56-'03 - Monthly Asset Follow up'!BT56+'03 - Monthly Asset Follow up'!BW56)</f>
        <v/>
      </c>
      <c r="AX52" s="154"/>
    </row>
    <row r="53" spans="2:50" ht="13" x14ac:dyDescent="0.3">
      <c r="B53" s="766" t="str">
        <f t="shared" si="4"/>
        <v/>
      </c>
      <c r="C53" s="769">
        <f>'03 - Monthly Asset Follow up'!B57</f>
        <v>0</v>
      </c>
      <c r="D53" s="149"/>
      <c r="E53" s="762" t="str">
        <f>IF($C53=0,"",SUMIFS(INPUT_DATA!AU:AU,INPUT_DATA!$A:$A,$C53,INPUT_DATA!$C:$C,"S"))</f>
        <v/>
      </c>
      <c r="F53" s="774" t="str">
        <f>IF($C53=0,"",SUMIFS(INPUT_DATA!AV:AV,INPUT_DATA!$A:$A,$C53,INPUT_DATA!$C:$C,"S"))</f>
        <v/>
      </c>
      <c r="G53" s="774" t="str">
        <f>IF($C53=0,"",SUMIFS(INPUT_DATA!AW:AW,INPUT_DATA!$A:$A,$C53,INPUT_DATA!$C:$C,"S"))</f>
        <v/>
      </c>
      <c r="H53" s="776" t="str">
        <f t="shared" si="0"/>
        <v/>
      </c>
      <c r="I53" s="774" t="str">
        <f>IF($C53=0,"",SUMIFS(INPUT_DATA!AY:AY,INPUT_DATA!$A:$A,$C53,INPUT_DATA!$C:$C,"S"))</f>
        <v/>
      </c>
      <c r="J53" s="774" t="str">
        <f>IF($C53=0,"",SUMIFS(INPUT_DATA!AZ:AZ,INPUT_DATA!$A:$A,$C53,INPUT_DATA!$C:$C,"S"))</f>
        <v/>
      </c>
      <c r="K53" s="774" t="str">
        <f>IF($C53=0,"",SUMIFS(INPUT_DATA!BA:BA,INPUT_DATA!$A:$A,$C53,INPUT_DATA!$C:$C,"S"))</f>
        <v/>
      </c>
      <c r="L53" s="774" t="str">
        <f>IF($C53=0,"",SUMIFS(INPUT_DATA!BB:BB,INPUT_DATA!$A:$A,$C53,INPUT_DATA!$C:$C,"S"))</f>
        <v/>
      </c>
      <c r="M53" s="774" t="str">
        <f>IF($C53=0,"",SUMIFS(INPUT_DATA!BC:BC,INPUT_DATA!$A:$A,$C53,INPUT_DATA!$C:$C,"S"))</f>
        <v/>
      </c>
      <c r="N53" s="774" t="str">
        <f>IF($C53=0,"",SUMIFS(INPUT_DATA!BD:BD,INPUT_DATA!$A:$A,$C53,INPUT_DATA!$C:$C,"S"))</f>
        <v/>
      </c>
      <c r="O53" s="774" t="str">
        <f>IF($C53=0,"",SUMIFS(INPUT_DATA!BE:BE,INPUT_DATA!$A:$A,$C53,INPUT_DATA!$C:$C,"S"))</f>
        <v/>
      </c>
      <c r="P53" s="774" t="str">
        <f>IF($C53=0,"",SUMIFS(INPUT_DATA!BF:BF,INPUT_DATA!$A:$A,$C53,INPUT_DATA!$C:$C,"S"))</f>
        <v/>
      </c>
      <c r="Q53" s="780" t="str">
        <f t="shared" si="5"/>
        <v/>
      </c>
      <c r="R53" s="782" t="str">
        <f>IF($C53=0,"",SUMIFS(INPUT_DATA!BH:BH,INPUT_DATA!$A:$A,$C53,INPUT_DATA!$C:$C,"S"))</f>
        <v/>
      </c>
      <c r="S53" s="782" t="str">
        <f>IF($C53=0,"",SUMIFS(INPUT_DATA!BI:BI,INPUT_DATA!$A:$A,$C53,INPUT_DATA!$C:$C,"S"))</f>
        <v/>
      </c>
      <c r="T53" s="780" t="str">
        <f t="shared" si="6"/>
        <v/>
      </c>
      <c r="U53" s="785" t="str">
        <f>IF($C53=0,"",SUMIFS(INPUT_DATA!BL:BL,INPUT_DATA!$A:$A,$C53,INPUT_DATA!$C:$C,"S"))</f>
        <v/>
      </c>
      <c r="V53" s="155" t="str">
        <f t="shared" si="1"/>
        <v/>
      </c>
      <c r="W53" s="149"/>
      <c r="X53" s="762" t="str">
        <f>IF($C53=0,"",SUMIFS(INPUT_DATA!AU:AU,INPUT_DATA!$A:$A,$C53,INPUT_DATA!$C:$C,"D"))</f>
        <v/>
      </c>
      <c r="Y53" s="774" t="str">
        <f>IF($C53=0,"",SUMIFS(INPUT_DATA!AV:AV,INPUT_DATA!$A:$A,$C53,INPUT_DATA!$C:$C,"D"))</f>
        <v/>
      </c>
      <c r="Z53" s="774" t="str">
        <f>IF($C53=0,"",SUMIFS(INPUT_DATA!AW:AW,INPUT_DATA!$A:$A,$C53,INPUT_DATA!$C:$C,"D"))</f>
        <v/>
      </c>
      <c r="AA53" s="775" t="str">
        <f t="shared" si="2"/>
        <v/>
      </c>
      <c r="AB53" s="774" t="str">
        <f>IF($C53=0,"",SUMIFS(INPUT_DATA!AX:AX,INPUT_DATA!$A:$A,$C53,INPUT_DATA!$C:$C,"D"))</f>
        <v/>
      </c>
      <c r="AC53" s="774" t="str">
        <f>IF($C53=0,"",SUMIFS(INPUT_DATA!AY:AY,INPUT_DATA!$A:$A,$C53,INPUT_DATA!$C:$C,"D"))</f>
        <v/>
      </c>
      <c r="AD53" s="774" t="str">
        <f>IF($C53=0,"",SUMIFS(INPUT_DATA!AZ:AZ,INPUT_DATA!$A:$A,$C53,INPUT_DATA!$C:$C,"D"))</f>
        <v/>
      </c>
      <c r="AE53" s="774" t="str">
        <f>IF($C53=0,"",SUMIFS(INPUT_DATA!BA:BA,INPUT_DATA!$A:$A,$C53,INPUT_DATA!$C:$C,"D"))</f>
        <v/>
      </c>
      <c r="AF53" s="774" t="str">
        <f>IF($C53=0,"",SUMIFS(INPUT_DATA!BB:BB,INPUT_DATA!$A:$A,$C53,INPUT_DATA!$C:$C,"D"))</f>
        <v/>
      </c>
      <c r="AG53" s="774" t="str">
        <f>IF($C53=0,"",SUMIFS(INPUT_DATA!BC:BC,INPUT_DATA!$A:$A,$C53,INPUT_DATA!$C:$C,"D"))</f>
        <v/>
      </c>
      <c r="AH53" s="774" t="str">
        <f>IF($C53=0,"",SUMIFS(INPUT_DATA!BD:BD,INPUT_DATA!$A:$A,$C53,INPUT_DATA!$C:$C,"D"))</f>
        <v/>
      </c>
      <c r="AI53" s="774" t="str">
        <f>IF($C53=0,"",SUMIFS(INPUT_DATA!BE:BE,INPUT_DATA!$A:$A,$C53,INPUT_DATA!$C:$C,"D"))</f>
        <v/>
      </c>
      <c r="AJ53" s="315" t="str">
        <f t="shared" si="3"/>
        <v/>
      </c>
      <c r="AK53" s="782" t="str">
        <f>IF($C53=0,"",SUMIFS(INPUT_DATA!BG:BG,INPUT_DATA!$A:$A,$C53,INPUT_DATA!$C:$C,"D"))</f>
        <v/>
      </c>
      <c r="AL53" s="782" t="str">
        <f>IF($C53=0,"",SUMIFS(INPUT_DATA!BH:BH,INPUT_DATA!$A:$A,$C53,INPUT_DATA!$C:$C,"D"))</f>
        <v/>
      </c>
      <c r="AM53" s="782" t="str">
        <f>IF($C53=0,"",SUMIFS(INPUT_DATA!BI:BI,INPUT_DATA!$A:$A,$C53,INPUT_DATA!$C:$C,"D"))</f>
        <v/>
      </c>
      <c r="AN53" s="780" t="str">
        <f t="shared" si="7"/>
        <v/>
      </c>
      <c r="AO53" s="785" t="str">
        <f>IF($C53=0,"",SUMIFS(INPUT_DATA!BK:BK,INPUT_DATA!$A:$A,$C53,INPUT_DATA!$C:$C,"D"))</f>
        <v/>
      </c>
      <c r="AP53" s="355" t="str">
        <f t="shared" si="8"/>
        <v/>
      </c>
      <c r="AQ53" s="149"/>
      <c r="AS53" s="355" t="str">
        <f t="shared" si="9"/>
        <v/>
      </c>
      <c r="AU53" s="391" t="str">
        <f>IF($C53=0,"",'03 - Monthly Asset Follow up'!E57+'03 - Monthly Asset Follow up'!F57-'03 - Monthly Asset Follow up'!U57+'03 - Monthly Asset Follow up'!X57-H53)</f>
        <v/>
      </c>
      <c r="AV53" s="391" t="str">
        <f>IF($C53=0,"",'03 - Monthly Asset Follow up'!BD57+'03 - Monthly Asset Follow up'!BE57-'03 - Monthly Asset Follow up'!BT57+'03 - Monthly Asset Follow up'!BW57)</f>
        <v/>
      </c>
      <c r="AX53" s="154"/>
    </row>
    <row r="54" spans="2:50" ht="13" x14ac:dyDescent="0.3">
      <c r="B54" s="766" t="str">
        <f t="shared" si="4"/>
        <v/>
      </c>
      <c r="C54" s="769">
        <f>'03 - Monthly Asset Follow up'!B58</f>
        <v>0</v>
      </c>
      <c r="D54" s="149"/>
      <c r="E54" s="762" t="str">
        <f>IF($C54=0,"",SUMIFS(INPUT_DATA!AU:AU,INPUT_DATA!$A:$A,$C54,INPUT_DATA!$C:$C,"S"))</f>
        <v/>
      </c>
      <c r="F54" s="774" t="str">
        <f>IF($C54=0,"",SUMIFS(INPUT_DATA!AV:AV,INPUT_DATA!$A:$A,$C54,INPUT_DATA!$C:$C,"S"))</f>
        <v/>
      </c>
      <c r="G54" s="774" t="str">
        <f>IF($C54=0,"",SUMIFS(INPUT_DATA!AW:AW,INPUT_DATA!$A:$A,$C54,INPUT_DATA!$C:$C,"S"))</f>
        <v/>
      </c>
      <c r="H54" s="776" t="str">
        <f t="shared" si="0"/>
        <v/>
      </c>
      <c r="I54" s="774" t="str">
        <f>IF($C54=0,"",SUMIFS(INPUT_DATA!AY:AY,INPUT_DATA!$A:$A,$C54,INPUT_DATA!$C:$C,"S"))</f>
        <v/>
      </c>
      <c r="J54" s="774" t="str">
        <f>IF($C54=0,"",SUMIFS(INPUT_DATA!AZ:AZ,INPUT_DATA!$A:$A,$C54,INPUT_DATA!$C:$C,"S"))</f>
        <v/>
      </c>
      <c r="K54" s="774" t="str">
        <f>IF($C54=0,"",SUMIFS(INPUT_DATA!BA:BA,INPUT_DATA!$A:$A,$C54,INPUT_DATA!$C:$C,"S"))</f>
        <v/>
      </c>
      <c r="L54" s="774" t="str">
        <f>IF($C54=0,"",SUMIFS(INPUT_DATA!BB:BB,INPUT_DATA!$A:$A,$C54,INPUT_DATA!$C:$C,"S"))</f>
        <v/>
      </c>
      <c r="M54" s="774" t="str">
        <f>IF($C54=0,"",SUMIFS(INPUT_DATA!BC:BC,INPUT_DATA!$A:$A,$C54,INPUT_DATA!$C:$C,"S"))</f>
        <v/>
      </c>
      <c r="N54" s="774" t="str">
        <f>IF($C54=0,"",SUMIFS(INPUT_DATA!BD:BD,INPUT_DATA!$A:$A,$C54,INPUT_DATA!$C:$C,"S"))</f>
        <v/>
      </c>
      <c r="O54" s="774" t="str">
        <f>IF($C54=0,"",SUMIFS(INPUT_DATA!BE:BE,INPUT_DATA!$A:$A,$C54,INPUT_DATA!$C:$C,"S"))</f>
        <v/>
      </c>
      <c r="P54" s="774" t="str">
        <f>IF($C54=0,"",SUMIFS(INPUT_DATA!BF:BF,INPUT_DATA!$A:$A,$C54,INPUT_DATA!$C:$C,"S"))</f>
        <v/>
      </c>
      <c r="Q54" s="780" t="str">
        <f t="shared" si="5"/>
        <v/>
      </c>
      <c r="R54" s="782" t="str">
        <f>IF($C54=0,"",SUMIFS(INPUT_DATA!BH:BH,INPUT_DATA!$A:$A,$C54,INPUT_DATA!$C:$C,"S"))</f>
        <v/>
      </c>
      <c r="S54" s="782" t="str">
        <f>IF($C54=0,"",SUMIFS(INPUT_DATA!BI:BI,INPUT_DATA!$A:$A,$C54,INPUT_DATA!$C:$C,"S"))</f>
        <v/>
      </c>
      <c r="T54" s="780" t="str">
        <f t="shared" si="6"/>
        <v/>
      </c>
      <c r="U54" s="785" t="str">
        <f>IF($C54=0,"",SUMIFS(INPUT_DATA!BL:BL,INPUT_DATA!$A:$A,$C54,INPUT_DATA!$C:$C,"S"))</f>
        <v/>
      </c>
      <c r="V54" s="155" t="str">
        <f t="shared" si="1"/>
        <v/>
      </c>
      <c r="W54" s="149"/>
      <c r="X54" s="762" t="str">
        <f>IF($C54=0,"",SUMIFS(INPUT_DATA!AU:AU,INPUT_DATA!$A:$A,$C54,INPUT_DATA!$C:$C,"D"))</f>
        <v/>
      </c>
      <c r="Y54" s="774" t="str">
        <f>IF($C54=0,"",SUMIFS(INPUT_DATA!AV:AV,INPUT_DATA!$A:$A,$C54,INPUT_DATA!$C:$C,"D"))</f>
        <v/>
      </c>
      <c r="Z54" s="774" t="str">
        <f>IF($C54=0,"",SUMIFS(INPUT_DATA!AW:AW,INPUT_DATA!$A:$A,$C54,INPUT_DATA!$C:$C,"D"))</f>
        <v/>
      </c>
      <c r="AA54" s="775" t="str">
        <f t="shared" si="2"/>
        <v/>
      </c>
      <c r="AB54" s="774" t="str">
        <f>IF($C54=0,"",SUMIFS(INPUT_DATA!AX:AX,INPUT_DATA!$A:$A,$C54,INPUT_DATA!$C:$C,"D"))</f>
        <v/>
      </c>
      <c r="AC54" s="774" t="str">
        <f>IF($C54=0,"",SUMIFS(INPUT_DATA!AY:AY,INPUT_DATA!$A:$A,$C54,INPUT_DATA!$C:$C,"D"))</f>
        <v/>
      </c>
      <c r="AD54" s="774" t="str">
        <f>IF($C54=0,"",SUMIFS(INPUT_DATA!AZ:AZ,INPUT_DATA!$A:$A,$C54,INPUT_DATA!$C:$C,"D"))</f>
        <v/>
      </c>
      <c r="AE54" s="774" t="str">
        <f>IF($C54=0,"",SUMIFS(INPUT_DATA!BA:BA,INPUT_DATA!$A:$A,$C54,INPUT_DATA!$C:$C,"D"))</f>
        <v/>
      </c>
      <c r="AF54" s="774" t="str">
        <f>IF($C54=0,"",SUMIFS(INPUT_DATA!BB:BB,INPUT_DATA!$A:$A,$C54,INPUT_DATA!$C:$C,"D"))</f>
        <v/>
      </c>
      <c r="AG54" s="774" t="str">
        <f>IF($C54=0,"",SUMIFS(INPUT_DATA!BC:BC,INPUT_DATA!$A:$A,$C54,INPUT_DATA!$C:$C,"D"))</f>
        <v/>
      </c>
      <c r="AH54" s="774" t="str">
        <f>IF($C54=0,"",SUMIFS(INPUT_DATA!BD:BD,INPUT_DATA!$A:$A,$C54,INPUT_DATA!$C:$C,"D"))</f>
        <v/>
      </c>
      <c r="AI54" s="774" t="str">
        <f>IF($C54=0,"",SUMIFS(INPUT_DATA!BE:BE,INPUT_DATA!$A:$A,$C54,INPUT_DATA!$C:$C,"D"))</f>
        <v/>
      </c>
      <c r="AJ54" s="315" t="str">
        <f t="shared" si="3"/>
        <v/>
      </c>
      <c r="AK54" s="782" t="str">
        <f>IF($C54=0,"",SUMIFS(INPUT_DATA!BG:BG,INPUT_DATA!$A:$A,$C54,INPUT_DATA!$C:$C,"D"))</f>
        <v/>
      </c>
      <c r="AL54" s="782" t="str">
        <f>IF($C54=0,"",SUMIFS(INPUT_DATA!BH:BH,INPUT_DATA!$A:$A,$C54,INPUT_DATA!$C:$C,"D"))</f>
        <v/>
      </c>
      <c r="AM54" s="782" t="str">
        <f>IF($C54=0,"",SUMIFS(INPUT_DATA!BI:BI,INPUT_DATA!$A:$A,$C54,INPUT_DATA!$C:$C,"D"))</f>
        <v/>
      </c>
      <c r="AN54" s="780" t="str">
        <f t="shared" si="7"/>
        <v/>
      </c>
      <c r="AO54" s="785" t="str">
        <f>IF($C54=0,"",SUMIFS(INPUT_DATA!BK:BK,INPUT_DATA!$A:$A,$C54,INPUT_DATA!$C:$C,"D"))</f>
        <v/>
      </c>
      <c r="AP54" s="355" t="str">
        <f t="shared" si="8"/>
        <v/>
      </c>
      <c r="AQ54" s="149"/>
      <c r="AS54" s="355" t="str">
        <f t="shared" si="9"/>
        <v/>
      </c>
      <c r="AU54" s="391" t="str">
        <f>IF($C54=0,"",'03 - Monthly Asset Follow up'!E58+'03 - Monthly Asset Follow up'!F58-'03 - Monthly Asset Follow up'!U58+'03 - Monthly Asset Follow up'!X58-H54)</f>
        <v/>
      </c>
      <c r="AV54" s="391" t="str">
        <f>IF($C54=0,"",'03 - Monthly Asset Follow up'!BD58+'03 - Monthly Asset Follow up'!BE58-'03 - Monthly Asset Follow up'!BT58+'03 - Monthly Asset Follow up'!BW58)</f>
        <v/>
      </c>
      <c r="AX54" s="154"/>
    </row>
    <row r="55" spans="2:50" ht="13" x14ac:dyDescent="0.3">
      <c r="B55" s="766" t="str">
        <f t="shared" si="4"/>
        <v/>
      </c>
      <c r="C55" s="769">
        <f>'03 - Monthly Asset Follow up'!B59</f>
        <v>0</v>
      </c>
      <c r="D55" s="149"/>
      <c r="E55" s="762" t="str">
        <f>IF($C55=0,"",SUMIFS(INPUT_DATA!AU:AU,INPUT_DATA!$A:$A,$C55,INPUT_DATA!$C:$C,"S"))</f>
        <v/>
      </c>
      <c r="F55" s="774" t="str">
        <f>IF($C55=0,"",SUMIFS(INPUT_DATA!AV:AV,INPUT_DATA!$A:$A,$C55,INPUT_DATA!$C:$C,"S"))</f>
        <v/>
      </c>
      <c r="G55" s="774" t="str">
        <f>IF($C55=0,"",SUMIFS(INPUT_DATA!AW:AW,INPUT_DATA!$A:$A,$C55,INPUT_DATA!$C:$C,"S"))</f>
        <v/>
      </c>
      <c r="H55" s="776" t="str">
        <f t="shared" si="0"/>
        <v/>
      </c>
      <c r="I55" s="774" t="str">
        <f>IF($C55=0,"",SUMIFS(INPUT_DATA!AY:AY,INPUT_DATA!$A:$A,$C55,INPUT_DATA!$C:$C,"S"))</f>
        <v/>
      </c>
      <c r="J55" s="774" t="str">
        <f>IF($C55=0,"",SUMIFS(INPUT_DATA!AZ:AZ,INPUT_DATA!$A:$A,$C55,INPUT_DATA!$C:$C,"S"))</f>
        <v/>
      </c>
      <c r="K55" s="774" t="str">
        <f>IF($C55=0,"",SUMIFS(INPUT_DATA!BA:BA,INPUT_DATA!$A:$A,$C55,INPUT_DATA!$C:$C,"S"))</f>
        <v/>
      </c>
      <c r="L55" s="774" t="str">
        <f>IF($C55=0,"",SUMIFS(INPUT_DATA!BB:BB,INPUT_DATA!$A:$A,$C55,INPUT_DATA!$C:$C,"S"))</f>
        <v/>
      </c>
      <c r="M55" s="774" t="str">
        <f>IF($C55=0,"",SUMIFS(INPUT_DATA!BC:BC,INPUT_DATA!$A:$A,$C55,INPUT_DATA!$C:$C,"S"))</f>
        <v/>
      </c>
      <c r="N55" s="774" t="str">
        <f>IF($C55=0,"",SUMIFS(INPUT_DATA!BD:BD,INPUT_DATA!$A:$A,$C55,INPUT_DATA!$C:$C,"S"))</f>
        <v/>
      </c>
      <c r="O55" s="774" t="str">
        <f>IF($C55=0,"",SUMIFS(INPUT_DATA!BE:BE,INPUT_DATA!$A:$A,$C55,INPUT_DATA!$C:$C,"S"))</f>
        <v/>
      </c>
      <c r="P55" s="774" t="str">
        <f>IF($C55=0,"",SUMIFS(INPUT_DATA!BF:BF,INPUT_DATA!$A:$A,$C55,INPUT_DATA!$C:$C,"S"))</f>
        <v/>
      </c>
      <c r="Q55" s="780" t="str">
        <f t="shared" si="5"/>
        <v/>
      </c>
      <c r="R55" s="782" t="str">
        <f>IF($C55=0,"",SUMIFS(INPUT_DATA!BH:BH,INPUT_DATA!$A:$A,$C55,INPUT_DATA!$C:$C,"S"))</f>
        <v/>
      </c>
      <c r="S55" s="782" t="str">
        <f>IF($C55=0,"",SUMIFS(INPUT_DATA!BI:BI,INPUT_DATA!$A:$A,$C55,INPUT_DATA!$C:$C,"S"))</f>
        <v/>
      </c>
      <c r="T55" s="780" t="str">
        <f t="shared" si="6"/>
        <v/>
      </c>
      <c r="U55" s="785" t="str">
        <f>IF($C55=0,"",SUMIFS(INPUT_DATA!BL:BL,INPUT_DATA!$A:$A,$C55,INPUT_DATA!$C:$C,"S"))</f>
        <v/>
      </c>
      <c r="V55" s="155" t="str">
        <f t="shared" si="1"/>
        <v/>
      </c>
      <c r="W55" s="149"/>
      <c r="X55" s="762" t="str">
        <f>IF($C55=0,"",SUMIFS(INPUT_DATA!AU:AU,INPUT_DATA!$A:$A,$C55,INPUT_DATA!$C:$C,"D"))</f>
        <v/>
      </c>
      <c r="Y55" s="774" t="str">
        <f>IF($C55=0,"",SUMIFS(INPUT_DATA!AV:AV,INPUT_DATA!$A:$A,$C55,INPUT_DATA!$C:$C,"D"))</f>
        <v/>
      </c>
      <c r="Z55" s="774" t="str">
        <f>IF($C55=0,"",SUMIFS(INPUT_DATA!AW:AW,INPUT_DATA!$A:$A,$C55,INPUT_DATA!$C:$C,"D"))</f>
        <v/>
      </c>
      <c r="AA55" s="775" t="str">
        <f t="shared" si="2"/>
        <v/>
      </c>
      <c r="AB55" s="774" t="str">
        <f>IF($C55=0,"",SUMIFS(INPUT_DATA!AX:AX,INPUT_DATA!$A:$A,$C55,INPUT_DATA!$C:$C,"D"))</f>
        <v/>
      </c>
      <c r="AC55" s="774" t="str">
        <f>IF($C55=0,"",SUMIFS(INPUT_DATA!AY:AY,INPUT_DATA!$A:$A,$C55,INPUT_DATA!$C:$C,"D"))</f>
        <v/>
      </c>
      <c r="AD55" s="774" t="str">
        <f>IF($C55=0,"",SUMIFS(INPUT_DATA!AZ:AZ,INPUT_DATA!$A:$A,$C55,INPUT_DATA!$C:$C,"D"))</f>
        <v/>
      </c>
      <c r="AE55" s="774" t="str">
        <f>IF($C55=0,"",SUMIFS(INPUT_DATA!BA:BA,INPUT_DATA!$A:$A,$C55,INPUT_DATA!$C:$C,"D"))</f>
        <v/>
      </c>
      <c r="AF55" s="774" t="str">
        <f>IF($C55=0,"",SUMIFS(INPUT_DATA!BB:BB,INPUT_DATA!$A:$A,$C55,INPUT_DATA!$C:$C,"D"))</f>
        <v/>
      </c>
      <c r="AG55" s="774" t="str">
        <f>IF($C55=0,"",SUMIFS(INPUT_DATA!BC:BC,INPUT_DATA!$A:$A,$C55,INPUT_DATA!$C:$C,"D"))</f>
        <v/>
      </c>
      <c r="AH55" s="774" t="str">
        <f>IF($C55=0,"",SUMIFS(INPUT_DATA!BD:BD,INPUT_DATA!$A:$A,$C55,INPUT_DATA!$C:$C,"D"))</f>
        <v/>
      </c>
      <c r="AI55" s="774" t="str">
        <f>IF($C55=0,"",SUMIFS(INPUT_DATA!BE:BE,INPUT_DATA!$A:$A,$C55,INPUT_DATA!$C:$C,"D"))</f>
        <v/>
      </c>
      <c r="AJ55" s="315" t="str">
        <f t="shared" si="3"/>
        <v/>
      </c>
      <c r="AK55" s="782" t="str">
        <f>IF($C55=0,"",SUMIFS(INPUT_DATA!BG:BG,INPUT_DATA!$A:$A,$C55,INPUT_DATA!$C:$C,"D"))</f>
        <v/>
      </c>
      <c r="AL55" s="782" t="str">
        <f>IF($C55=0,"",SUMIFS(INPUT_DATA!BH:BH,INPUT_DATA!$A:$A,$C55,INPUT_DATA!$C:$C,"D"))</f>
        <v/>
      </c>
      <c r="AM55" s="782" t="str">
        <f>IF($C55=0,"",SUMIFS(INPUT_DATA!BI:BI,INPUT_DATA!$A:$A,$C55,INPUT_DATA!$C:$C,"D"))</f>
        <v/>
      </c>
      <c r="AN55" s="780" t="str">
        <f t="shared" si="7"/>
        <v/>
      </c>
      <c r="AO55" s="785" t="str">
        <f>IF($C55=0,"",SUMIFS(INPUT_DATA!BK:BK,INPUT_DATA!$A:$A,$C55,INPUT_DATA!$C:$C,"D"))</f>
        <v/>
      </c>
      <c r="AP55" s="355" t="str">
        <f t="shared" si="8"/>
        <v/>
      </c>
      <c r="AQ55" s="149"/>
      <c r="AS55" s="355" t="str">
        <f t="shared" si="9"/>
        <v/>
      </c>
      <c r="AU55" s="391" t="str">
        <f>IF($C55=0,"",'03 - Monthly Asset Follow up'!E59+'03 - Monthly Asset Follow up'!F59-'03 - Monthly Asset Follow up'!U59+'03 - Monthly Asset Follow up'!X59-H55)</f>
        <v/>
      </c>
      <c r="AV55" s="391" t="str">
        <f>IF($C55=0,"",'03 - Monthly Asset Follow up'!BD59+'03 - Monthly Asset Follow up'!BE59-'03 - Monthly Asset Follow up'!BT59+'03 - Monthly Asset Follow up'!BW59)</f>
        <v/>
      </c>
      <c r="AX55" s="154"/>
    </row>
    <row r="56" spans="2:50" ht="13" x14ac:dyDescent="0.3">
      <c r="B56" s="766" t="str">
        <f t="shared" si="4"/>
        <v/>
      </c>
      <c r="C56" s="769">
        <f>'03 - Monthly Asset Follow up'!B60</f>
        <v>0</v>
      </c>
      <c r="D56" s="149"/>
      <c r="E56" s="762" t="str">
        <f>IF($C56=0,"",SUMIFS(INPUT_DATA!AU:AU,INPUT_DATA!$A:$A,$C56,INPUT_DATA!$C:$C,"S"))</f>
        <v/>
      </c>
      <c r="F56" s="774" t="str">
        <f>IF($C56=0,"",SUMIFS(INPUT_DATA!AV:AV,INPUT_DATA!$A:$A,$C56,INPUT_DATA!$C:$C,"S"))</f>
        <v/>
      </c>
      <c r="G56" s="774" t="str">
        <f>IF($C56=0,"",SUMIFS(INPUT_DATA!AW:AW,INPUT_DATA!$A:$A,$C56,INPUT_DATA!$C:$C,"S"))</f>
        <v/>
      </c>
      <c r="H56" s="776" t="str">
        <f t="shared" si="0"/>
        <v/>
      </c>
      <c r="I56" s="774" t="str">
        <f>IF($C56=0,"",SUMIFS(INPUT_DATA!AY:AY,INPUT_DATA!$A:$A,$C56,INPUT_DATA!$C:$C,"S"))</f>
        <v/>
      </c>
      <c r="J56" s="774" t="str">
        <f>IF($C56=0,"",SUMIFS(INPUT_DATA!AZ:AZ,INPUT_DATA!$A:$A,$C56,INPUT_DATA!$C:$C,"S"))</f>
        <v/>
      </c>
      <c r="K56" s="774" t="str">
        <f>IF($C56=0,"",SUMIFS(INPUT_DATA!BA:BA,INPUT_DATA!$A:$A,$C56,INPUT_DATA!$C:$C,"S"))</f>
        <v/>
      </c>
      <c r="L56" s="774" t="str">
        <f>IF($C56=0,"",SUMIFS(INPUT_DATA!BB:BB,INPUT_DATA!$A:$A,$C56,INPUT_DATA!$C:$C,"S"))</f>
        <v/>
      </c>
      <c r="M56" s="774" t="str">
        <f>IF($C56=0,"",SUMIFS(INPUT_DATA!BC:BC,INPUT_DATA!$A:$A,$C56,INPUT_DATA!$C:$C,"S"))</f>
        <v/>
      </c>
      <c r="N56" s="774" t="str">
        <f>IF($C56=0,"",SUMIFS(INPUT_DATA!BD:BD,INPUT_DATA!$A:$A,$C56,INPUT_DATA!$C:$C,"S"))</f>
        <v/>
      </c>
      <c r="O56" s="774" t="str">
        <f>IF($C56=0,"",SUMIFS(INPUT_DATA!BE:BE,INPUT_DATA!$A:$A,$C56,INPUT_DATA!$C:$C,"S"))</f>
        <v/>
      </c>
      <c r="P56" s="774" t="str">
        <f>IF($C56=0,"",SUMIFS(INPUT_DATA!BF:BF,INPUT_DATA!$A:$A,$C56,INPUT_DATA!$C:$C,"S"))</f>
        <v/>
      </c>
      <c r="Q56" s="780" t="str">
        <f t="shared" si="5"/>
        <v/>
      </c>
      <c r="R56" s="782" t="str">
        <f>IF($C56=0,"",SUMIFS(INPUT_DATA!BH:BH,INPUT_DATA!$A:$A,$C56,INPUT_DATA!$C:$C,"S"))</f>
        <v/>
      </c>
      <c r="S56" s="782" t="str">
        <f>IF($C56=0,"",SUMIFS(INPUT_DATA!BI:BI,INPUT_DATA!$A:$A,$C56,INPUT_DATA!$C:$C,"S"))</f>
        <v/>
      </c>
      <c r="T56" s="780" t="str">
        <f t="shared" si="6"/>
        <v/>
      </c>
      <c r="U56" s="785" t="str">
        <f>IF($C56=0,"",SUMIFS(INPUT_DATA!BL:BL,INPUT_DATA!$A:$A,$C56,INPUT_DATA!$C:$C,"S"))</f>
        <v/>
      </c>
      <c r="V56" s="155" t="str">
        <f t="shared" si="1"/>
        <v/>
      </c>
      <c r="W56" s="149"/>
      <c r="X56" s="762" t="str">
        <f>IF($C56=0,"",SUMIFS(INPUT_DATA!AU:AU,INPUT_DATA!$A:$A,$C56,INPUT_DATA!$C:$C,"D"))</f>
        <v/>
      </c>
      <c r="Y56" s="774" t="str">
        <f>IF($C56=0,"",SUMIFS(INPUT_DATA!AV:AV,INPUT_DATA!$A:$A,$C56,INPUT_DATA!$C:$C,"D"))</f>
        <v/>
      </c>
      <c r="Z56" s="774" t="str">
        <f>IF($C56=0,"",SUMIFS(INPUT_DATA!AW:AW,INPUT_DATA!$A:$A,$C56,INPUT_DATA!$C:$C,"D"))</f>
        <v/>
      </c>
      <c r="AA56" s="775" t="str">
        <f t="shared" si="2"/>
        <v/>
      </c>
      <c r="AB56" s="774" t="str">
        <f>IF($C56=0,"",SUMIFS(INPUT_DATA!AX:AX,INPUT_DATA!$A:$A,$C56,INPUT_DATA!$C:$C,"D"))</f>
        <v/>
      </c>
      <c r="AC56" s="774" t="str">
        <f>IF($C56=0,"",SUMIFS(INPUT_DATA!AY:AY,INPUT_DATA!$A:$A,$C56,INPUT_DATA!$C:$C,"D"))</f>
        <v/>
      </c>
      <c r="AD56" s="774" t="str">
        <f>IF($C56=0,"",SUMIFS(INPUT_DATA!AZ:AZ,INPUT_DATA!$A:$A,$C56,INPUT_DATA!$C:$C,"D"))</f>
        <v/>
      </c>
      <c r="AE56" s="774" t="str">
        <f>IF($C56=0,"",SUMIFS(INPUT_DATA!BA:BA,INPUT_DATA!$A:$A,$C56,INPUT_DATA!$C:$C,"D"))</f>
        <v/>
      </c>
      <c r="AF56" s="774" t="str">
        <f>IF($C56=0,"",SUMIFS(INPUT_DATA!BB:BB,INPUT_DATA!$A:$A,$C56,INPUT_DATA!$C:$C,"D"))</f>
        <v/>
      </c>
      <c r="AG56" s="774" t="str">
        <f>IF($C56=0,"",SUMIFS(INPUT_DATA!BC:BC,INPUT_DATA!$A:$A,$C56,INPUT_DATA!$C:$C,"D"))</f>
        <v/>
      </c>
      <c r="AH56" s="774" t="str">
        <f>IF($C56=0,"",SUMIFS(INPUT_DATA!BD:BD,INPUT_DATA!$A:$A,$C56,INPUT_DATA!$C:$C,"D"))</f>
        <v/>
      </c>
      <c r="AI56" s="774" t="str">
        <f>IF($C56=0,"",SUMIFS(INPUT_DATA!BE:BE,INPUT_DATA!$A:$A,$C56,INPUT_DATA!$C:$C,"D"))</f>
        <v/>
      </c>
      <c r="AJ56" s="315" t="str">
        <f t="shared" si="3"/>
        <v/>
      </c>
      <c r="AK56" s="782" t="str">
        <f>IF($C56=0,"",SUMIFS(INPUT_DATA!BG:BG,INPUT_DATA!$A:$A,$C56,INPUT_DATA!$C:$C,"D"))</f>
        <v/>
      </c>
      <c r="AL56" s="782" t="str">
        <f>IF($C56=0,"",SUMIFS(INPUT_DATA!BH:BH,INPUT_DATA!$A:$A,$C56,INPUT_DATA!$C:$C,"D"))</f>
        <v/>
      </c>
      <c r="AM56" s="782" t="str">
        <f>IF($C56=0,"",SUMIFS(INPUT_DATA!BI:BI,INPUT_DATA!$A:$A,$C56,INPUT_DATA!$C:$C,"D"))</f>
        <v/>
      </c>
      <c r="AN56" s="780" t="str">
        <f t="shared" si="7"/>
        <v/>
      </c>
      <c r="AO56" s="785" t="str">
        <f>IF($C56=0,"",SUMIFS(INPUT_DATA!BK:BK,INPUT_DATA!$A:$A,$C56,INPUT_DATA!$C:$C,"D"))</f>
        <v/>
      </c>
      <c r="AP56" s="355" t="str">
        <f t="shared" si="8"/>
        <v/>
      </c>
      <c r="AQ56" s="149"/>
      <c r="AS56" s="355" t="str">
        <f t="shared" si="9"/>
        <v/>
      </c>
      <c r="AU56" s="391" t="str">
        <f>IF($C56=0,"",'03 - Monthly Asset Follow up'!E60+'03 - Monthly Asset Follow up'!F60-'03 - Monthly Asset Follow up'!U60+'03 - Monthly Asset Follow up'!X60-H56)</f>
        <v/>
      </c>
      <c r="AV56" s="391" t="str">
        <f>IF($C56=0,"",'03 - Monthly Asset Follow up'!BD60+'03 - Monthly Asset Follow up'!BE60-'03 - Monthly Asset Follow up'!BT60+'03 - Monthly Asset Follow up'!BW60)</f>
        <v/>
      </c>
      <c r="AX56" s="154"/>
    </row>
    <row r="57" spans="2:50" ht="13" x14ac:dyDescent="0.3">
      <c r="B57" s="766" t="str">
        <f t="shared" si="4"/>
        <v/>
      </c>
      <c r="C57" s="769">
        <f>'03 - Monthly Asset Follow up'!B61</f>
        <v>0</v>
      </c>
      <c r="D57" s="149"/>
      <c r="E57" s="762" t="str">
        <f>IF($C57=0,"",SUMIFS(INPUT_DATA!AU:AU,INPUT_DATA!$A:$A,$C57,INPUT_DATA!$C:$C,"S"))</f>
        <v/>
      </c>
      <c r="F57" s="774" t="str">
        <f>IF($C57=0,"",SUMIFS(INPUT_DATA!AV:AV,INPUT_DATA!$A:$A,$C57,INPUT_DATA!$C:$C,"S"))</f>
        <v/>
      </c>
      <c r="G57" s="774" t="str">
        <f>IF($C57=0,"",SUMIFS(INPUT_DATA!AW:AW,INPUT_DATA!$A:$A,$C57,INPUT_DATA!$C:$C,"S"))</f>
        <v/>
      </c>
      <c r="H57" s="776" t="str">
        <f t="shared" si="0"/>
        <v/>
      </c>
      <c r="I57" s="774" t="str">
        <f>IF($C57=0,"",SUMIFS(INPUT_DATA!AY:AY,INPUT_DATA!$A:$A,$C57,INPUT_DATA!$C:$C,"S"))</f>
        <v/>
      </c>
      <c r="J57" s="774" t="str">
        <f>IF($C57=0,"",SUMIFS(INPUT_DATA!AZ:AZ,INPUT_DATA!$A:$A,$C57,INPUT_DATA!$C:$C,"S"))</f>
        <v/>
      </c>
      <c r="K57" s="774" t="str">
        <f>IF($C57=0,"",SUMIFS(INPUT_DATA!BA:BA,INPUT_DATA!$A:$A,$C57,INPUT_DATA!$C:$C,"S"))</f>
        <v/>
      </c>
      <c r="L57" s="774" t="str">
        <f>IF($C57=0,"",SUMIFS(INPUT_DATA!BB:BB,INPUT_DATA!$A:$A,$C57,INPUT_DATA!$C:$C,"S"))</f>
        <v/>
      </c>
      <c r="M57" s="774" t="str">
        <f>IF($C57=0,"",SUMIFS(INPUT_DATA!BC:BC,INPUT_DATA!$A:$A,$C57,INPUT_DATA!$C:$C,"S"))</f>
        <v/>
      </c>
      <c r="N57" s="774" t="str">
        <f>IF($C57=0,"",SUMIFS(INPUT_DATA!BD:BD,INPUT_DATA!$A:$A,$C57,INPUT_DATA!$C:$C,"S"))</f>
        <v/>
      </c>
      <c r="O57" s="774" t="str">
        <f>IF($C57=0,"",SUMIFS(INPUT_DATA!BE:BE,INPUT_DATA!$A:$A,$C57,INPUT_DATA!$C:$C,"S"))</f>
        <v/>
      </c>
      <c r="P57" s="774" t="str">
        <f>IF($C57=0,"",SUMIFS(INPUT_DATA!BF:BF,INPUT_DATA!$A:$A,$C57,INPUT_DATA!$C:$C,"S"))</f>
        <v/>
      </c>
      <c r="Q57" s="780" t="str">
        <f t="shared" si="5"/>
        <v/>
      </c>
      <c r="R57" s="782" t="str">
        <f>IF($C57=0,"",SUMIFS(INPUT_DATA!BH:BH,INPUT_DATA!$A:$A,$C57,INPUT_DATA!$C:$C,"S"))</f>
        <v/>
      </c>
      <c r="S57" s="782" t="str">
        <f>IF($C57=0,"",SUMIFS(INPUT_DATA!BI:BI,INPUT_DATA!$A:$A,$C57,INPUT_DATA!$C:$C,"S"))</f>
        <v/>
      </c>
      <c r="T57" s="780" t="str">
        <f t="shared" si="6"/>
        <v/>
      </c>
      <c r="U57" s="785" t="str">
        <f>IF($C57=0,"",SUMIFS(INPUT_DATA!BL:BL,INPUT_DATA!$A:$A,$C57,INPUT_DATA!$C:$C,"S"))</f>
        <v/>
      </c>
      <c r="V57" s="155" t="str">
        <f t="shared" si="1"/>
        <v/>
      </c>
      <c r="W57" s="149"/>
      <c r="X57" s="762" t="str">
        <f>IF($C57=0,"",SUMIFS(INPUT_DATA!AU:AU,INPUT_DATA!$A:$A,$C57,INPUT_DATA!$C:$C,"D"))</f>
        <v/>
      </c>
      <c r="Y57" s="774" t="str">
        <f>IF($C57=0,"",SUMIFS(INPUT_DATA!AV:AV,INPUT_DATA!$A:$A,$C57,INPUT_DATA!$C:$C,"D"))</f>
        <v/>
      </c>
      <c r="Z57" s="774" t="str">
        <f>IF($C57=0,"",SUMIFS(INPUT_DATA!AW:AW,INPUT_DATA!$A:$A,$C57,INPUT_DATA!$C:$C,"D"))</f>
        <v/>
      </c>
      <c r="AA57" s="775" t="str">
        <f t="shared" si="2"/>
        <v/>
      </c>
      <c r="AB57" s="774" t="str">
        <f>IF($C57=0,"",SUMIFS(INPUT_DATA!AX:AX,INPUT_DATA!$A:$A,$C57,INPUT_DATA!$C:$C,"D"))</f>
        <v/>
      </c>
      <c r="AC57" s="774" t="str">
        <f>IF($C57=0,"",SUMIFS(INPUT_DATA!AY:AY,INPUT_DATA!$A:$A,$C57,INPUT_DATA!$C:$C,"D"))</f>
        <v/>
      </c>
      <c r="AD57" s="774" t="str">
        <f>IF($C57=0,"",SUMIFS(INPUT_DATA!AZ:AZ,INPUT_DATA!$A:$A,$C57,INPUT_DATA!$C:$C,"D"))</f>
        <v/>
      </c>
      <c r="AE57" s="774" t="str">
        <f>IF($C57=0,"",SUMIFS(INPUT_DATA!BA:BA,INPUT_DATA!$A:$A,$C57,INPUT_DATA!$C:$C,"D"))</f>
        <v/>
      </c>
      <c r="AF57" s="774" t="str">
        <f>IF($C57=0,"",SUMIFS(INPUT_DATA!BB:BB,INPUT_DATA!$A:$A,$C57,INPUT_DATA!$C:$C,"D"))</f>
        <v/>
      </c>
      <c r="AG57" s="774" t="str">
        <f>IF($C57=0,"",SUMIFS(INPUT_DATA!BC:BC,INPUT_DATA!$A:$A,$C57,INPUT_DATA!$C:$C,"D"))</f>
        <v/>
      </c>
      <c r="AH57" s="774" t="str">
        <f>IF($C57=0,"",SUMIFS(INPUT_DATA!BD:BD,INPUT_DATA!$A:$A,$C57,INPUT_DATA!$C:$C,"D"))</f>
        <v/>
      </c>
      <c r="AI57" s="774" t="str">
        <f>IF($C57=0,"",SUMIFS(INPUT_DATA!BE:BE,INPUT_DATA!$A:$A,$C57,INPUT_DATA!$C:$C,"D"))</f>
        <v/>
      </c>
      <c r="AJ57" s="315" t="str">
        <f t="shared" si="3"/>
        <v/>
      </c>
      <c r="AK57" s="782" t="str">
        <f>IF($C57=0,"",SUMIFS(INPUT_DATA!BG:BG,INPUT_DATA!$A:$A,$C57,INPUT_DATA!$C:$C,"D"))</f>
        <v/>
      </c>
      <c r="AL57" s="782" t="str">
        <f>IF($C57=0,"",SUMIFS(INPUT_DATA!BH:BH,INPUT_DATA!$A:$A,$C57,INPUT_DATA!$C:$C,"D"))</f>
        <v/>
      </c>
      <c r="AM57" s="782" t="str">
        <f>IF($C57=0,"",SUMIFS(INPUT_DATA!BI:BI,INPUT_DATA!$A:$A,$C57,INPUT_DATA!$C:$C,"D"))</f>
        <v/>
      </c>
      <c r="AN57" s="780" t="str">
        <f t="shared" si="7"/>
        <v/>
      </c>
      <c r="AO57" s="785" t="str">
        <f>IF($C57=0,"",SUMIFS(INPUT_DATA!BK:BK,INPUT_DATA!$A:$A,$C57,INPUT_DATA!$C:$C,"D"))</f>
        <v/>
      </c>
      <c r="AP57" s="355" t="str">
        <f t="shared" si="8"/>
        <v/>
      </c>
      <c r="AQ57" s="149"/>
      <c r="AS57" s="355" t="str">
        <f t="shared" si="9"/>
        <v/>
      </c>
      <c r="AU57" s="391" t="str">
        <f>IF($C57=0,"",'03 - Monthly Asset Follow up'!E61+'03 - Monthly Asset Follow up'!F61-'03 - Monthly Asset Follow up'!U61+'03 - Monthly Asset Follow up'!X61-H57)</f>
        <v/>
      </c>
      <c r="AV57" s="391" t="str">
        <f>IF($C57=0,"",'03 - Monthly Asset Follow up'!BD61+'03 - Monthly Asset Follow up'!BE61-'03 - Monthly Asset Follow up'!BT61+'03 - Monthly Asset Follow up'!BW61)</f>
        <v/>
      </c>
      <c r="AX57" s="154"/>
    </row>
    <row r="58" spans="2:50" ht="13" x14ac:dyDescent="0.3">
      <c r="B58" s="766" t="str">
        <f t="shared" si="4"/>
        <v/>
      </c>
      <c r="C58" s="769">
        <f>'03 - Monthly Asset Follow up'!B62</f>
        <v>0</v>
      </c>
      <c r="D58" s="149"/>
      <c r="E58" s="762" t="str">
        <f>IF($C58=0,"",SUMIFS(INPUT_DATA!AU:AU,INPUT_DATA!$A:$A,$C58,INPUT_DATA!$C:$C,"S"))</f>
        <v/>
      </c>
      <c r="F58" s="774" t="str">
        <f>IF($C58=0,"",SUMIFS(INPUT_DATA!AV:AV,INPUT_DATA!$A:$A,$C58,INPUT_DATA!$C:$C,"S"))</f>
        <v/>
      </c>
      <c r="G58" s="774" t="str">
        <f>IF($C58=0,"",SUMIFS(INPUT_DATA!AW:AW,INPUT_DATA!$A:$A,$C58,INPUT_DATA!$C:$C,"S"))</f>
        <v/>
      </c>
      <c r="H58" s="776" t="str">
        <f t="shared" si="0"/>
        <v/>
      </c>
      <c r="I58" s="774" t="str">
        <f>IF($C58=0,"",SUMIFS(INPUT_DATA!AY:AY,INPUT_DATA!$A:$A,$C58,INPUT_DATA!$C:$C,"S"))</f>
        <v/>
      </c>
      <c r="J58" s="774" t="str">
        <f>IF($C58=0,"",SUMIFS(INPUT_DATA!AZ:AZ,INPUT_DATA!$A:$A,$C58,INPUT_DATA!$C:$C,"S"))</f>
        <v/>
      </c>
      <c r="K58" s="774" t="str">
        <f>IF($C58=0,"",SUMIFS(INPUT_DATA!BA:BA,INPUT_DATA!$A:$A,$C58,INPUT_DATA!$C:$C,"S"))</f>
        <v/>
      </c>
      <c r="L58" s="774" t="str">
        <f>IF($C58=0,"",SUMIFS(INPUT_DATA!BB:BB,INPUT_DATA!$A:$A,$C58,INPUT_DATA!$C:$C,"S"))</f>
        <v/>
      </c>
      <c r="M58" s="774" t="str">
        <f>IF($C58=0,"",SUMIFS(INPUT_DATA!BC:BC,INPUT_DATA!$A:$A,$C58,INPUT_DATA!$C:$C,"S"))</f>
        <v/>
      </c>
      <c r="N58" s="774" t="str">
        <f>IF($C58=0,"",SUMIFS(INPUT_DATA!BD:BD,INPUT_DATA!$A:$A,$C58,INPUT_DATA!$C:$C,"S"))</f>
        <v/>
      </c>
      <c r="O58" s="774" t="str">
        <f>IF($C58=0,"",SUMIFS(INPUT_DATA!BE:BE,INPUT_DATA!$A:$A,$C58,INPUT_DATA!$C:$C,"S"))</f>
        <v/>
      </c>
      <c r="P58" s="774" t="str">
        <f>IF($C58=0,"",SUMIFS(INPUT_DATA!BF:BF,INPUT_DATA!$A:$A,$C58,INPUT_DATA!$C:$C,"S"))</f>
        <v/>
      </c>
      <c r="Q58" s="780" t="str">
        <f t="shared" si="5"/>
        <v/>
      </c>
      <c r="R58" s="782" t="str">
        <f>IF($C58=0,"",SUMIFS(INPUT_DATA!BH:BH,INPUT_DATA!$A:$A,$C58,INPUT_DATA!$C:$C,"S"))</f>
        <v/>
      </c>
      <c r="S58" s="782" t="str">
        <f>IF($C58=0,"",SUMIFS(INPUT_DATA!BI:BI,INPUT_DATA!$A:$A,$C58,INPUT_DATA!$C:$C,"S"))</f>
        <v/>
      </c>
      <c r="T58" s="780" t="str">
        <f t="shared" si="6"/>
        <v/>
      </c>
      <c r="U58" s="785" t="str">
        <f>IF($C58=0,"",SUMIFS(INPUT_DATA!BL:BL,INPUT_DATA!$A:$A,$C58,INPUT_DATA!$C:$C,"S"))</f>
        <v/>
      </c>
      <c r="V58" s="155" t="str">
        <f t="shared" si="1"/>
        <v/>
      </c>
      <c r="W58" s="149"/>
      <c r="X58" s="762" t="str">
        <f>IF($C58=0,"",SUMIFS(INPUT_DATA!AU:AU,INPUT_DATA!$A:$A,$C58,INPUT_DATA!$C:$C,"D"))</f>
        <v/>
      </c>
      <c r="Y58" s="774" t="str">
        <f>IF($C58=0,"",SUMIFS(INPUT_DATA!AV:AV,INPUT_DATA!$A:$A,$C58,INPUT_DATA!$C:$C,"D"))</f>
        <v/>
      </c>
      <c r="Z58" s="774" t="str">
        <f>IF($C58=0,"",SUMIFS(INPUT_DATA!AW:AW,INPUT_DATA!$A:$A,$C58,INPUT_DATA!$C:$C,"D"))</f>
        <v/>
      </c>
      <c r="AA58" s="775" t="str">
        <f t="shared" si="2"/>
        <v/>
      </c>
      <c r="AB58" s="774" t="str">
        <f>IF($C58=0,"",SUMIFS(INPUT_DATA!AX:AX,INPUT_DATA!$A:$A,$C58,INPUT_DATA!$C:$C,"D"))</f>
        <v/>
      </c>
      <c r="AC58" s="774" t="str">
        <f>IF($C58=0,"",SUMIFS(INPUT_DATA!AY:AY,INPUT_DATA!$A:$A,$C58,INPUT_DATA!$C:$C,"D"))</f>
        <v/>
      </c>
      <c r="AD58" s="774" t="str">
        <f>IF($C58=0,"",SUMIFS(INPUT_DATA!AZ:AZ,INPUT_DATA!$A:$A,$C58,INPUT_DATA!$C:$C,"D"))</f>
        <v/>
      </c>
      <c r="AE58" s="774" t="str">
        <f>IF($C58=0,"",SUMIFS(INPUT_DATA!BA:BA,INPUT_DATA!$A:$A,$C58,INPUT_DATA!$C:$C,"D"))</f>
        <v/>
      </c>
      <c r="AF58" s="774" t="str">
        <f>IF($C58=0,"",SUMIFS(INPUT_DATA!BB:BB,INPUT_DATA!$A:$A,$C58,INPUT_DATA!$C:$C,"D"))</f>
        <v/>
      </c>
      <c r="AG58" s="774" t="str">
        <f>IF($C58=0,"",SUMIFS(INPUT_DATA!BC:BC,INPUT_DATA!$A:$A,$C58,INPUT_DATA!$C:$C,"D"))</f>
        <v/>
      </c>
      <c r="AH58" s="774" t="str">
        <f>IF($C58=0,"",SUMIFS(INPUT_DATA!BD:BD,INPUT_DATA!$A:$A,$C58,INPUT_DATA!$C:$C,"D"))</f>
        <v/>
      </c>
      <c r="AI58" s="774" t="str">
        <f>IF($C58=0,"",SUMIFS(INPUT_DATA!BE:BE,INPUT_DATA!$A:$A,$C58,INPUT_DATA!$C:$C,"D"))</f>
        <v/>
      </c>
      <c r="AJ58" s="315" t="str">
        <f t="shared" si="3"/>
        <v/>
      </c>
      <c r="AK58" s="782" t="str">
        <f>IF($C58=0,"",SUMIFS(INPUT_DATA!BG:BG,INPUT_DATA!$A:$A,$C58,INPUT_DATA!$C:$C,"D"))</f>
        <v/>
      </c>
      <c r="AL58" s="782" t="str">
        <f>IF($C58=0,"",SUMIFS(INPUT_DATA!BH:BH,INPUT_DATA!$A:$A,$C58,INPUT_DATA!$C:$C,"D"))</f>
        <v/>
      </c>
      <c r="AM58" s="782" t="str">
        <f>IF($C58=0,"",SUMIFS(INPUT_DATA!BI:BI,INPUT_DATA!$A:$A,$C58,INPUT_DATA!$C:$C,"D"))</f>
        <v/>
      </c>
      <c r="AN58" s="780" t="str">
        <f t="shared" si="7"/>
        <v/>
      </c>
      <c r="AO58" s="785" t="str">
        <f>IF($C58=0,"",SUMIFS(INPUT_DATA!BK:BK,INPUT_DATA!$A:$A,$C58,INPUT_DATA!$C:$C,"D"))</f>
        <v/>
      </c>
      <c r="AP58" s="355" t="str">
        <f t="shared" si="8"/>
        <v/>
      </c>
      <c r="AQ58" s="149"/>
      <c r="AS58" s="355" t="str">
        <f t="shared" si="9"/>
        <v/>
      </c>
      <c r="AU58" s="391" t="str">
        <f>IF($C58=0,"",'03 - Monthly Asset Follow up'!E62+'03 - Monthly Asset Follow up'!F62-'03 - Monthly Asset Follow up'!U62+'03 - Monthly Asset Follow up'!X62-H58)</f>
        <v/>
      </c>
      <c r="AV58" s="391" t="str">
        <f>IF($C58=0,"",'03 - Monthly Asset Follow up'!BD62+'03 - Monthly Asset Follow up'!BE62-'03 - Monthly Asset Follow up'!BT62+'03 - Monthly Asset Follow up'!BW62)</f>
        <v/>
      </c>
      <c r="AX58" s="154"/>
    </row>
    <row r="59" spans="2:50" ht="13" x14ac:dyDescent="0.3">
      <c r="B59" s="766" t="str">
        <f t="shared" si="4"/>
        <v/>
      </c>
      <c r="C59" s="769">
        <f>'03 - Monthly Asset Follow up'!B63</f>
        <v>0</v>
      </c>
      <c r="D59" s="149"/>
      <c r="E59" s="762" t="str">
        <f>IF($C59=0,"",SUMIFS(INPUT_DATA!AU:AU,INPUT_DATA!$A:$A,$C59,INPUT_DATA!$C:$C,"S"))</f>
        <v/>
      </c>
      <c r="F59" s="774" t="str">
        <f>IF($C59=0,"",SUMIFS(INPUT_DATA!AV:AV,INPUT_DATA!$A:$A,$C59,INPUT_DATA!$C:$C,"S"))</f>
        <v/>
      </c>
      <c r="G59" s="774" t="str">
        <f>IF($C59=0,"",SUMIFS(INPUT_DATA!AW:AW,INPUT_DATA!$A:$A,$C59,INPUT_DATA!$C:$C,"S"))</f>
        <v/>
      </c>
      <c r="H59" s="776" t="str">
        <f t="shared" si="0"/>
        <v/>
      </c>
      <c r="I59" s="774" t="str">
        <f>IF($C59=0,"",SUMIFS(INPUT_DATA!AY:AY,INPUT_DATA!$A:$A,$C59,INPUT_DATA!$C:$C,"S"))</f>
        <v/>
      </c>
      <c r="J59" s="774" t="str">
        <f>IF($C59=0,"",SUMIFS(INPUT_DATA!AZ:AZ,INPUT_DATA!$A:$A,$C59,INPUT_DATA!$C:$C,"S"))</f>
        <v/>
      </c>
      <c r="K59" s="774" t="str">
        <f>IF($C59=0,"",SUMIFS(INPUT_DATA!BA:BA,INPUT_DATA!$A:$A,$C59,INPUT_DATA!$C:$C,"S"))</f>
        <v/>
      </c>
      <c r="L59" s="774" t="str">
        <f>IF($C59=0,"",SUMIFS(INPUT_DATA!BB:BB,INPUT_DATA!$A:$A,$C59,INPUT_DATA!$C:$C,"S"))</f>
        <v/>
      </c>
      <c r="M59" s="774" t="str">
        <f>IF($C59=0,"",SUMIFS(INPUT_DATA!BC:BC,INPUT_DATA!$A:$A,$C59,INPUT_DATA!$C:$C,"S"))</f>
        <v/>
      </c>
      <c r="N59" s="774" t="str">
        <f>IF($C59=0,"",SUMIFS(INPUT_DATA!BD:BD,INPUT_DATA!$A:$A,$C59,INPUT_DATA!$C:$C,"S"))</f>
        <v/>
      </c>
      <c r="O59" s="774" t="str">
        <f>IF($C59=0,"",SUMIFS(INPUT_DATA!BE:BE,INPUT_DATA!$A:$A,$C59,INPUT_DATA!$C:$C,"S"))</f>
        <v/>
      </c>
      <c r="P59" s="774" t="str">
        <f>IF($C59=0,"",SUMIFS(INPUT_DATA!BF:BF,INPUT_DATA!$A:$A,$C59,INPUT_DATA!$C:$C,"S"))</f>
        <v/>
      </c>
      <c r="Q59" s="780" t="str">
        <f t="shared" si="5"/>
        <v/>
      </c>
      <c r="R59" s="782" t="str">
        <f>IF($C59=0,"",SUMIFS(INPUT_DATA!BH:BH,INPUT_DATA!$A:$A,$C59,INPUT_DATA!$C:$C,"S"))</f>
        <v/>
      </c>
      <c r="S59" s="782" t="str">
        <f>IF($C59=0,"",SUMIFS(INPUT_DATA!BI:BI,INPUT_DATA!$A:$A,$C59,INPUT_DATA!$C:$C,"S"))</f>
        <v/>
      </c>
      <c r="T59" s="780" t="str">
        <f t="shared" si="6"/>
        <v/>
      </c>
      <c r="U59" s="785" t="str">
        <f>IF($C59=0,"",SUMIFS(INPUT_DATA!BL:BL,INPUT_DATA!$A:$A,$C59,INPUT_DATA!$C:$C,"S"))</f>
        <v/>
      </c>
      <c r="V59" s="155" t="str">
        <f t="shared" si="1"/>
        <v/>
      </c>
      <c r="W59" s="149"/>
      <c r="X59" s="762" t="str">
        <f>IF($C59=0,"",SUMIFS(INPUT_DATA!AU:AU,INPUT_DATA!$A:$A,$C59,INPUT_DATA!$C:$C,"D"))</f>
        <v/>
      </c>
      <c r="Y59" s="774" t="str">
        <f>IF($C59=0,"",SUMIFS(INPUT_DATA!AV:AV,INPUT_DATA!$A:$A,$C59,INPUT_DATA!$C:$C,"D"))</f>
        <v/>
      </c>
      <c r="Z59" s="774" t="str">
        <f>IF($C59=0,"",SUMIFS(INPUT_DATA!AW:AW,INPUT_DATA!$A:$A,$C59,INPUT_DATA!$C:$C,"D"))</f>
        <v/>
      </c>
      <c r="AA59" s="775" t="str">
        <f t="shared" si="2"/>
        <v/>
      </c>
      <c r="AB59" s="774" t="str">
        <f>IF($C59=0,"",SUMIFS(INPUT_DATA!AX:AX,INPUT_DATA!$A:$A,$C59,INPUT_DATA!$C:$C,"D"))</f>
        <v/>
      </c>
      <c r="AC59" s="774" t="str">
        <f>IF($C59=0,"",SUMIFS(INPUT_DATA!AY:AY,INPUT_DATA!$A:$A,$C59,INPUT_DATA!$C:$C,"D"))</f>
        <v/>
      </c>
      <c r="AD59" s="774" t="str">
        <f>IF($C59=0,"",SUMIFS(INPUT_DATA!AZ:AZ,INPUT_DATA!$A:$A,$C59,INPUT_DATA!$C:$C,"D"))</f>
        <v/>
      </c>
      <c r="AE59" s="774" t="str">
        <f>IF($C59=0,"",SUMIFS(INPUT_DATA!BA:BA,INPUT_DATA!$A:$A,$C59,INPUT_DATA!$C:$C,"D"))</f>
        <v/>
      </c>
      <c r="AF59" s="774" t="str">
        <f>IF($C59=0,"",SUMIFS(INPUT_DATA!BB:BB,INPUT_DATA!$A:$A,$C59,INPUT_DATA!$C:$C,"D"))</f>
        <v/>
      </c>
      <c r="AG59" s="774" t="str">
        <f>IF($C59=0,"",SUMIFS(INPUT_DATA!BC:BC,INPUT_DATA!$A:$A,$C59,INPUT_DATA!$C:$C,"D"))</f>
        <v/>
      </c>
      <c r="AH59" s="774" t="str">
        <f>IF($C59=0,"",SUMIFS(INPUT_DATA!BD:BD,INPUT_DATA!$A:$A,$C59,INPUT_DATA!$C:$C,"D"))</f>
        <v/>
      </c>
      <c r="AI59" s="774" t="str">
        <f>IF($C59=0,"",SUMIFS(INPUT_DATA!BE:BE,INPUT_DATA!$A:$A,$C59,INPUT_DATA!$C:$C,"D"))</f>
        <v/>
      </c>
      <c r="AJ59" s="315" t="str">
        <f t="shared" si="3"/>
        <v/>
      </c>
      <c r="AK59" s="782" t="str">
        <f>IF($C59=0,"",SUMIFS(INPUT_DATA!BG:BG,INPUT_DATA!$A:$A,$C59,INPUT_DATA!$C:$C,"D"))</f>
        <v/>
      </c>
      <c r="AL59" s="782" t="str">
        <f>IF($C59=0,"",SUMIFS(INPUT_DATA!BH:BH,INPUT_DATA!$A:$A,$C59,INPUT_DATA!$C:$C,"D"))</f>
        <v/>
      </c>
      <c r="AM59" s="782" t="str">
        <f>IF($C59=0,"",SUMIFS(INPUT_DATA!BI:BI,INPUT_DATA!$A:$A,$C59,INPUT_DATA!$C:$C,"D"))</f>
        <v/>
      </c>
      <c r="AN59" s="780" t="str">
        <f t="shared" si="7"/>
        <v/>
      </c>
      <c r="AO59" s="785" t="str">
        <f>IF($C59=0,"",SUMIFS(INPUT_DATA!BK:BK,INPUT_DATA!$A:$A,$C59,INPUT_DATA!$C:$C,"D"))</f>
        <v/>
      </c>
      <c r="AP59" s="355" t="str">
        <f t="shared" si="8"/>
        <v/>
      </c>
      <c r="AQ59" s="149"/>
      <c r="AS59" s="355" t="str">
        <f t="shared" si="9"/>
        <v/>
      </c>
      <c r="AU59" s="391" t="str">
        <f>IF($C59=0,"",'03 - Monthly Asset Follow up'!E63+'03 - Monthly Asset Follow up'!F63-'03 - Monthly Asset Follow up'!U63+'03 - Monthly Asset Follow up'!X63-H59)</f>
        <v/>
      </c>
      <c r="AV59" s="391" t="str">
        <f>IF($C59=0,"",'03 - Monthly Asset Follow up'!BD63+'03 - Monthly Asset Follow up'!BE63-'03 - Monthly Asset Follow up'!BT63+'03 - Monthly Asset Follow up'!BW63)</f>
        <v/>
      </c>
      <c r="AX59" s="154"/>
    </row>
    <row r="60" spans="2:50" ht="13" x14ac:dyDescent="0.3">
      <c r="B60" s="766" t="str">
        <f t="shared" si="4"/>
        <v/>
      </c>
      <c r="C60" s="769">
        <f>'03 - Monthly Asset Follow up'!B64</f>
        <v>0</v>
      </c>
      <c r="D60" s="149"/>
      <c r="E60" s="762" t="str">
        <f>IF($C60=0,"",SUMIFS(INPUT_DATA!AU:AU,INPUT_DATA!$A:$A,$C60,INPUT_DATA!$C:$C,"S"))</f>
        <v/>
      </c>
      <c r="F60" s="774" t="str">
        <f>IF($C60=0,"",SUMIFS(INPUT_DATA!AV:AV,INPUT_DATA!$A:$A,$C60,INPUT_DATA!$C:$C,"S"))</f>
        <v/>
      </c>
      <c r="G60" s="774" t="str">
        <f>IF($C60=0,"",SUMIFS(INPUT_DATA!AW:AW,INPUT_DATA!$A:$A,$C60,INPUT_DATA!$C:$C,"S"))</f>
        <v/>
      </c>
      <c r="H60" s="776" t="str">
        <f t="shared" si="0"/>
        <v/>
      </c>
      <c r="I60" s="774" t="str">
        <f>IF($C60=0,"",SUMIFS(INPUT_DATA!AY:AY,INPUT_DATA!$A:$A,$C60,INPUT_DATA!$C:$C,"S"))</f>
        <v/>
      </c>
      <c r="J60" s="774" t="str">
        <f>IF($C60=0,"",SUMIFS(INPUT_DATA!AZ:AZ,INPUT_DATA!$A:$A,$C60,INPUT_DATA!$C:$C,"S"))</f>
        <v/>
      </c>
      <c r="K60" s="774" t="str">
        <f>IF($C60=0,"",SUMIFS(INPUT_DATA!BA:BA,INPUT_DATA!$A:$A,$C60,INPUT_DATA!$C:$C,"S"))</f>
        <v/>
      </c>
      <c r="L60" s="774" t="str">
        <f>IF($C60=0,"",SUMIFS(INPUT_DATA!BB:BB,INPUT_DATA!$A:$A,$C60,INPUT_DATA!$C:$C,"S"))</f>
        <v/>
      </c>
      <c r="M60" s="774" t="str">
        <f>IF($C60=0,"",SUMIFS(INPUT_DATA!BC:BC,INPUT_DATA!$A:$A,$C60,INPUT_DATA!$C:$C,"S"))</f>
        <v/>
      </c>
      <c r="N60" s="774" t="str">
        <f>IF($C60=0,"",SUMIFS(INPUT_DATA!BD:BD,INPUT_DATA!$A:$A,$C60,INPUT_DATA!$C:$C,"S"))</f>
        <v/>
      </c>
      <c r="O60" s="774" t="str">
        <f>IF($C60=0,"",SUMIFS(INPUT_DATA!BE:BE,INPUT_DATA!$A:$A,$C60,INPUT_DATA!$C:$C,"S"))</f>
        <v/>
      </c>
      <c r="P60" s="774" t="str">
        <f>IF($C60=0,"",SUMIFS(INPUT_DATA!BF:BF,INPUT_DATA!$A:$A,$C60,INPUT_DATA!$C:$C,"S"))</f>
        <v/>
      </c>
      <c r="Q60" s="780" t="str">
        <f t="shared" si="5"/>
        <v/>
      </c>
      <c r="R60" s="782" t="str">
        <f>IF($C60=0,"",SUMIFS(INPUT_DATA!BH:BH,INPUT_DATA!$A:$A,$C60,INPUT_DATA!$C:$C,"S"))</f>
        <v/>
      </c>
      <c r="S60" s="782" t="str">
        <f>IF($C60=0,"",SUMIFS(INPUT_DATA!BI:BI,INPUT_DATA!$A:$A,$C60,INPUT_DATA!$C:$C,"S"))</f>
        <v/>
      </c>
      <c r="T60" s="780" t="str">
        <f t="shared" si="6"/>
        <v/>
      </c>
      <c r="U60" s="785" t="str">
        <f>IF($C60=0,"",SUMIFS(INPUT_DATA!BL:BL,INPUT_DATA!$A:$A,$C60,INPUT_DATA!$C:$C,"S"))</f>
        <v/>
      </c>
      <c r="V60" s="155" t="str">
        <f t="shared" si="1"/>
        <v/>
      </c>
      <c r="W60" s="149"/>
      <c r="X60" s="762" t="str">
        <f>IF($C60=0,"",SUMIFS(INPUT_DATA!AU:AU,INPUT_DATA!$A:$A,$C60,INPUT_DATA!$C:$C,"D"))</f>
        <v/>
      </c>
      <c r="Y60" s="774" t="str">
        <f>IF($C60=0,"",SUMIFS(INPUT_DATA!AV:AV,INPUT_DATA!$A:$A,$C60,INPUT_DATA!$C:$C,"D"))</f>
        <v/>
      </c>
      <c r="Z60" s="774" t="str">
        <f>IF($C60=0,"",SUMIFS(INPUT_DATA!AW:AW,INPUT_DATA!$A:$A,$C60,INPUT_DATA!$C:$C,"D"))</f>
        <v/>
      </c>
      <c r="AA60" s="775" t="str">
        <f t="shared" si="2"/>
        <v/>
      </c>
      <c r="AB60" s="774" t="str">
        <f>IF($C60=0,"",SUMIFS(INPUT_DATA!AX:AX,INPUT_DATA!$A:$A,$C60,INPUT_DATA!$C:$C,"D"))</f>
        <v/>
      </c>
      <c r="AC60" s="774" t="str">
        <f>IF($C60=0,"",SUMIFS(INPUT_DATA!AY:AY,INPUT_DATA!$A:$A,$C60,INPUT_DATA!$C:$C,"D"))</f>
        <v/>
      </c>
      <c r="AD60" s="774" t="str">
        <f>IF($C60=0,"",SUMIFS(INPUT_DATA!AZ:AZ,INPUT_DATA!$A:$A,$C60,INPUT_DATA!$C:$C,"D"))</f>
        <v/>
      </c>
      <c r="AE60" s="774" t="str">
        <f>IF($C60=0,"",SUMIFS(INPUT_DATA!BA:BA,INPUT_DATA!$A:$A,$C60,INPUT_DATA!$C:$C,"D"))</f>
        <v/>
      </c>
      <c r="AF60" s="774" t="str">
        <f>IF($C60=0,"",SUMIFS(INPUT_DATA!BB:BB,INPUT_DATA!$A:$A,$C60,INPUT_DATA!$C:$C,"D"))</f>
        <v/>
      </c>
      <c r="AG60" s="774" t="str">
        <f>IF($C60=0,"",SUMIFS(INPUT_DATA!BC:BC,INPUT_DATA!$A:$A,$C60,INPUT_DATA!$C:$C,"D"))</f>
        <v/>
      </c>
      <c r="AH60" s="774" t="str">
        <f>IF($C60=0,"",SUMIFS(INPUT_DATA!BD:BD,INPUT_DATA!$A:$A,$C60,INPUT_DATA!$C:$C,"D"))</f>
        <v/>
      </c>
      <c r="AI60" s="774" t="str">
        <f>IF($C60=0,"",SUMIFS(INPUT_DATA!BE:BE,INPUT_DATA!$A:$A,$C60,INPUT_DATA!$C:$C,"D"))</f>
        <v/>
      </c>
      <c r="AJ60" s="315" t="str">
        <f t="shared" si="3"/>
        <v/>
      </c>
      <c r="AK60" s="782" t="str">
        <f>IF($C60=0,"",SUMIFS(INPUT_DATA!BG:BG,INPUT_DATA!$A:$A,$C60,INPUT_DATA!$C:$C,"D"))</f>
        <v/>
      </c>
      <c r="AL60" s="782" t="str">
        <f>IF($C60=0,"",SUMIFS(INPUT_DATA!BH:BH,INPUT_DATA!$A:$A,$C60,INPUT_DATA!$C:$C,"D"))</f>
        <v/>
      </c>
      <c r="AM60" s="782" t="str">
        <f>IF($C60=0,"",SUMIFS(INPUT_DATA!BI:BI,INPUT_DATA!$A:$A,$C60,INPUT_DATA!$C:$C,"D"))</f>
        <v/>
      </c>
      <c r="AN60" s="780" t="str">
        <f t="shared" si="7"/>
        <v/>
      </c>
      <c r="AO60" s="785" t="str">
        <f>IF($C60=0,"",SUMIFS(INPUT_DATA!BK:BK,INPUT_DATA!$A:$A,$C60,INPUT_DATA!$C:$C,"D"))</f>
        <v/>
      </c>
      <c r="AP60" s="355" t="str">
        <f t="shared" si="8"/>
        <v/>
      </c>
      <c r="AQ60" s="149"/>
      <c r="AS60" s="355" t="str">
        <f t="shared" si="9"/>
        <v/>
      </c>
      <c r="AU60" s="391" t="str">
        <f>IF($C60=0,"",'03 - Monthly Asset Follow up'!E64+'03 - Monthly Asset Follow up'!F64-'03 - Monthly Asset Follow up'!U64+'03 - Monthly Asset Follow up'!X64-H60)</f>
        <v/>
      </c>
      <c r="AV60" s="391" t="str">
        <f>IF($C60=0,"",'03 - Monthly Asset Follow up'!BD64+'03 - Monthly Asset Follow up'!BE64-'03 - Monthly Asset Follow up'!BT64+'03 - Monthly Asset Follow up'!BW64)</f>
        <v/>
      </c>
      <c r="AX60" s="154"/>
    </row>
    <row r="61" spans="2:50" ht="13" x14ac:dyDescent="0.3">
      <c r="B61" s="766" t="str">
        <f t="shared" si="4"/>
        <v/>
      </c>
      <c r="C61" s="769">
        <f>'03 - Monthly Asset Follow up'!B65</f>
        <v>0</v>
      </c>
      <c r="D61" s="149"/>
      <c r="E61" s="762" t="str">
        <f>IF($C61=0,"",SUMIFS(INPUT_DATA!AU:AU,INPUT_DATA!$A:$A,$C61,INPUT_DATA!$C:$C,"S"))</f>
        <v/>
      </c>
      <c r="F61" s="774" t="str">
        <f>IF($C61=0,"",SUMIFS(INPUT_DATA!AV:AV,INPUT_DATA!$A:$A,$C61,INPUT_DATA!$C:$C,"S"))</f>
        <v/>
      </c>
      <c r="G61" s="774" t="str">
        <f>IF($C61=0,"",SUMIFS(INPUT_DATA!AW:AW,INPUT_DATA!$A:$A,$C61,INPUT_DATA!$C:$C,"S"))</f>
        <v/>
      </c>
      <c r="H61" s="776" t="str">
        <f t="shared" si="0"/>
        <v/>
      </c>
      <c r="I61" s="774" t="str">
        <f>IF($C61=0,"",SUMIFS(INPUT_DATA!AY:AY,INPUT_DATA!$A:$A,$C61,INPUT_DATA!$C:$C,"S"))</f>
        <v/>
      </c>
      <c r="J61" s="774" t="str">
        <f>IF($C61=0,"",SUMIFS(INPUT_DATA!AZ:AZ,INPUT_DATA!$A:$A,$C61,INPUT_DATA!$C:$C,"S"))</f>
        <v/>
      </c>
      <c r="K61" s="774" t="str">
        <f>IF($C61=0,"",SUMIFS(INPUT_DATA!BA:BA,INPUT_DATA!$A:$A,$C61,INPUT_DATA!$C:$C,"S"))</f>
        <v/>
      </c>
      <c r="L61" s="774" t="str">
        <f>IF($C61=0,"",SUMIFS(INPUT_DATA!BB:BB,INPUT_DATA!$A:$A,$C61,INPUT_DATA!$C:$C,"S"))</f>
        <v/>
      </c>
      <c r="M61" s="774" t="str">
        <f>IF($C61=0,"",SUMIFS(INPUT_DATA!BC:BC,INPUT_DATA!$A:$A,$C61,INPUT_DATA!$C:$C,"S"))</f>
        <v/>
      </c>
      <c r="N61" s="774" t="str">
        <f>IF($C61=0,"",SUMIFS(INPUT_DATA!BD:BD,INPUT_DATA!$A:$A,$C61,INPUT_DATA!$C:$C,"S"))</f>
        <v/>
      </c>
      <c r="O61" s="774" t="str">
        <f>IF($C61=0,"",SUMIFS(INPUT_DATA!BE:BE,INPUT_DATA!$A:$A,$C61,INPUT_DATA!$C:$C,"S"))</f>
        <v/>
      </c>
      <c r="P61" s="774" t="str">
        <f>IF($C61=0,"",SUMIFS(INPUT_DATA!BF:BF,INPUT_DATA!$A:$A,$C61,INPUT_DATA!$C:$C,"S"))</f>
        <v/>
      </c>
      <c r="Q61" s="780" t="str">
        <f t="shared" si="5"/>
        <v/>
      </c>
      <c r="R61" s="782" t="str">
        <f>IF($C61=0,"",SUMIFS(INPUT_DATA!BH:BH,INPUT_DATA!$A:$A,$C61,INPUT_DATA!$C:$C,"S"))</f>
        <v/>
      </c>
      <c r="S61" s="782" t="str">
        <f>IF($C61=0,"",SUMIFS(INPUT_DATA!BI:BI,INPUT_DATA!$A:$A,$C61,INPUT_DATA!$C:$C,"S"))</f>
        <v/>
      </c>
      <c r="T61" s="780" t="str">
        <f t="shared" si="6"/>
        <v/>
      </c>
      <c r="U61" s="785" t="str">
        <f>IF($C61=0,"",SUMIFS(INPUT_DATA!BL:BL,INPUT_DATA!$A:$A,$C61,INPUT_DATA!$C:$C,"S"))</f>
        <v/>
      </c>
      <c r="V61" s="155" t="str">
        <f t="shared" si="1"/>
        <v/>
      </c>
      <c r="W61" s="149"/>
      <c r="X61" s="762" t="str">
        <f>IF($C61=0,"",SUMIFS(INPUT_DATA!AU:AU,INPUT_DATA!$A:$A,$C61,INPUT_DATA!$C:$C,"D"))</f>
        <v/>
      </c>
      <c r="Y61" s="774" t="str">
        <f>IF($C61=0,"",SUMIFS(INPUT_DATA!AV:AV,INPUT_DATA!$A:$A,$C61,INPUT_DATA!$C:$C,"D"))</f>
        <v/>
      </c>
      <c r="Z61" s="774" t="str">
        <f>IF($C61=0,"",SUMIFS(INPUT_DATA!AW:AW,INPUT_DATA!$A:$A,$C61,INPUT_DATA!$C:$C,"D"))</f>
        <v/>
      </c>
      <c r="AA61" s="775" t="str">
        <f t="shared" si="2"/>
        <v/>
      </c>
      <c r="AB61" s="774" t="str">
        <f>IF($C61=0,"",SUMIFS(INPUT_DATA!AX:AX,INPUT_DATA!$A:$A,$C61,INPUT_DATA!$C:$C,"D"))</f>
        <v/>
      </c>
      <c r="AC61" s="774" t="str">
        <f>IF($C61=0,"",SUMIFS(INPUT_DATA!AY:AY,INPUT_DATA!$A:$A,$C61,INPUT_DATA!$C:$C,"D"))</f>
        <v/>
      </c>
      <c r="AD61" s="774" t="str">
        <f>IF($C61=0,"",SUMIFS(INPUT_DATA!AZ:AZ,INPUT_DATA!$A:$A,$C61,INPUT_DATA!$C:$C,"D"))</f>
        <v/>
      </c>
      <c r="AE61" s="774" t="str">
        <f>IF($C61=0,"",SUMIFS(INPUT_DATA!BA:BA,INPUT_DATA!$A:$A,$C61,INPUT_DATA!$C:$C,"D"))</f>
        <v/>
      </c>
      <c r="AF61" s="774" t="str">
        <f>IF($C61=0,"",SUMIFS(INPUT_DATA!BB:BB,INPUT_DATA!$A:$A,$C61,INPUT_DATA!$C:$C,"D"))</f>
        <v/>
      </c>
      <c r="AG61" s="774" t="str">
        <f>IF($C61=0,"",SUMIFS(INPUT_DATA!BC:BC,INPUT_DATA!$A:$A,$C61,INPUT_DATA!$C:$C,"D"))</f>
        <v/>
      </c>
      <c r="AH61" s="774" t="str">
        <f>IF($C61=0,"",SUMIFS(INPUT_DATA!BD:BD,INPUT_DATA!$A:$A,$C61,INPUT_DATA!$C:$C,"D"))</f>
        <v/>
      </c>
      <c r="AI61" s="774" t="str">
        <f>IF($C61=0,"",SUMIFS(INPUT_DATA!BE:BE,INPUT_DATA!$A:$A,$C61,INPUT_DATA!$C:$C,"D"))</f>
        <v/>
      </c>
      <c r="AJ61" s="315" t="str">
        <f t="shared" si="3"/>
        <v/>
      </c>
      <c r="AK61" s="782" t="str">
        <f>IF($C61=0,"",SUMIFS(INPUT_DATA!BG:BG,INPUT_DATA!$A:$A,$C61,INPUT_DATA!$C:$C,"D"))</f>
        <v/>
      </c>
      <c r="AL61" s="782" t="str">
        <f>IF($C61=0,"",SUMIFS(INPUT_DATA!BH:BH,INPUT_DATA!$A:$A,$C61,INPUT_DATA!$C:$C,"D"))</f>
        <v/>
      </c>
      <c r="AM61" s="782" t="str">
        <f>IF($C61=0,"",SUMIFS(INPUT_DATA!BI:BI,INPUT_DATA!$A:$A,$C61,INPUT_DATA!$C:$C,"D"))</f>
        <v/>
      </c>
      <c r="AN61" s="780" t="str">
        <f t="shared" si="7"/>
        <v/>
      </c>
      <c r="AO61" s="785" t="str">
        <f>IF($C61=0,"",SUMIFS(INPUT_DATA!BK:BK,INPUT_DATA!$A:$A,$C61,INPUT_DATA!$C:$C,"D"))</f>
        <v/>
      </c>
      <c r="AP61" s="355" t="str">
        <f t="shared" si="8"/>
        <v/>
      </c>
      <c r="AQ61" s="149"/>
      <c r="AS61" s="355" t="str">
        <f t="shared" si="9"/>
        <v/>
      </c>
      <c r="AU61" s="391" t="str">
        <f>IF($C61=0,"",'03 - Monthly Asset Follow up'!E65+'03 - Monthly Asset Follow up'!F65-'03 - Monthly Asset Follow up'!U65+'03 - Monthly Asset Follow up'!X65-H61)</f>
        <v/>
      </c>
      <c r="AV61" s="391" t="str">
        <f>IF($C61=0,"",'03 - Monthly Asset Follow up'!BD65+'03 - Monthly Asset Follow up'!BE65-'03 - Monthly Asset Follow up'!BT65+'03 - Monthly Asset Follow up'!BW65)</f>
        <v/>
      </c>
      <c r="AX61" s="154"/>
    </row>
    <row r="62" spans="2:50" ht="13" x14ac:dyDescent="0.3">
      <c r="B62" s="766" t="str">
        <f t="shared" si="4"/>
        <v/>
      </c>
      <c r="C62" s="769">
        <f>'03 - Monthly Asset Follow up'!B66</f>
        <v>0</v>
      </c>
      <c r="D62" s="149"/>
      <c r="E62" s="762" t="str">
        <f>IF($C62=0,"",SUMIFS(INPUT_DATA!AU:AU,INPUT_DATA!$A:$A,$C62,INPUT_DATA!$C:$C,"S"))</f>
        <v/>
      </c>
      <c r="F62" s="774" t="str">
        <f>IF($C62=0,"",SUMIFS(INPUT_DATA!AV:AV,INPUT_DATA!$A:$A,$C62,INPUT_DATA!$C:$C,"S"))</f>
        <v/>
      </c>
      <c r="G62" s="774" t="str">
        <f>IF($C62=0,"",SUMIFS(INPUT_DATA!AW:AW,INPUT_DATA!$A:$A,$C62,INPUT_DATA!$C:$C,"S"))</f>
        <v/>
      </c>
      <c r="H62" s="776" t="str">
        <f t="shared" si="0"/>
        <v/>
      </c>
      <c r="I62" s="774" t="str">
        <f>IF($C62=0,"",SUMIFS(INPUT_DATA!AY:AY,INPUT_DATA!$A:$A,$C62,INPUT_DATA!$C:$C,"S"))</f>
        <v/>
      </c>
      <c r="J62" s="774" t="str">
        <f>IF($C62=0,"",SUMIFS(INPUT_DATA!AZ:AZ,INPUT_DATA!$A:$A,$C62,INPUT_DATA!$C:$C,"S"))</f>
        <v/>
      </c>
      <c r="K62" s="774" t="str">
        <f>IF($C62=0,"",SUMIFS(INPUT_DATA!BA:BA,INPUT_DATA!$A:$A,$C62,INPUT_DATA!$C:$C,"S"))</f>
        <v/>
      </c>
      <c r="L62" s="774" t="str">
        <f>IF($C62=0,"",SUMIFS(INPUT_DATA!BB:BB,INPUT_DATA!$A:$A,$C62,INPUT_DATA!$C:$C,"S"))</f>
        <v/>
      </c>
      <c r="M62" s="774" t="str">
        <f>IF($C62=0,"",SUMIFS(INPUT_DATA!BC:BC,INPUT_DATA!$A:$A,$C62,INPUT_DATA!$C:$C,"S"))</f>
        <v/>
      </c>
      <c r="N62" s="774" t="str">
        <f>IF($C62=0,"",SUMIFS(INPUT_DATA!BD:BD,INPUT_DATA!$A:$A,$C62,INPUT_DATA!$C:$C,"S"))</f>
        <v/>
      </c>
      <c r="O62" s="774" t="str">
        <f>IF($C62=0,"",SUMIFS(INPUT_DATA!BE:BE,INPUT_DATA!$A:$A,$C62,INPUT_DATA!$C:$C,"S"))</f>
        <v/>
      </c>
      <c r="P62" s="774" t="str">
        <f>IF($C62=0,"",SUMIFS(INPUT_DATA!BF:BF,INPUT_DATA!$A:$A,$C62,INPUT_DATA!$C:$C,"S"))</f>
        <v/>
      </c>
      <c r="Q62" s="780" t="str">
        <f t="shared" si="5"/>
        <v/>
      </c>
      <c r="R62" s="782" t="str">
        <f>IF($C62=0,"",SUMIFS(INPUT_DATA!BH:BH,INPUT_DATA!$A:$A,$C62,INPUT_DATA!$C:$C,"S"))</f>
        <v/>
      </c>
      <c r="S62" s="782" t="str">
        <f>IF($C62=0,"",SUMIFS(INPUT_DATA!BI:BI,INPUT_DATA!$A:$A,$C62,INPUT_DATA!$C:$C,"S"))</f>
        <v/>
      </c>
      <c r="T62" s="780" t="str">
        <f t="shared" si="6"/>
        <v/>
      </c>
      <c r="U62" s="785" t="str">
        <f>IF($C62=0,"",SUMIFS(INPUT_DATA!BL:BL,INPUT_DATA!$A:$A,$C62,INPUT_DATA!$C:$C,"S"))</f>
        <v/>
      </c>
      <c r="V62" s="155" t="str">
        <f t="shared" si="1"/>
        <v/>
      </c>
      <c r="W62" s="149"/>
      <c r="X62" s="762" t="str">
        <f>IF($C62=0,"",SUMIFS(INPUT_DATA!AU:AU,INPUT_DATA!$A:$A,$C62,INPUT_DATA!$C:$C,"D"))</f>
        <v/>
      </c>
      <c r="Y62" s="774" t="str">
        <f>IF($C62=0,"",SUMIFS(INPUT_DATA!AV:AV,INPUT_DATA!$A:$A,$C62,INPUT_DATA!$C:$C,"D"))</f>
        <v/>
      </c>
      <c r="Z62" s="774" t="str">
        <f>IF($C62=0,"",SUMIFS(INPUT_DATA!AW:AW,INPUT_DATA!$A:$A,$C62,INPUT_DATA!$C:$C,"D"))</f>
        <v/>
      </c>
      <c r="AA62" s="775" t="str">
        <f t="shared" si="2"/>
        <v/>
      </c>
      <c r="AB62" s="774" t="str">
        <f>IF($C62=0,"",SUMIFS(INPUT_DATA!AX:AX,INPUT_DATA!$A:$A,$C62,INPUT_DATA!$C:$C,"D"))</f>
        <v/>
      </c>
      <c r="AC62" s="774" t="str">
        <f>IF($C62=0,"",SUMIFS(INPUT_DATA!AY:AY,INPUT_DATA!$A:$A,$C62,INPUT_DATA!$C:$C,"D"))</f>
        <v/>
      </c>
      <c r="AD62" s="774" t="str">
        <f>IF($C62=0,"",SUMIFS(INPUT_DATA!AZ:AZ,INPUT_DATA!$A:$A,$C62,INPUT_DATA!$C:$C,"D"))</f>
        <v/>
      </c>
      <c r="AE62" s="774" t="str">
        <f>IF($C62=0,"",SUMIFS(INPUT_DATA!BA:BA,INPUT_DATA!$A:$A,$C62,INPUT_DATA!$C:$C,"D"))</f>
        <v/>
      </c>
      <c r="AF62" s="774" t="str">
        <f>IF($C62=0,"",SUMIFS(INPUT_DATA!BB:BB,INPUT_DATA!$A:$A,$C62,INPUT_DATA!$C:$C,"D"))</f>
        <v/>
      </c>
      <c r="AG62" s="774" t="str">
        <f>IF($C62=0,"",SUMIFS(INPUT_DATA!BC:BC,INPUT_DATA!$A:$A,$C62,INPUT_DATA!$C:$C,"D"))</f>
        <v/>
      </c>
      <c r="AH62" s="774" t="str">
        <f>IF($C62=0,"",SUMIFS(INPUT_DATA!BD:BD,INPUT_DATA!$A:$A,$C62,INPUT_DATA!$C:$C,"D"))</f>
        <v/>
      </c>
      <c r="AI62" s="774" t="str">
        <f>IF($C62=0,"",SUMIFS(INPUT_DATA!BE:BE,INPUT_DATA!$A:$A,$C62,INPUT_DATA!$C:$C,"D"))</f>
        <v/>
      </c>
      <c r="AJ62" s="315" t="str">
        <f t="shared" si="3"/>
        <v/>
      </c>
      <c r="AK62" s="782" t="str">
        <f>IF($C62=0,"",SUMIFS(INPUT_DATA!BG:BG,INPUT_DATA!$A:$A,$C62,INPUT_DATA!$C:$C,"D"))</f>
        <v/>
      </c>
      <c r="AL62" s="782" t="str">
        <f>IF($C62=0,"",SUMIFS(INPUT_DATA!BH:BH,INPUT_DATA!$A:$A,$C62,INPUT_DATA!$C:$C,"D"))</f>
        <v/>
      </c>
      <c r="AM62" s="782" t="str">
        <f>IF($C62=0,"",SUMIFS(INPUT_DATA!BI:BI,INPUT_DATA!$A:$A,$C62,INPUT_DATA!$C:$C,"D"))</f>
        <v/>
      </c>
      <c r="AN62" s="780" t="str">
        <f t="shared" si="7"/>
        <v/>
      </c>
      <c r="AO62" s="785" t="str">
        <f>IF($C62=0,"",SUMIFS(INPUT_DATA!BK:BK,INPUT_DATA!$A:$A,$C62,INPUT_DATA!$C:$C,"D"))</f>
        <v/>
      </c>
      <c r="AP62" s="355" t="str">
        <f t="shared" si="8"/>
        <v/>
      </c>
      <c r="AQ62" s="149"/>
      <c r="AS62" s="355" t="str">
        <f t="shared" si="9"/>
        <v/>
      </c>
      <c r="AU62" s="391" t="str">
        <f>IF($C62=0,"",'03 - Monthly Asset Follow up'!E66+'03 - Monthly Asset Follow up'!F66-'03 - Monthly Asset Follow up'!U66+'03 - Monthly Asset Follow up'!X66-H62)</f>
        <v/>
      </c>
      <c r="AV62" s="391" t="str">
        <f>IF($C62=0,"",'03 - Monthly Asset Follow up'!BD66+'03 - Monthly Asset Follow up'!BE66-'03 - Monthly Asset Follow up'!BT66+'03 - Monthly Asset Follow up'!BW66)</f>
        <v/>
      </c>
      <c r="AX62" s="154"/>
    </row>
    <row r="63" spans="2:50" ht="13" x14ac:dyDescent="0.3">
      <c r="B63" s="766" t="str">
        <f t="shared" si="4"/>
        <v/>
      </c>
      <c r="C63" s="769">
        <f>'03 - Monthly Asset Follow up'!B67</f>
        <v>0</v>
      </c>
      <c r="D63" s="149"/>
      <c r="E63" s="762" t="str">
        <f>IF($C63=0,"",SUMIFS(INPUT_DATA!AU:AU,INPUT_DATA!$A:$A,$C63,INPUT_DATA!$C:$C,"S"))</f>
        <v/>
      </c>
      <c r="F63" s="774" t="str">
        <f>IF($C63=0,"",SUMIFS(INPUT_DATA!AV:AV,INPUT_DATA!$A:$A,$C63,INPUT_DATA!$C:$C,"S"))</f>
        <v/>
      </c>
      <c r="G63" s="774" t="str">
        <f>IF($C63=0,"",SUMIFS(INPUT_DATA!AW:AW,INPUT_DATA!$A:$A,$C63,INPUT_DATA!$C:$C,"S"))</f>
        <v/>
      </c>
      <c r="H63" s="776" t="str">
        <f t="shared" si="0"/>
        <v/>
      </c>
      <c r="I63" s="774" t="str">
        <f>IF($C63=0,"",SUMIFS(INPUT_DATA!AY:AY,INPUT_DATA!$A:$A,$C63,INPUT_DATA!$C:$C,"S"))</f>
        <v/>
      </c>
      <c r="J63" s="774" t="str">
        <f>IF($C63=0,"",SUMIFS(INPUT_DATA!AZ:AZ,INPUT_DATA!$A:$A,$C63,INPUT_DATA!$C:$C,"S"))</f>
        <v/>
      </c>
      <c r="K63" s="774" t="str">
        <f>IF($C63=0,"",SUMIFS(INPUT_DATA!BA:BA,INPUT_DATA!$A:$A,$C63,INPUT_DATA!$C:$C,"S"))</f>
        <v/>
      </c>
      <c r="L63" s="774" t="str">
        <f>IF($C63=0,"",SUMIFS(INPUT_DATA!BB:BB,INPUT_DATA!$A:$A,$C63,INPUT_DATA!$C:$C,"S"))</f>
        <v/>
      </c>
      <c r="M63" s="774" t="str">
        <f>IF($C63=0,"",SUMIFS(INPUT_DATA!BC:BC,INPUT_DATA!$A:$A,$C63,INPUT_DATA!$C:$C,"S"))</f>
        <v/>
      </c>
      <c r="N63" s="774" t="str">
        <f>IF($C63=0,"",SUMIFS(INPUT_DATA!BD:BD,INPUT_DATA!$A:$A,$C63,INPUT_DATA!$C:$C,"S"))</f>
        <v/>
      </c>
      <c r="O63" s="774" t="str">
        <f>IF($C63=0,"",SUMIFS(INPUT_DATA!BE:BE,INPUT_DATA!$A:$A,$C63,INPUT_DATA!$C:$C,"S"))</f>
        <v/>
      </c>
      <c r="P63" s="774" t="str">
        <f>IF($C63=0,"",SUMIFS(INPUT_DATA!BF:BF,INPUT_DATA!$A:$A,$C63,INPUT_DATA!$C:$C,"S"))</f>
        <v/>
      </c>
      <c r="Q63" s="780" t="str">
        <f t="shared" si="5"/>
        <v/>
      </c>
      <c r="R63" s="782" t="str">
        <f>IF($C63=0,"",SUMIFS(INPUT_DATA!BH:BH,INPUT_DATA!$A:$A,$C63,INPUT_DATA!$C:$C,"S"))</f>
        <v/>
      </c>
      <c r="S63" s="782" t="str">
        <f>IF($C63=0,"",SUMIFS(INPUT_DATA!BI:BI,INPUT_DATA!$A:$A,$C63,INPUT_DATA!$C:$C,"S"))</f>
        <v/>
      </c>
      <c r="T63" s="780" t="str">
        <f t="shared" si="6"/>
        <v/>
      </c>
      <c r="U63" s="785" t="str">
        <f>IF($C63=0,"",SUMIFS(INPUT_DATA!BL:BL,INPUT_DATA!$A:$A,$C63,INPUT_DATA!$C:$C,"S"))</f>
        <v/>
      </c>
      <c r="V63" s="155" t="str">
        <f t="shared" si="1"/>
        <v/>
      </c>
      <c r="W63" s="149"/>
      <c r="X63" s="762" t="str">
        <f>IF($C63=0,"",SUMIFS(INPUT_DATA!AU:AU,INPUT_DATA!$A:$A,$C63,INPUT_DATA!$C:$C,"D"))</f>
        <v/>
      </c>
      <c r="Y63" s="774" t="str">
        <f>IF($C63=0,"",SUMIFS(INPUT_DATA!AV:AV,INPUT_DATA!$A:$A,$C63,INPUT_DATA!$C:$C,"D"))</f>
        <v/>
      </c>
      <c r="Z63" s="774" t="str">
        <f>IF($C63=0,"",SUMIFS(INPUT_DATA!AW:AW,INPUT_DATA!$A:$A,$C63,INPUT_DATA!$C:$C,"D"))</f>
        <v/>
      </c>
      <c r="AA63" s="775" t="str">
        <f t="shared" si="2"/>
        <v/>
      </c>
      <c r="AB63" s="774" t="str">
        <f>IF($C63=0,"",SUMIFS(INPUT_DATA!AX:AX,INPUT_DATA!$A:$A,$C63,INPUT_DATA!$C:$C,"D"))</f>
        <v/>
      </c>
      <c r="AC63" s="774" t="str">
        <f>IF($C63=0,"",SUMIFS(INPUT_DATA!AY:AY,INPUT_DATA!$A:$A,$C63,INPUT_DATA!$C:$C,"D"))</f>
        <v/>
      </c>
      <c r="AD63" s="774" t="str">
        <f>IF($C63=0,"",SUMIFS(INPUT_DATA!AZ:AZ,INPUT_DATA!$A:$A,$C63,INPUT_DATA!$C:$C,"D"))</f>
        <v/>
      </c>
      <c r="AE63" s="774" t="str">
        <f>IF($C63=0,"",SUMIFS(INPUT_DATA!BA:BA,INPUT_DATA!$A:$A,$C63,INPUT_DATA!$C:$C,"D"))</f>
        <v/>
      </c>
      <c r="AF63" s="774" t="str">
        <f>IF($C63=0,"",SUMIFS(INPUT_DATA!BB:BB,INPUT_DATA!$A:$A,$C63,INPUT_DATA!$C:$C,"D"))</f>
        <v/>
      </c>
      <c r="AG63" s="774" t="str">
        <f>IF($C63=0,"",SUMIFS(INPUT_DATA!BC:BC,INPUT_DATA!$A:$A,$C63,INPUT_DATA!$C:$C,"D"))</f>
        <v/>
      </c>
      <c r="AH63" s="774" t="str">
        <f>IF($C63=0,"",SUMIFS(INPUT_DATA!BD:BD,INPUT_DATA!$A:$A,$C63,INPUT_DATA!$C:$C,"D"))</f>
        <v/>
      </c>
      <c r="AI63" s="774" t="str">
        <f>IF($C63=0,"",SUMIFS(INPUT_DATA!BE:BE,INPUT_DATA!$A:$A,$C63,INPUT_DATA!$C:$C,"D"))</f>
        <v/>
      </c>
      <c r="AJ63" s="315" t="str">
        <f t="shared" si="3"/>
        <v/>
      </c>
      <c r="AK63" s="782" t="str">
        <f>IF($C63=0,"",SUMIFS(INPUT_DATA!BG:BG,INPUT_DATA!$A:$A,$C63,INPUT_DATA!$C:$C,"D"))</f>
        <v/>
      </c>
      <c r="AL63" s="782" t="str">
        <f>IF($C63=0,"",SUMIFS(INPUT_DATA!BH:BH,INPUT_DATA!$A:$A,$C63,INPUT_DATA!$C:$C,"D"))</f>
        <v/>
      </c>
      <c r="AM63" s="782" t="str">
        <f>IF($C63=0,"",SUMIFS(INPUT_DATA!BI:BI,INPUT_DATA!$A:$A,$C63,INPUT_DATA!$C:$C,"D"))</f>
        <v/>
      </c>
      <c r="AN63" s="780" t="str">
        <f t="shared" si="7"/>
        <v/>
      </c>
      <c r="AO63" s="785" t="str">
        <f>IF($C63=0,"",SUMIFS(INPUT_DATA!BK:BK,INPUT_DATA!$A:$A,$C63,INPUT_DATA!$C:$C,"D"))</f>
        <v/>
      </c>
      <c r="AP63" s="355" t="str">
        <f t="shared" si="8"/>
        <v/>
      </c>
      <c r="AQ63" s="149"/>
      <c r="AS63" s="355" t="str">
        <f t="shared" si="9"/>
        <v/>
      </c>
      <c r="AU63" s="391" t="str">
        <f>IF($C63=0,"",'03 - Monthly Asset Follow up'!E67+'03 - Monthly Asset Follow up'!F67-'03 - Monthly Asset Follow up'!U67+'03 - Monthly Asset Follow up'!X67-H63)</f>
        <v/>
      </c>
      <c r="AV63" s="391" t="str">
        <f>IF($C63=0,"",'03 - Monthly Asset Follow up'!BD67+'03 - Monthly Asset Follow up'!BE67-'03 - Monthly Asset Follow up'!BT67+'03 - Monthly Asset Follow up'!BW67)</f>
        <v/>
      </c>
      <c r="AX63" s="154"/>
    </row>
    <row r="64" spans="2:50" ht="13" x14ac:dyDescent="0.3">
      <c r="B64" s="766" t="str">
        <f t="shared" si="4"/>
        <v/>
      </c>
      <c r="C64" s="769">
        <f>'03 - Monthly Asset Follow up'!B68</f>
        <v>0</v>
      </c>
      <c r="D64" s="149"/>
      <c r="E64" s="762" t="str">
        <f>IF($C64=0,"",SUMIFS(INPUT_DATA!AU:AU,INPUT_DATA!$A:$A,$C64,INPUT_DATA!$C:$C,"S"))</f>
        <v/>
      </c>
      <c r="F64" s="774" t="str">
        <f>IF($C64=0,"",SUMIFS(INPUT_DATA!AV:AV,INPUT_DATA!$A:$A,$C64,INPUT_DATA!$C:$C,"S"))</f>
        <v/>
      </c>
      <c r="G64" s="774" t="str">
        <f>IF($C64=0,"",SUMIFS(INPUT_DATA!AW:AW,INPUT_DATA!$A:$A,$C64,INPUT_DATA!$C:$C,"S"))</f>
        <v/>
      </c>
      <c r="H64" s="776" t="str">
        <f t="shared" si="0"/>
        <v/>
      </c>
      <c r="I64" s="774" t="str">
        <f>IF($C64=0,"",SUMIFS(INPUT_DATA!AY:AY,INPUT_DATA!$A:$A,$C64,INPUT_DATA!$C:$C,"S"))</f>
        <v/>
      </c>
      <c r="J64" s="774" t="str">
        <f>IF($C64=0,"",SUMIFS(INPUT_DATA!AZ:AZ,INPUT_DATA!$A:$A,$C64,INPUT_DATA!$C:$C,"S"))</f>
        <v/>
      </c>
      <c r="K64" s="774" t="str">
        <f>IF($C64=0,"",SUMIFS(INPUT_DATA!BA:BA,INPUT_DATA!$A:$A,$C64,INPUT_DATA!$C:$C,"S"))</f>
        <v/>
      </c>
      <c r="L64" s="774" t="str">
        <f>IF($C64=0,"",SUMIFS(INPUT_DATA!BB:BB,INPUT_DATA!$A:$A,$C64,INPUT_DATA!$C:$C,"S"))</f>
        <v/>
      </c>
      <c r="M64" s="774" t="str">
        <f>IF($C64=0,"",SUMIFS(INPUT_DATA!BC:BC,INPUT_DATA!$A:$A,$C64,INPUT_DATA!$C:$C,"S"))</f>
        <v/>
      </c>
      <c r="N64" s="774" t="str">
        <f>IF($C64=0,"",SUMIFS(INPUT_DATA!BD:BD,INPUT_DATA!$A:$A,$C64,INPUT_DATA!$C:$C,"S"))</f>
        <v/>
      </c>
      <c r="O64" s="774" t="str">
        <f>IF($C64=0,"",SUMIFS(INPUT_DATA!BE:BE,INPUT_DATA!$A:$A,$C64,INPUT_DATA!$C:$C,"S"))</f>
        <v/>
      </c>
      <c r="P64" s="774" t="str">
        <f>IF($C64=0,"",SUMIFS(INPUT_DATA!BF:BF,INPUT_DATA!$A:$A,$C64,INPUT_DATA!$C:$C,"S"))</f>
        <v/>
      </c>
      <c r="Q64" s="780" t="str">
        <f t="shared" si="5"/>
        <v/>
      </c>
      <c r="R64" s="782" t="str">
        <f>IF($C64=0,"",SUMIFS(INPUT_DATA!BH:BH,INPUT_DATA!$A:$A,$C64,INPUT_DATA!$C:$C,"S"))</f>
        <v/>
      </c>
      <c r="S64" s="782" t="str">
        <f>IF($C64=0,"",SUMIFS(INPUT_DATA!BI:BI,INPUT_DATA!$A:$A,$C64,INPUT_DATA!$C:$C,"S"))</f>
        <v/>
      </c>
      <c r="T64" s="780" t="str">
        <f t="shared" si="6"/>
        <v/>
      </c>
      <c r="U64" s="785" t="str">
        <f>IF($C64=0,"",SUMIFS(INPUT_DATA!BL:BL,INPUT_DATA!$A:$A,$C64,INPUT_DATA!$C:$C,"S"))</f>
        <v/>
      </c>
      <c r="V64" s="155" t="str">
        <f t="shared" si="1"/>
        <v/>
      </c>
      <c r="W64" s="149"/>
      <c r="X64" s="762" t="str">
        <f>IF($C64=0,"",SUMIFS(INPUT_DATA!AU:AU,INPUT_DATA!$A:$A,$C64,INPUT_DATA!$C:$C,"D"))</f>
        <v/>
      </c>
      <c r="Y64" s="774" t="str">
        <f>IF($C64=0,"",SUMIFS(INPUT_DATA!AV:AV,INPUT_DATA!$A:$A,$C64,INPUT_DATA!$C:$C,"D"))</f>
        <v/>
      </c>
      <c r="Z64" s="774" t="str">
        <f>IF($C64=0,"",SUMIFS(INPUT_DATA!AW:AW,INPUT_DATA!$A:$A,$C64,INPUT_DATA!$C:$C,"D"))</f>
        <v/>
      </c>
      <c r="AA64" s="775" t="str">
        <f t="shared" si="2"/>
        <v/>
      </c>
      <c r="AB64" s="774" t="str">
        <f>IF($C64=0,"",SUMIFS(INPUT_DATA!AX:AX,INPUT_DATA!$A:$A,$C64,INPUT_DATA!$C:$C,"D"))</f>
        <v/>
      </c>
      <c r="AC64" s="774" t="str">
        <f>IF($C64=0,"",SUMIFS(INPUT_DATA!AY:AY,INPUT_DATA!$A:$A,$C64,INPUT_DATA!$C:$C,"D"))</f>
        <v/>
      </c>
      <c r="AD64" s="774" t="str">
        <f>IF($C64=0,"",SUMIFS(INPUT_DATA!AZ:AZ,INPUT_DATA!$A:$A,$C64,INPUT_DATA!$C:$C,"D"))</f>
        <v/>
      </c>
      <c r="AE64" s="774" t="str">
        <f>IF($C64=0,"",SUMIFS(INPUT_DATA!BA:BA,INPUT_DATA!$A:$A,$C64,INPUT_DATA!$C:$C,"D"))</f>
        <v/>
      </c>
      <c r="AF64" s="774" t="str">
        <f>IF($C64=0,"",SUMIFS(INPUT_DATA!BB:BB,INPUT_DATA!$A:$A,$C64,INPUT_DATA!$C:$C,"D"))</f>
        <v/>
      </c>
      <c r="AG64" s="774" t="str">
        <f>IF($C64=0,"",SUMIFS(INPUT_DATA!BC:BC,INPUT_DATA!$A:$A,$C64,INPUT_DATA!$C:$C,"D"))</f>
        <v/>
      </c>
      <c r="AH64" s="774" t="str">
        <f>IF($C64=0,"",SUMIFS(INPUT_DATA!BD:BD,INPUT_DATA!$A:$A,$C64,INPUT_DATA!$C:$C,"D"))</f>
        <v/>
      </c>
      <c r="AI64" s="774" t="str">
        <f>IF($C64=0,"",SUMIFS(INPUT_DATA!BE:BE,INPUT_DATA!$A:$A,$C64,INPUT_DATA!$C:$C,"D"))</f>
        <v/>
      </c>
      <c r="AJ64" s="315" t="str">
        <f t="shared" si="3"/>
        <v/>
      </c>
      <c r="AK64" s="782" t="str">
        <f>IF($C64=0,"",SUMIFS(INPUT_DATA!BG:BG,INPUT_DATA!$A:$A,$C64,INPUT_DATA!$C:$C,"D"))</f>
        <v/>
      </c>
      <c r="AL64" s="782" t="str">
        <f>IF($C64=0,"",SUMIFS(INPUT_DATA!BH:BH,INPUT_DATA!$A:$A,$C64,INPUT_DATA!$C:$C,"D"))</f>
        <v/>
      </c>
      <c r="AM64" s="782" t="str">
        <f>IF($C64=0,"",SUMIFS(INPUT_DATA!BI:BI,INPUT_DATA!$A:$A,$C64,INPUT_DATA!$C:$C,"D"))</f>
        <v/>
      </c>
      <c r="AN64" s="780" t="str">
        <f t="shared" si="7"/>
        <v/>
      </c>
      <c r="AO64" s="785" t="str">
        <f>IF($C64=0,"",SUMIFS(INPUT_DATA!BK:BK,INPUT_DATA!$A:$A,$C64,INPUT_DATA!$C:$C,"D"))</f>
        <v/>
      </c>
      <c r="AP64" s="355" t="str">
        <f t="shared" si="8"/>
        <v/>
      </c>
      <c r="AQ64" s="149"/>
      <c r="AS64" s="355" t="str">
        <f t="shared" si="9"/>
        <v/>
      </c>
      <c r="AU64" s="391" t="str">
        <f>IF($C64=0,"",'03 - Monthly Asset Follow up'!E68+'03 - Monthly Asset Follow up'!F68-'03 - Monthly Asset Follow up'!U68+'03 - Monthly Asset Follow up'!X68-H64)</f>
        <v/>
      </c>
      <c r="AV64" s="391" t="str">
        <f>IF($C64=0,"",'03 - Monthly Asset Follow up'!BD68+'03 - Monthly Asset Follow up'!BE68-'03 - Monthly Asset Follow up'!BT68+'03 - Monthly Asset Follow up'!BW68)</f>
        <v/>
      </c>
      <c r="AX64" s="154"/>
    </row>
    <row r="65" spans="2:50" ht="13" x14ac:dyDescent="0.3">
      <c r="B65" s="766" t="str">
        <f t="shared" si="4"/>
        <v/>
      </c>
      <c r="C65" s="769">
        <f>'03 - Monthly Asset Follow up'!B69</f>
        <v>0</v>
      </c>
      <c r="D65" s="149"/>
      <c r="E65" s="762" t="str">
        <f>IF($C65=0,"",SUMIFS(INPUT_DATA!AU:AU,INPUT_DATA!$A:$A,$C65,INPUT_DATA!$C:$C,"S"))</f>
        <v/>
      </c>
      <c r="F65" s="774" t="str">
        <f>IF($C65=0,"",SUMIFS(INPUT_DATA!AV:AV,INPUT_DATA!$A:$A,$C65,INPUT_DATA!$C:$C,"S"))</f>
        <v/>
      </c>
      <c r="G65" s="774" t="str">
        <f>IF($C65=0,"",SUMIFS(INPUT_DATA!AW:AW,INPUT_DATA!$A:$A,$C65,INPUT_DATA!$C:$C,"S"))</f>
        <v/>
      </c>
      <c r="H65" s="776" t="str">
        <f t="shared" si="0"/>
        <v/>
      </c>
      <c r="I65" s="774" t="str">
        <f>IF($C65=0,"",SUMIFS(INPUT_DATA!AY:AY,INPUT_DATA!$A:$A,$C65,INPUT_DATA!$C:$C,"S"))</f>
        <v/>
      </c>
      <c r="J65" s="774" t="str">
        <f>IF($C65=0,"",SUMIFS(INPUT_DATA!AZ:AZ,INPUT_DATA!$A:$A,$C65,INPUT_DATA!$C:$C,"S"))</f>
        <v/>
      </c>
      <c r="K65" s="774" t="str">
        <f>IF($C65=0,"",SUMIFS(INPUT_DATA!BA:BA,INPUT_DATA!$A:$A,$C65,INPUT_DATA!$C:$C,"S"))</f>
        <v/>
      </c>
      <c r="L65" s="774" t="str">
        <f>IF($C65=0,"",SUMIFS(INPUT_DATA!BB:BB,INPUT_DATA!$A:$A,$C65,INPUT_DATA!$C:$C,"S"))</f>
        <v/>
      </c>
      <c r="M65" s="774" t="str">
        <f>IF($C65=0,"",SUMIFS(INPUT_DATA!BC:BC,INPUT_DATA!$A:$A,$C65,INPUT_DATA!$C:$C,"S"))</f>
        <v/>
      </c>
      <c r="N65" s="774" t="str">
        <f>IF($C65=0,"",SUMIFS(INPUT_DATA!BD:BD,INPUT_DATA!$A:$A,$C65,INPUT_DATA!$C:$C,"S"))</f>
        <v/>
      </c>
      <c r="O65" s="774" t="str">
        <f>IF($C65=0,"",SUMIFS(INPUT_DATA!BE:BE,INPUT_DATA!$A:$A,$C65,INPUT_DATA!$C:$C,"S"))</f>
        <v/>
      </c>
      <c r="P65" s="774" t="str">
        <f>IF($C65=0,"",SUMIFS(INPUT_DATA!BF:BF,INPUT_DATA!$A:$A,$C65,INPUT_DATA!$C:$C,"S"))</f>
        <v/>
      </c>
      <c r="Q65" s="780" t="str">
        <f t="shared" si="5"/>
        <v/>
      </c>
      <c r="R65" s="782" t="str">
        <f>IF($C65=0,"",SUMIFS(INPUT_DATA!BH:BH,INPUT_DATA!$A:$A,$C65,INPUT_DATA!$C:$C,"S"))</f>
        <v/>
      </c>
      <c r="S65" s="782" t="str">
        <f>IF($C65=0,"",SUMIFS(INPUT_DATA!BI:BI,INPUT_DATA!$A:$A,$C65,INPUT_DATA!$C:$C,"S"))</f>
        <v/>
      </c>
      <c r="T65" s="780" t="str">
        <f t="shared" si="6"/>
        <v/>
      </c>
      <c r="U65" s="785" t="str">
        <f>IF($C65=0,"",SUMIFS(INPUT_DATA!BL:BL,INPUT_DATA!$A:$A,$C65,INPUT_DATA!$C:$C,"S"))</f>
        <v/>
      </c>
      <c r="V65" s="155" t="str">
        <f t="shared" si="1"/>
        <v/>
      </c>
      <c r="W65" s="149"/>
      <c r="X65" s="762" t="str">
        <f>IF($C65=0,"",SUMIFS(INPUT_DATA!AU:AU,INPUT_DATA!$A:$A,$C65,INPUT_DATA!$C:$C,"D"))</f>
        <v/>
      </c>
      <c r="Y65" s="774" t="str">
        <f>IF($C65=0,"",SUMIFS(INPUT_DATA!AV:AV,INPUT_DATA!$A:$A,$C65,INPUT_DATA!$C:$C,"D"))</f>
        <v/>
      </c>
      <c r="Z65" s="774" t="str">
        <f>IF($C65=0,"",SUMIFS(INPUT_DATA!AW:AW,INPUT_DATA!$A:$A,$C65,INPUT_DATA!$C:$C,"D"))</f>
        <v/>
      </c>
      <c r="AA65" s="775" t="str">
        <f t="shared" si="2"/>
        <v/>
      </c>
      <c r="AB65" s="774" t="str">
        <f>IF($C65=0,"",SUMIFS(INPUT_DATA!AX:AX,INPUT_DATA!$A:$A,$C65,INPUT_DATA!$C:$C,"D"))</f>
        <v/>
      </c>
      <c r="AC65" s="774" t="str">
        <f>IF($C65=0,"",SUMIFS(INPUT_DATA!AY:AY,INPUT_DATA!$A:$A,$C65,INPUT_DATA!$C:$C,"D"))</f>
        <v/>
      </c>
      <c r="AD65" s="774" t="str">
        <f>IF($C65=0,"",SUMIFS(INPUT_DATA!AZ:AZ,INPUT_DATA!$A:$A,$C65,INPUT_DATA!$C:$C,"D"))</f>
        <v/>
      </c>
      <c r="AE65" s="774" t="str">
        <f>IF($C65=0,"",SUMIFS(INPUT_DATA!BA:BA,INPUT_DATA!$A:$A,$C65,INPUT_DATA!$C:$C,"D"))</f>
        <v/>
      </c>
      <c r="AF65" s="774" t="str">
        <f>IF($C65=0,"",SUMIFS(INPUT_DATA!BB:BB,INPUT_DATA!$A:$A,$C65,INPUT_DATA!$C:$C,"D"))</f>
        <v/>
      </c>
      <c r="AG65" s="774" t="str">
        <f>IF($C65=0,"",SUMIFS(INPUT_DATA!BC:BC,INPUT_DATA!$A:$A,$C65,INPUT_DATA!$C:$C,"D"))</f>
        <v/>
      </c>
      <c r="AH65" s="774" t="str">
        <f>IF($C65=0,"",SUMIFS(INPUT_DATA!BD:BD,INPUT_DATA!$A:$A,$C65,INPUT_DATA!$C:$C,"D"))</f>
        <v/>
      </c>
      <c r="AI65" s="774" t="str">
        <f>IF($C65=0,"",SUMIFS(INPUT_DATA!BE:BE,INPUT_DATA!$A:$A,$C65,INPUT_DATA!$C:$C,"D"))</f>
        <v/>
      </c>
      <c r="AJ65" s="315" t="str">
        <f t="shared" si="3"/>
        <v/>
      </c>
      <c r="AK65" s="782" t="str">
        <f>IF($C65=0,"",SUMIFS(INPUT_DATA!BG:BG,INPUT_DATA!$A:$A,$C65,INPUT_DATA!$C:$C,"D"))</f>
        <v/>
      </c>
      <c r="AL65" s="782" t="str">
        <f>IF($C65=0,"",SUMIFS(INPUT_DATA!BH:BH,INPUT_DATA!$A:$A,$C65,INPUT_DATA!$C:$C,"D"))</f>
        <v/>
      </c>
      <c r="AM65" s="782" t="str">
        <f>IF($C65=0,"",SUMIFS(INPUT_DATA!BI:BI,INPUT_DATA!$A:$A,$C65,INPUT_DATA!$C:$C,"D"))</f>
        <v/>
      </c>
      <c r="AN65" s="780" t="str">
        <f t="shared" si="7"/>
        <v/>
      </c>
      <c r="AO65" s="785" t="str">
        <f>IF($C65=0,"",SUMIFS(INPUT_DATA!BK:BK,INPUT_DATA!$A:$A,$C65,INPUT_DATA!$C:$C,"D"))</f>
        <v/>
      </c>
      <c r="AP65" s="355" t="str">
        <f t="shared" si="8"/>
        <v/>
      </c>
      <c r="AQ65" s="149"/>
      <c r="AS65" s="355" t="str">
        <f t="shared" si="9"/>
        <v/>
      </c>
      <c r="AU65" s="391" t="str">
        <f>IF($C65=0,"",'03 - Monthly Asset Follow up'!E69+'03 - Monthly Asset Follow up'!F69-'03 - Monthly Asset Follow up'!U69+'03 - Monthly Asset Follow up'!X69-H65)</f>
        <v/>
      </c>
      <c r="AV65" s="391" t="str">
        <f>IF($C65=0,"",'03 - Monthly Asset Follow up'!BD69+'03 - Monthly Asset Follow up'!BE69-'03 - Monthly Asset Follow up'!BT69+'03 - Monthly Asset Follow up'!BW69)</f>
        <v/>
      </c>
      <c r="AX65" s="154"/>
    </row>
    <row r="66" spans="2:50" ht="13" x14ac:dyDescent="0.3">
      <c r="B66" s="766" t="str">
        <f t="shared" si="4"/>
        <v/>
      </c>
      <c r="C66" s="769">
        <f>'03 - Monthly Asset Follow up'!B70</f>
        <v>0</v>
      </c>
      <c r="D66" s="149"/>
      <c r="E66" s="762" t="str">
        <f>IF($C66=0,"",SUMIFS(INPUT_DATA!AU:AU,INPUT_DATA!$A:$A,$C66,INPUT_DATA!$C:$C,"S"))</f>
        <v/>
      </c>
      <c r="F66" s="774" t="str">
        <f>IF($C66=0,"",SUMIFS(INPUT_DATA!AV:AV,INPUT_DATA!$A:$A,$C66,INPUT_DATA!$C:$C,"S"))</f>
        <v/>
      </c>
      <c r="G66" s="774" t="str">
        <f>IF($C66=0,"",SUMIFS(INPUT_DATA!AW:AW,INPUT_DATA!$A:$A,$C66,INPUT_DATA!$C:$C,"S"))</f>
        <v/>
      </c>
      <c r="H66" s="776" t="str">
        <f t="shared" si="0"/>
        <v/>
      </c>
      <c r="I66" s="774" t="str">
        <f>IF($C66=0,"",SUMIFS(INPUT_DATA!AY:AY,INPUT_DATA!$A:$A,$C66,INPUT_DATA!$C:$C,"S"))</f>
        <v/>
      </c>
      <c r="J66" s="774" t="str">
        <f>IF($C66=0,"",SUMIFS(INPUT_DATA!AZ:AZ,INPUT_DATA!$A:$A,$C66,INPUT_DATA!$C:$C,"S"))</f>
        <v/>
      </c>
      <c r="K66" s="774" t="str">
        <f>IF($C66=0,"",SUMIFS(INPUT_DATA!BA:BA,INPUT_DATA!$A:$A,$C66,INPUT_DATA!$C:$C,"S"))</f>
        <v/>
      </c>
      <c r="L66" s="774" t="str">
        <f>IF($C66=0,"",SUMIFS(INPUT_DATA!BB:BB,INPUT_DATA!$A:$A,$C66,INPUT_DATA!$C:$C,"S"))</f>
        <v/>
      </c>
      <c r="M66" s="774" t="str">
        <f>IF($C66=0,"",SUMIFS(INPUT_DATA!BC:BC,INPUT_DATA!$A:$A,$C66,INPUT_DATA!$C:$C,"S"))</f>
        <v/>
      </c>
      <c r="N66" s="774" t="str">
        <f>IF($C66=0,"",SUMIFS(INPUT_DATA!BD:BD,INPUT_DATA!$A:$A,$C66,INPUT_DATA!$C:$C,"S"))</f>
        <v/>
      </c>
      <c r="O66" s="774" t="str">
        <f>IF($C66=0,"",SUMIFS(INPUT_DATA!BE:BE,INPUT_DATA!$A:$A,$C66,INPUT_DATA!$C:$C,"S"))</f>
        <v/>
      </c>
      <c r="P66" s="774" t="str">
        <f>IF($C66=0,"",SUMIFS(INPUT_DATA!BF:BF,INPUT_DATA!$A:$A,$C66,INPUT_DATA!$C:$C,"S"))</f>
        <v/>
      </c>
      <c r="Q66" s="780" t="str">
        <f t="shared" si="5"/>
        <v/>
      </c>
      <c r="R66" s="782" t="str">
        <f>IF($C66=0,"",SUMIFS(INPUT_DATA!BH:BH,INPUT_DATA!$A:$A,$C66,INPUT_DATA!$C:$C,"S"))</f>
        <v/>
      </c>
      <c r="S66" s="782" t="str">
        <f>IF($C66=0,"",SUMIFS(INPUT_DATA!BI:BI,INPUT_DATA!$A:$A,$C66,INPUT_DATA!$C:$C,"S"))</f>
        <v/>
      </c>
      <c r="T66" s="780" t="str">
        <f t="shared" si="6"/>
        <v/>
      </c>
      <c r="U66" s="785" t="str">
        <f>IF($C66=0,"",SUMIFS(INPUT_DATA!BL:BL,INPUT_DATA!$A:$A,$C66,INPUT_DATA!$C:$C,"S"))</f>
        <v/>
      </c>
      <c r="V66" s="155" t="str">
        <f t="shared" si="1"/>
        <v/>
      </c>
      <c r="W66" s="149"/>
      <c r="X66" s="762" t="str">
        <f>IF($C66=0,"",SUMIFS(INPUT_DATA!AU:AU,INPUT_DATA!$A:$A,$C66,INPUT_DATA!$C:$C,"D"))</f>
        <v/>
      </c>
      <c r="Y66" s="774" t="str">
        <f>IF($C66=0,"",SUMIFS(INPUT_DATA!AV:AV,INPUT_DATA!$A:$A,$C66,INPUT_DATA!$C:$C,"D"))</f>
        <v/>
      </c>
      <c r="Z66" s="774" t="str">
        <f>IF($C66=0,"",SUMIFS(INPUT_DATA!AW:AW,INPUT_DATA!$A:$A,$C66,INPUT_DATA!$C:$C,"D"))</f>
        <v/>
      </c>
      <c r="AA66" s="775" t="str">
        <f t="shared" si="2"/>
        <v/>
      </c>
      <c r="AB66" s="774" t="str">
        <f>IF($C66=0,"",SUMIFS(INPUT_DATA!AX:AX,INPUT_DATA!$A:$A,$C66,INPUT_DATA!$C:$C,"D"))</f>
        <v/>
      </c>
      <c r="AC66" s="774" t="str">
        <f>IF($C66=0,"",SUMIFS(INPUT_DATA!AY:AY,INPUT_DATA!$A:$A,$C66,INPUT_DATA!$C:$C,"D"))</f>
        <v/>
      </c>
      <c r="AD66" s="774" t="str">
        <f>IF($C66=0,"",SUMIFS(INPUT_DATA!AZ:AZ,INPUT_DATA!$A:$A,$C66,INPUT_DATA!$C:$C,"D"))</f>
        <v/>
      </c>
      <c r="AE66" s="774" t="str">
        <f>IF($C66=0,"",SUMIFS(INPUT_DATA!BA:BA,INPUT_DATA!$A:$A,$C66,INPUT_DATA!$C:$C,"D"))</f>
        <v/>
      </c>
      <c r="AF66" s="774" t="str">
        <f>IF($C66=0,"",SUMIFS(INPUT_DATA!BB:BB,INPUT_DATA!$A:$A,$C66,INPUT_DATA!$C:$C,"D"))</f>
        <v/>
      </c>
      <c r="AG66" s="774" t="str">
        <f>IF($C66=0,"",SUMIFS(INPUT_DATA!BC:BC,INPUT_DATA!$A:$A,$C66,INPUT_DATA!$C:$C,"D"))</f>
        <v/>
      </c>
      <c r="AH66" s="774" t="str">
        <f>IF($C66=0,"",SUMIFS(INPUT_DATA!BD:BD,INPUT_DATA!$A:$A,$C66,INPUT_DATA!$C:$C,"D"))</f>
        <v/>
      </c>
      <c r="AI66" s="774" t="str">
        <f>IF($C66=0,"",SUMIFS(INPUT_DATA!BE:BE,INPUT_DATA!$A:$A,$C66,INPUT_DATA!$C:$C,"D"))</f>
        <v/>
      </c>
      <c r="AJ66" s="315" t="str">
        <f t="shared" si="3"/>
        <v/>
      </c>
      <c r="AK66" s="782" t="str">
        <f>IF($C66=0,"",SUMIFS(INPUT_DATA!BG:BG,INPUT_DATA!$A:$A,$C66,INPUT_DATA!$C:$C,"D"))</f>
        <v/>
      </c>
      <c r="AL66" s="782" t="str">
        <f>IF($C66=0,"",SUMIFS(INPUT_DATA!BH:BH,INPUT_DATA!$A:$A,$C66,INPUT_DATA!$C:$C,"D"))</f>
        <v/>
      </c>
      <c r="AM66" s="782" t="str">
        <f>IF($C66=0,"",SUMIFS(INPUT_DATA!BI:BI,INPUT_DATA!$A:$A,$C66,INPUT_DATA!$C:$C,"D"))</f>
        <v/>
      </c>
      <c r="AN66" s="780" t="str">
        <f t="shared" si="7"/>
        <v/>
      </c>
      <c r="AO66" s="785" t="str">
        <f>IF($C66=0,"",SUMIFS(INPUT_DATA!BK:BK,INPUT_DATA!$A:$A,$C66,INPUT_DATA!$C:$C,"D"))</f>
        <v/>
      </c>
      <c r="AP66" s="355" t="str">
        <f t="shared" si="8"/>
        <v/>
      </c>
      <c r="AQ66" s="149"/>
      <c r="AS66" s="355" t="str">
        <f t="shared" si="9"/>
        <v/>
      </c>
      <c r="AU66" s="391" t="str">
        <f>IF($C66=0,"",'03 - Monthly Asset Follow up'!E70+'03 - Monthly Asset Follow up'!F70-'03 - Monthly Asset Follow up'!U70+'03 - Monthly Asset Follow up'!X70-H66)</f>
        <v/>
      </c>
      <c r="AV66" s="391" t="str">
        <f>IF($C66=0,"",'03 - Monthly Asset Follow up'!BD70+'03 - Monthly Asset Follow up'!BE70-'03 - Monthly Asset Follow up'!BT70+'03 - Monthly Asset Follow up'!BW70)</f>
        <v/>
      </c>
      <c r="AX66" s="154"/>
    </row>
    <row r="67" spans="2:50" ht="13" x14ac:dyDescent="0.3">
      <c r="B67" s="766" t="str">
        <f t="shared" si="4"/>
        <v/>
      </c>
      <c r="C67" s="769">
        <f>'03 - Monthly Asset Follow up'!B71</f>
        <v>0</v>
      </c>
      <c r="D67" s="149"/>
      <c r="E67" s="762" t="str">
        <f>IF($C67=0,"",SUMIFS(INPUT_DATA!AU:AU,INPUT_DATA!$A:$A,$C67,INPUT_DATA!$C:$C,"S"))</f>
        <v/>
      </c>
      <c r="F67" s="774" t="str">
        <f>IF($C67=0,"",SUMIFS(INPUT_DATA!AV:AV,INPUT_DATA!$A:$A,$C67,INPUT_DATA!$C:$C,"S"))</f>
        <v/>
      </c>
      <c r="G67" s="774" t="str">
        <f>IF($C67=0,"",SUMIFS(INPUT_DATA!AW:AW,INPUT_DATA!$A:$A,$C67,INPUT_DATA!$C:$C,"S"))</f>
        <v/>
      </c>
      <c r="H67" s="776" t="str">
        <f t="shared" si="0"/>
        <v/>
      </c>
      <c r="I67" s="774" t="str">
        <f>IF($C67=0,"",SUMIFS(INPUT_DATA!AY:AY,INPUT_DATA!$A:$A,$C67,INPUT_DATA!$C:$C,"S"))</f>
        <v/>
      </c>
      <c r="J67" s="774" t="str">
        <f>IF($C67=0,"",SUMIFS(INPUT_DATA!AZ:AZ,INPUT_DATA!$A:$A,$C67,INPUT_DATA!$C:$C,"S"))</f>
        <v/>
      </c>
      <c r="K67" s="774" t="str">
        <f>IF($C67=0,"",SUMIFS(INPUT_DATA!BA:BA,INPUT_DATA!$A:$A,$C67,INPUT_DATA!$C:$C,"S"))</f>
        <v/>
      </c>
      <c r="L67" s="774" t="str">
        <f>IF($C67=0,"",SUMIFS(INPUT_DATA!BB:BB,INPUT_DATA!$A:$A,$C67,INPUT_DATA!$C:$C,"S"))</f>
        <v/>
      </c>
      <c r="M67" s="774" t="str">
        <f>IF($C67=0,"",SUMIFS(INPUT_DATA!BC:BC,INPUT_DATA!$A:$A,$C67,INPUT_DATA!$C:$C,"S"))</f>
        <v/>
      </c>
      <c r="N67" s="774" t="str">
        <f>IF($C67=0,"",SUMIFS(INPUT_DATA!BD:BD,INPUT_DATA!$A:$A,$C67,INPUT_DATA!$C:$C,"S"))</f>
        <v/>
      </c>
      <c r="O67" s="774" t="str">
        <f>IF($C67=0,"",SUMIFS(INPUT_DATA!BE:BE,INPUT_DATA!$A:$A,$C67,INPUT_DATA!$C:$C,"S"))</f>
        <v/>
      </c>
      <c r="P67" s="774" t="str">
        <f>IF($C67=0,"",SUMIFS(INPUT_DATA!BF:BF,INPUT_DATA!$A:$A,$C67,INPUT_DATA!$C:$C,"S"))</f>
        <v/>
      </c>
      <c r="Q67" s="780" t="str">
        <f t="shared" si="5"/>
        <v/>
      </c>
      <c r="R67" s="782" t="str">
        <f>IF($C67=0,"",SUMIFS(INPUT_DATA!BH:BH,INPUT_DATA!$A:$A,$C67,INPUT_DATA!$C:$C,"S"))</f>
        <v/>
      </c>
      <c r="S67" s="782" t="str">
        <f>IF($C67=0,"",SUMIFS(INPUT_DATA!BI:BI,INPUT_DATA!$A:$A,$C67,INPUT_DATA!$C:$C,"S"))</f>
        <v/>
      </c>
      <c r="T67" s="780" t="str">
        <f t="shared" si="6"/>
        <v/>
      </c>
      <c r="U67" s="785" t="str">
        <f>IF($C67=0,"",SUMIFS(INPUT_DATA!BL:BL,INPUT_DATA!$A:$A,$C67,INPUT_DATA!$C:$C,"S"))</f>
        <v/>
      </c>
      <c r="V67" s="155" t="str">
        <f t="shared" si="1"/>
        <v/>
      </c>
      <c r="W67" s="149"/>
      <c r="X67" s="762" t="str">
        <f>IF($C67=0,"",SUMIFS(INPUT_DATA!AU:AU,INPUT_DATA!$A:$A,$C67,INPUT_DATA!$C:$C,"D"))</f>
        <v/>
      </c>
      <c r="Y67" s="774" t="str">
        <f>IF($C67=0,"",SUMIFS(INPUT_DATA!AV:AV,INPUT_DATA!$A:$A,$C67,INPUT_DATA!$C:$C,"D"))</f>
        <v/>
      </c>
      <c r="Z67" s="774" t="str">
        <f>IF($C67=0,"",SUMIFS(INPUT_DATA!AW:AW,INPUT_DATA!$A:$A,$C67,INPUT_DATA!$C:$C,"D"))</f>
        <v/>
      </c>
      <c r="AA67" s="775" t="str">
        <f t="shared" si="2"/>
        <v/>
      </c>
      <c r="AB67" s="774" t="str">
        <f>IF($C67=0,"",SUMIFS(INPUT_DATA!AX:AX,INPUT_DATA!$A:$A,$C67,INPUT_DATA!$C:$C,"D"))</f>
        <v/>
      </c>
      <c r="AC67" s="774" t="str">
        <f>IF($C67=0,"",SUMIFS(INPUT_DATA!AY:AY,INPUT_DATA!$A:$A,$C67,INPUT_DATA!$C:$C,"D"))</f>
        <v/>
      </c>
      <c r="AD67" s="774" t="str">
        <f>IF($C67=0,"",SUMIFS(INPUT_DATA!AZ:AZ,INPUT_DATA!$A:$A,$C67,INPUT_DATA!$C:$C,"D"))</f>
        <v/>
      </c>
      <c r="AE67" s="774" t="str">
        <f>IF($C67=0,"",SUMIFS(INPUT_DATA!BA:BA,INPUT_DATA!$A:$A,$C67,INPUT_DATA!$C:$C,"D"))</f>
        <v/>
      </c>
      <c r="AF67" s="774" t="str">
        <f>IF($C67=0,"",SUMIFS(INPUT_DATA!BB:BB,INPUT_DATA!$A:$A,$C67,INPUT_DATA!$C:$C,"D"))</f>
        <v/>
      </c>
      <c r="AG67" s="774" t="str">
        <f>IF($C67=0,"",SUMIFS(INPUT_DATA!BC:BC,INPUT_DATA!$A:$A,$C67,INPUT_DATA!$C:$C,"D"))</f>
        <v/>
      </c>
      <c r="AH67" s="774" t="str">
        <f>IF($C67=0,"",SUMIFS(INPUT_DATA!BD:BD,INPUT_DATA!$A:$A,$C67,INPUT_DATA!$C:$C,"D"))</f>
        <v/>
      </c>
      <c r="AI67" s="774" t="str">
        <f>IF($C67=0,"",SUMIFS(INPUT_DATA!BE:BE,INPUT_DATA!$A:$A,$C67,INPUT_DATA!$C:$C,"D"))</f>
        <v/>
      </c>
      <c r="AJ67" s="315" t="str">
        <f t="shared" si="3"/>
        <v/>
      </c>
      <c r="AK67" s="782" t="str">
        <f>IF($C67=0,"",SUMIFS(INPUT_DATA!BG:BG,INPUT_DATA!$A:$A,$C67,INPUT_DATA!$C:$C,"D"))</f>
        <v/>
      </c>
      <c r="AL67" s="782" t="str">
        <f>IF($C67=0,"",SUMIFS(INPUT_DATA!BH:BH,INPUT_DATA!$A:$A,$C67,INPUT_DATA!$C:$C,"D"))</f>
        <v/>
      </c>
      <c r="AM67" s="782" t="str">
        <f>IF($C67=0,"",SUMIFS(INPUT_DATA!BI:BI,INPUT_DATA!$A:$A,$C67,INPUT_DATA!$C:$C,"D"))</f>
        <v/>
      </c>
      <c r="AN67" s="780" t="str">
        <f t="shared" si="7"/>
        <v/>
      </c>
      <c r="AO67" s="785" t="str">
        <f>IF($C67=0,"",SUMIFS(INPUT_DATA!BK:BK,INPUT_DATA!$A:$A,$C67,INPUT_DATA!$C:$C,"D"))</f>
        <v/>
      </c>
      <c r="AP67" s="355" t="str">
        <f t="shared" si="8"/>
        <v/>
      </c>
      <c r="AQ67" s="149"/>
      <c r="AS67" s="355" t="str">
        <f t="shared" si="9"/>
        <v/>
      </c>
      <c r="AU67" s="391" t="str">
        <f>IF($C67=0,"",'03 - Monthly Asset Follow up'!E71+'03 - Monthly Asset Follow up'!F71-'03 - Monthly Asset Follow up'!U71+'03 - Monthly Asset Follow up'!X71-H67)</f>
        <v/>
      </c>
      <c r="AV67" s="391" t="str">
        <f>IF($C67=0,"",'03 - Monthly Asset Follow up'!BD71+'03 - Monthly Asset Follow up'!BE71-'03 - Monthly Asset Follow up'!BT71+'03 - Monthly Asset Follow up'!BW71)</f>
        <v/>
      </c>
      <c r="AX67" s="154"/>
    </row>
    <row r="68" spans="2:50" ht="13" x14ac:dyDescent="0.3">
      <c r="B68" s="766" t="str">
        <f t="shared" si="4"/>
        <v/>
      </c>
      <c r="C68" s="769">
        <f>'03 - Monthly Asset Follow up'!B72</f>
        <v>0</v>
      </c>
      <c r="D68" s="149"/>
      <c r="E68" s="762" t="str">
        <f>IF($C68=0,"",SUMIFS(INPUT_DATA!AU:AU,INPUT_DATA!$A:$A,$C68,INPUT_DATA!$C:$C,"S"))</f>
        <v/>
      </c>
      <c r="F68" s="774" t="str">
        <f>IF($C68=0,"",SUMIFS(INPUT_DATA!AV:AV,INPUT_DATA!$A:$A,$C68,INPUT_DATA!$C:$C,"S"))</f>
        <v/>
      </c>
      <c r="G68" s="774" t="str">
        <f>IF($C68=0,"",SUMIFS(INPUT_DATA!AW:AW,INPUT_DATA!$A:$A,$C68,INPUT_DATA!$C:$C,"S"))</f>
        <v/>
      </c>
      <c r="H68" s="776" t="str">
        <f t="shared" si="0"/>
        <v/>
      </c>
      <c r="I68" s="774" t="str">
        <f>IF($C68=0,"",SUMIFS(INPUT_DATA!AY:AY,INPUT_DATA!$A:$A,$C68,INPUT_DATA!$C:$C,"S"))</f>
        <v/>
      </c>
      <c r="J68" s="774" t="str">
        <f>IF($C68=0,"",SUMIFS(INPUT_DATA!AZ:AZ,INPUT_DATA!$A:$A,$C68,INPUT_DATA!$C:$C,"S"))</f>
        <v/>
      </c>
      <c r="K68" s="774" t="str">
        <f>IF($C68=0,"",SUMIFS(INPUT_DATA!BA:BA,INPUT_DATA!$A:$A,$C68,INPUT_DATA!$C:$C,"S"))</f>
        <v/>
      </c>
      <c r="L68" s="774" t="str">
        <f>IF($C68=0,"",SUMIFS(INPUT_DATA!BB:BB,INPUT_DATA!$A:$A,$C68,INPUT_DATA!$C:$C,"S"))</f>
        <v/>
      </c>
      <c r="M68" s="774" t="str">
        <f>IF($C68=0,"",SUMIFS(INPUT_DATA!BC:BC,INPUT_DATA!$A:$A,$C68,INPUT_DATA!$C:$C,"S"))</f>
        <v/>
      </c>
      <c r="N68" s="774" t="str">
        <f>IF($C68=0,"",SUMIFS(INPUT_DATA!BD:BD,INPUT_DATA!$A:$A,$C68,INPUT_DATA!$C:$C,"S"))</f>
        <v/>
      </c>
      <c r="O68" s="774" t="str">
        <f>IF($C68=0,"",SUMIFS(INPUT_DATA!BE:BE,INPUT_DATA!$A:$A,$C68,INPUT_DATA!$C:$C,"S"))</f>
        <v/>
      </c>
      <c r="P68" s="774" t="str">
        <f>IF($C68=0,"",SUMIFS(INPUT_DATA!BF:BF,INPUT_DATA!$A:$A,$C68,INPUT_DATA!$C:$C,"S"))</f>
        <v/>
      </c>
      <c r="Q68" s="780" t="str">
        <f t="shared" si="5"/>
        <v/>
      </c>
      <c r="R68" s="782" t="str">
        <f>IF($C68=0,"",SUMIFS(INPUT_DATA!BH:BH,INPUT_DATA!$A:$A,$C68,INPUT_DATA!$C:$C,"S"))</f>
        <v/>
      </c>
      <c r="S68" s="782" t="str">
        <f>IF($C68=0,"",SUMIFS(INPUT_DATA!BI:BI,INPUT_DATA!$A:$A,$C68,INPUT_DATA!$C:$C,"S"))</f>
        <v/>
      </c>
      <c r="T68" s="780" t="str">
        <f t="shared" si="6"/>
        <v/>
      </c>
      <c r="U68" s="785" t="str">
        <f>IF($C68=0,"",SUMIFS(INPUT_DATA!BL:BL,INPUT_DATA!$A:$A,$C68,INPUT_DATA!$C:$C,"S"))</f>
        <v/>
      </c>
      <c r="V68" s="155" t="str">
        <f t="shared" si="1"/>
        <v/>
      </c>
      <c r="W68" s="149"/>
      <c r="X68" s="762" t="str">
        <f>IF($C68=0,"",SUMIFS(INPUT_DATA!AU:AU,INPUT_DATA!$A:$A,$C68,INPUT_DATA!$C:$C,"D"))</f>
        <v/>
      </c>
      <c r="Y68" s="774" t="str">
        <f>IF($C68=0,"",SUMIFS(INPUT_DATA!AV:AV,INPUT_DATA!$A:$A,$C68,INPUT_DATA!$C:$C,"D"))</f>
        <v/>
      </c>
      <c r="Z68" s="774" t="str">
        <f>IF($C68=0,"",SUMIFS(INPUT_DATA!AW:AW,INPUT_DATA!$A:$A,$C68,INPUT_DATA!$C:$C,"D"))</f>
        <v/>
      </c>
      <c r="AA68" s="775" t="str">
        <f t="shared" si="2"/>
        <v/>
      </c>
      <c r="AB68" s="774" t="str">
        <f>IF($C68=0,"",SUMIFS(INPUT_DATA!AX:AX,INPUT_DATA!$A:$A,$C68,INPUT_DATA!$C:$C,"D"))</f>
        <v/>
      </c>
      <c r="AC68" s="774" t="str">
        <f>IF($C68=0,"",SUMIFS(INPUT_DATA!AY:AY,INPUT_DATA!$A:$A,$C68,INPUT_DATA!$C:$C,"D"))</f>
        <v/>
      </c>
      <c r="AD68" s="774" t="str">
        <f>IF($C68=0,"",SUMIFS(INPUT_DATA!AZ:AZ,INPUT_DATA!$A:$A,$C68,INPUT_DATA!$C:$C,"D"))</f>
        <v/>
      </c>
      <c r="AE68" s="774" t="str">
        <f>IF($C68=0,"",SUMIFS(INPUT_DATA!BA:BA,INPUT_DATA!$A:$A,$C68,INPUT_DATA!$C:$C,"D"))</f>
        <v/>
      </c>
      <c r="AF68" s="774" t="str">
        <f>IF($C68=0,"",SUMIFS(INPUT_DATA!BB:BB,INPUT_DATA!$A:$A,$C68,INPUT_DATA!$C:$C,"D"))</f>
        <v/>
      </c>
      <c r="AG68" s="774" t="str">
        <f>IF($C68=0,"",SUMIFS(INPUT_DATA!BC:BC,INPUT_DATA!$A:$A,$C68,INPUT_DATA!$C:$C,"D"))</f>
        <v/>
      </c>
      <c r="AH68" s="774" t="str">
        <f>IF($C68=0,"",SUMIFS(INPUT_DATA!BD:BD,INPUT_DATA!$A:$A,$C68,INPUT_DATA!$C:$C,"D"))</f>
        <v/>
      </c>
      <c r="AI68" s="774" t="str">
        <f>IF($C68=0,"",SUMIFS(INPUT_DATA!BE:BE,INPUT_DATA!$A:$A,$C68,INPUT_DATA!$C:$C,"D"))</f>
        <v/>
      </c>
      <c r="AJ68" s="315" t="str">
        <f t="shared" si="3"/>
        <v/>
      </c>
      <c r="AK68" s="782" t="str">
        <f>IF($C68=0,"",SUMIFS(INPUT_DATA!BG:BG,INPUT_DATA!$A:$A,$C68,INPUT_DATA!$C:$C,"D"))</f>
        <v/>
      </c>
      <c r="AL68" s="782" t="str">
        <f>IF($C68=0,"",SUMIFS(INPUT_DATA!BH:BH,INPUT_DATA!$A:$A,$C68,INPUT_DATA!$C:$C,"D"))</f>
        <v/>
      </c>
      <c r="AM68" s="782" t="str">
        <f>IF($C68=0,"",SUMIFS(INPUT_DATA!BI:BI,INPUT_DATA!$A:$A,$C68,INPUT_DATA!$C:$C,"D"))</f>
        <v/>
      </c>
      <c r="AN68" s="780" t="str">
        <f t="shared" si="7"/>
        <v/>
      </c>
      <c r="AO68" s="785" t="str">
        <f>IF($C68=0,"",SUMIFS(INPUT_DATA!BK:BK,INPUT_DATA!$A:$A,$C68,INPUT_DATA!$C:$C,"D"))</f>
        <v/>
      </c>
      <c r="AP68" s="355" t="str">
        <f t="shared" si="8"/>
        <v/>
      </c>
      <c r="AQ68" s="149"/>
      <c r="AS68" s="355" t="str">
        <f t="shared" si="9"/>
        <v/>
      </c>
      <c r="AU68" s="391" t="str">
        <f>IF($C68=0,"",'03 - Monthly Asset Follow up'!E72+'03 - Monthly Asset Follow up'!F72-'03 - Monthly Asset Follow up'!U72+'03 - Monthly Asset Follow up'!X72-H68)</f>
        <v/>
      </c>
      <c r="AV68" s="391" t="str">
        <f>IF($C68=0,"",'03 - Monthly Asset Follow up'!BD72+'03 - Monthly Asset Follow up'!BE72-'03 - Monthly Asset Follow up'!BT72+'03 - Monthly Asset Follow up'!BW72)</f>
        <v/>
      </c>
      <c r="AX68" s="154"/>
    </row>
    <row r="69" spans="2:50" ht="13" x14ac:dyDescent="0.3">
      <c r="B69" s="766" t="str">
        <f t="shared" si="4"/>
        <v/>
      </c>
      <c r="C69" s="769">
        <f>'03 - Monthly Asset Follow up'!B73</f>
        <v>0</v>
      </c>
      <c r="D69" s="149"/>
      <c r="E69" s="762" t="str">
        <f>IF($C69=0,"",SUMIFS(INPUT_DATA!AU:AU,INPUT_DATA!$A:$A,$C69,INPUT_DATA!$C:$C,"S"))</f>
        <v/>
      </c>
      <c r="F69" s="774" t="str">
        <f>IF($C69=0,"",SUMIFS(INPUT_DATA!AV:AV,INPUT_DATA!$A:$A,$C69,INPUT_DATA!$C:$C,"S"))</f>
        <v/>
      </c>
      <c r="G69" s="774" t="str">
        <f>IF($C69=0,"",SUMIFS(INPUT_DATA!AW:AW,INPUT_DATA!$A:$A,$C69,INPUT_DATA!$C:$C,"S"))</f>
        <v/>
      </c>
      <c r="H69" s="776" t="str">
        <f t="shared" si="0"/>
        <v/>
      </c>
      <c r="I69" s="774" t="str">
        <f>IF($C69=0,"",SUMIFS(INPUT_DATA!AY:AY,INPUT_DATA!$A:$A,$C69,INPUT_DATA!$C:$C,"S"))</f>
        <v/>
      </c>
      <c r="J69" s="774" t="str">
        <f>IF($C69=0,"",SUMIFS(INPUT_DATA!AZ:AZ,INPUT_DATA!$A:$A,$C69,INPUT_DATA!$C:$C,"S"))</f>
        <v/>
      </c>
      <c r="K69" s="774" t="str">
        <f>IF($C69=0,"",SUMIFS(INPUT_DATA!BA:BA,INPUT_DATA!$A:$A,$C69,INPUT_DATA!$C:$C,"S"))</f>
        <v/>
      </c>
      <c r="L69" s="774" t="str">
        <f>IF($C69=0,"",SUMIFS(INPUT_DATA!BB:BB,INPUT_DATA!$A:$A,$C69,INPUT_DATA!$C:$C,"S"))</f>
        <v/>
      </c>
      <c r="M69" s="774" t="str">
        <f>IF($C69=0,"",SUMIFS(INPUT_DATA!BC:BC,INPUT_DATA!$A:$A,$C69,INPUT_DATA!$C:$C,"S"))</f>
        <v/>
      </c>
      <c r="N69" s="774" t="str">
        <f>IF($C69=0,"",SUMIFS(INPUT_DATA!BD:BD,INPUT_DATA!$A:$A,$C69,INPUT_DATA!$C:$C,"S"))</f>
        <v/>
      </c>
      <c r="O69" s="774" t="str">
        <f>IF($C69=0,"",SUMIFS(INPUT_DATA!BE:BE,INPUT_DATA!$A:$A,$C69,INPUT_DATA!$C:$C,"S"))</f>
        <v/>
      </c>
      <c r="P69" s="774" t="str">
        <f>IF($C69=0,"",SUMIFS(INPUT_DATA!BF:BF,INPUT_DATA!$A:$A,$C69,INPUT_DATA!$C:$C,"S"))</f>
        <v/>
      </c>
      <c r="Q69" s="780" t="str">
        <f t="shared" si="5"/>
        <v/>
      </c>
      <c r="R69" s="782" t="str">
        <f>IF($C69=0,"",SUMIFS(INPUT_DATA!BH:BH,INPUT_DATA!$A:$A,$C69,INPUT_DATA!$C:$C,"S"))</f>
        <v/>
      </c>
      <c r="S69" s="782" t="str">
        <f>IF($C69=0,"",SUMIFS(INPUT_DATA!BI:BI,INPUT_DATA!$A:$A,$C69,INPUT_DATA!$C:$C,"S"))</f>
        <v/>
      </c>
      <c r="T69" s="780" t="str">
        <f t="shared" si="6"/>
        <v/>
      </c>
      <c r="U69" s="785" t="str">
        <f>IF($C69=0,"",SUMIFS(INPUT_DATA!BL:BL,INPUT_DATA!$A:$A,$C69,INPUT_DATA!$C:$C,"S"))</f>
        <v/>
      </c>
      <c r="V69" s="155" t="str">
        <f t="shared" si="1"/>
        <v/>
      </c>
      <c r="W69" s="149"/>
      <c r="X69" s="762" t="str">
        <f>IF($C69=0,"",SUMIFS(INPUT_DATA!AU:AU,INPUT_DATA!$A:$A,$C69,INPUT_DATA!$C:$C,"D"))</f>
        <v/>
      </c>
      <c r="Y69" s="774" t="str">
        <f>IF($C69=0,"",SUMIFS(INPUT_DATA!AV:AV,INPUT_DATA!$A:$A,$C69,INPUT_DATA!$C:$C,"D"))</f>
        <v/>
      </c>
      <c r="Z69" s="774" t="str">
        <f>IF($C69=0,"",SUMIFS(INPUT_DATA!AW:AW,INPUT_DATA!$A:$A,$C69,INPUT_DATA!$C:$C,"D"))</f>
        <v/>
      </c>
      <c r="AA69" s="775" t="str">
        <f t="shared" si="2"/>
        <v/>
      </c>
      <c r="AB69" s="774" t="str">
        <f>IF($C69=0,"",SUMIFS(INPUT_DATA!AX:AX,INPUT_DATA!$A:$A,$C69,INPUT_DATA!$C:$C,"D"))</f>
        <v/>
      </c>
      <c r="AC69" s="774" t="str">
        <f>IF($C69=0,"",SUMIFS(INPUT_DATA!AY:AY,INPUT_DATA!$A:$A,$C69,INPUT_DATA!$C:$C,"D"))</f>
        <v/>
      </c>
      <c r="AD69" s="774" t="str">
        <f>IF($C69=0,"",SUMIFS(INPUT_DATA!AZ:AZ,INPUT_DATA!$A:$A,$C69,INPUT_DATA!$C:$C,"D"))</f>
        <v/>
      </c>
      <c r="AE69" s="774" t="str">
        <f>IF($C69=0,"",SUMIFS(INPUT_DATA!BA:BA,INPUT_DATA!$A:$A,$C69,INPUT_DATA!$C:$C,"D"))</f>
        <v/>
      </c>
      <c r="AF69" s="774" t="str">
        <f>IF($C69=0,"",SUMIFS(INPUT_DATA!BB:BB,INPUT_DATA!$A:$A,$C69,INPUT_DATA!$C:$C,"D"))</f>
        <v/>
      </c>
      <c r="AG69" s="774" t="str">
        <f>IF($C69=0,"",SUMIFS(INPUT_DATA!BC:BC,INPUT_DATA!$A:$A,$C69,INPUT_DATA!$C:$C,"D"))</f>
        <v/>
      </c>
      <c r="AH69" s="774" t="str">
        <f>IF($C69=0,"",SUMIFS(INPUT_DATA!BD:BD,INPUT_DATA!$A:$A,$C69,INPUT_DATA!$C:$C,"D"))</f>
        <v/>
      </c>
      <c r="AI69" s="774" t="str">
        <f>IF($C69=0,"",SUMIFS(INPUT_DATA!BE:BE,INPUT_DATA!$A:$A,$C69,INPUT_DATA!$C:$C,"D"))</f>
        <v/>
      </c>
      <c r="AJ69" s="315" t="str">
        <f t="shared" si="3"/>
        <v/>
      </c>
      <c r="AK69" s="782" t="str">
        <f>IF($C69=0,"",SUMIFS(INPUT_DATA!BG:BG,INPUT_DATA!$A:$A,$C69,INPUT_DATA!$C:$C,"D"))</f>
        <v/>
      </c>
      <c r="AL69" s="782" t="str">
        <f>IF($C69=0,"",SUMIFS(INPUT_DATA!BH:BH,INPUT_DATA!$A:$A,$C69,INPUT_DATA!$C:$C,"D"))</f>
        <v/>
      </c>
      <c r="AM69" s="782" t="str">
        <f>IF($C69=0,"",SUMIFS(INPUT_DATA!BI:BI,INPUT_DATA!$A:$A,$C69,INPUT_DATA!$C:$C,"D"))</f>
        <v/>
      </c>
      <c r="AN69" s="780" t="str">
        <f t="shared" si="7"/>
        <v/>
      </c>
      <c r="AO69" s="785" t="str">
        <f>IF($C69=0,"",SUMIFS(INPUT_DATA!BK:BK,INPUT_DATA!$A:$A,$C69,INPUT_DATA!$C:$C,"D"))</f>
        <v/>
      </c>
      <c r="AP69" s="355" t="str">
        <f t="shared" si="8"/>
        <v/>
      </c>
      <c r="AQ69" s="149"/>
      <c r="AS69" s="355" t="str">
        <f t="shared" si="9"/>
        <v/>
      </c>
      <c r="AU69" s="391" t="str">
        <f>IF($C69=0,"",'03 - Monthly Asset Follow up'!E73+'03 - Monthly Asset Follow up'!F73-'03 - Monthly Asset Follow up'!U73+'03 - Monthly Asset Follow up'!X73-H69)</f>
        <v/>
      </c>
      <c r="AV69" s="391" t="str">
        <f>IF($C69=0,"",'03 - Monthly Asset Follow up'!BD73+'03 - Monthly Asset Follow up'!BE73-'03 - Monthly Asset Follow up'!BT73+'03 - Monthly Asset Follow up'!BW73)</f>
        <v/>
      </c>
      <c r="AX69" s="154"/>
    </row>
    <row r="70" spans="2:50" ht="13" x14ac:dyDescent="0.3">
      <c r="B70" s="766" t="str">
        <f t="shared" si="4"/>
        <v/>
      </c>
      <c r="C70" s="769">
        <f>'03 - Monthly Asset Follow up'!B74</f>
        <v>0</v>
      </c>
      <c r="D70" s="149"/>
      <c r="E70" s="762" t="str">
        <f>IF($C70=0,"",SUMIFS(INPUT_DATA!AU:AU,INPUT_DATA!$A:$A,$C70,INPUT_DATA!$C:$C,"S"))</f>
        <v/>
      </c>
      <c r="F70" s="774" t="str">
        <f>IF($C70=0,"",SUMIFS(INPUT_DATA!AV:AV,INPUT_DATA!$A:$A,$C70,INPUT_DATA!$C:$C,"S"))</f>
        <v/>
      </c>
      <c r="G70" s="774" t="str">
        <f>IF($C70=0,"",SUMIFS(INPUT_DATA!AW:AW,INPUT_DATA!$A:$A,$C70,INPUT_DATA!$C:$C,"S"))</f>
        <v/>
      </c>
      <c r="H70" s="776" t="str">
        <f t="shared" si="0"/>
        <v/>
      </c>
      <c r="I70" s="774" t="str">
        <f>IF($C70=0,"",SUMIFS(INPUT_DATA!AY:AY,INPUT_DATA!$A:$A,$C70,INPUT_DATA!$C:$C,"S"))</f>
        <v/>
      </c>
      <c r="J70" s="774" t="str">
        <f>IF($C70=0,"",SUMIFS(INPUT_DATA!AZ:AZ,INPUT_DATA!$A:$A,$C70,INPUT_DATA!$C:$C,"S"))</f>
        <v/>
      </c>
      <c r="K70" s="774" t="str">
        <f>IF($C70=0,"",SUMIFS(INPUT_DATA!BA:BA,INPUT_DATA!$A:$A,$C70,INPUT_DATA!$C:$C,"S"))</f>
        <v/>
      </c>
      <c r="L70" s="774" t="str">
        <f>IF($C70=0,"",SUMIFS(INPUT_DATA!BB:BB,INPUT_DATA!$A:$A,$C70,INPUT_DATA!$C:$C,"S"))</f>
        <v/>
      </c>
      <c r="M70" s="774" t="str">
        <f>IF($C70=0,"",SUMIFS(INPUT_DATA!BC:BC,INPUT_DATA!$A:$A,$C70,INPUT_DATA!$C:$C,"S"))</f>
        <v/>
      </c>
      <c r="N70" s="774" t="str">
        <f>IF($C70=0,"",SUMIFS(INPUT_DATA!BD:BD,INPUT_DATA!$A:$A,$C70,INPUT_DATA!$C:$C,"S"))</f>
        <v/>
      </c>
      <c r="O70" s="774" t="str">
        <f>IF($C70=0,"",SUMIFS(INPUT_DATA!BE:BE,INPUT_DATA!$A:$A,$C70,INPUT_DATA!$C:$C,"S"))</f>
        <v/>
      </c>
      <c r="P70" s="774" t="str">
        <f>IF($C70=0,"",SUMIFS(INPUT_DATA!BF:BF,INPUT_DATA!$A:$A,$C70,INPUT_DATA!$C:$C,"S"))</f>
        <v/>
      </c>
      <c r="Q70" s="780" t="str">
        <f t="shared" si="5"/>
        <v/>
      </c>
      <c r="R70" s="782" t="str">
        <f>IF($C70=0,"",SUMIFS(INPUT_DATA!BH:BH,INPUT_DATA!$A:$A,$C70,INPUT_DATA!$C:$C,"S"))</f>
        <v/>
      </c>
      <c r="S70" s="782" t="str">
        <f>IF($C70=0,"",SUMIFS(INPUT_DATA!BI:BI,INPUT_DATA!$A:$A,$C70,INPUT_DATA!$C:$C,"S"))</f>
        <v/>
      </c>
      <c r="T70" s="780" t="str">
        <f t="shared" si="6"/>
        <v/>
      </c>
      <c r="U70" s="785" t="str">
        <f>IF($C70=0,"",SUMIFS(INPUT_DATA!BL:BL,INPUT_DATA!$A:$A,$C70,INPUT_DATA!$C:$C,"S"))</f>
        <v/>
      </c>
      <c r="V70" s="155" t="str">
        <f t="shared" si="1"/>
        <v/>
      </c>
      <c r="W70" s="149"/>
      <c r="X70" s="762" t="str">
        <f>IF($C70=0,"",SUMIFS(INPUT_DATA!AU:AU,INPUT_DATA!$A:$A,$C70,INPUT_DATA!$C:$C,"D"))</f>
        <v/>
      </c>
      <c r="Y70" s="774" t="str">
        <f>IF($C70=0,"",SUMIFS(INPUT_DATA!AV:AV,INPUT_DATA!$A:$A,$C70,INPUT_DATA!$C:$C,"D"))</f>
        <v/>
      </c>
      <c r="Z70" s="774" t="str">
        <f>IF($C70=0,"",SUMIFS(INPUT_DATA!AW:AW,INPUT_DATA!$A:$A,$C70,INPUT_DATA!$C:$C,"D"))</f>
        <v/>
      </c>
      <c r="AA70" s="775" t="str">
        <f t="shared" si="2"/>
        <v/>
      </c>
      <c r="AB70" s="774" t="str">
        <f>IF($C70=0,"",SUMIFS(INPUT_DATA!AX:AX,INPUT_DATA!$A:$A,$C70,INPUT_DATA!$C:$C,"D"))</f>
        <v/>
      </c>
      <c r="AC70" s="774" t="str">
        <f>IF($C70=0,"",SUMIFS(INPUT_DATA!AY:AY,INPUT_DATA!$A:$A,$C70,INPUT_DATA!$C:$C,"D"))</f>
        <v/>
      </c>
      <c r="AD70" s="774" t="str">
        <f>IF($C70=0,"",SUMIFS(INPUT_DATA!AZ:AZ,INPUT_DATA!$A:$A,$C70,INPUT_DATA!$C:$C,"D"))</f>
        <v/>
      </c>
      <c r="AE70" s="774" t="str">
        <f>IF($C70=0,"",SUMIFS(INPUT_DATA!BA:BA,INPUT_DATA!$A:$A,$C70,INPUT_DATA!$C:$C,"D"))</f>
        <v/>
      </c>
      <c r="AF70" s="774" t="str">
        <f>IF($C70=0,"",SUMIFS(INPUT_DATA!BB:BB,INPUT_DATA!$A:$A,$C70,INPUT_DATA!$C:$C,"D"))</f>
        <v/>
      </c>
      <c r="AG70" s="774" t="str">
        <f>IF($C70=0,"",SUMIFS(INPUT_DATA!BC:BC,INPUT_DATA!$A:$A,$C70,INPUT_DATA!$C:$C,"D"))</f>
        <v/>
      </c>
      <c r="AH70" s="774" t="str">
        <f>IF($C70=0,"",SUMIFS(INPUT_DATA!BD:BD,INPUT_DATA!$A:$A,$C70,INPUT_DATA!$C:$C,"D"))</f>
        <v/>
      </c>
      <c r="AI70" s="774" t="str">
        <f>IF($C70=0,"",SUMIFS(INPUT_DATA!BE:BE,INPUT_DATA!$A:$A,$C70,INPUT_DATA!$C:$C,"D"))</f>
        <v/>
      </c>
      <c r="AJ70" s="315" t="str">
        <f t="shared" si="3"/>
        <v/>
      </c>
      <c r="AK70" s="782" t="str">
        <f>IF($C70=0,"",SUMIFS(INPUT_DATA!BG:BG,INPUT_DATA!$A:$A,$C70,INPUT_DATA!$C:$C,"D"))</f>
        <v/>
      </c>
      <c r="AL70" s="782" t="str">
        <f>IF($C70=0,"",SUMIFS(INPUT_DATA!BH:BH,INPUT_DATA!$A:$A,$C70,INPUT_DATA!$C:$C,"D"))</f>
        <v/>
      </c>
      <c r="AM70" s="782" t="str">
        <f>IF($C70=0,"",SUMIFS(INPUT_DATA!BI:BI,INPUT_DATA!$A:$A,$C70,INPUT_DATA!$C:$C,"D"))</f>
        <v/>
      </c>
      <c r="AN70" s="780" t="str">
        <f t="shared" si="7"/>
        <v/>
      </c>
      <c r="AO70" s="785" t="str">
        <f>IF($C70=0,"",SUMIFS(INPUT_DATA!BK:BK,INPUT_DATA!$A:$A,$C70,INPUT_DATA!$C:$C,"D"))</f>
        <v/>
      </c>
      <c r="AP70" s="355" t="str">
        <f t="shared" si="8"/>
        <v/>
      </c>
      <c r="AQ70" s="149"/>
      <c r="AS70" s="355" t="str">
        <f t="shared" si="9"/>
        <v/>
      </c>
      <c r="AU70" s="391" t="str">
        <f>IF($C70=0,"",'03 - Monthly Asset Follow up'!E74+'03 - Monthly Asset Follow up'!F74-'03 - Monthly Asset Follow up'!U74+'03 - Monthly Asset Follow up'!X74-H70)</f>
        <v/>
      </c>
      <c r="AV70" s="391" t="str">
        <f>IF($C70=0,"",'03 - Monthly Asset Follow up'!BD74+'03 - Monthly Asset Follow up'!BE74-'03 - Monthly Asset Follow up'!BT74+'03 - Monthly Asset Follow up'!BW74)</f>
        <v/>
      </c>
      <c r="AX70" s="154"/>
    </row>
    <row r="71" spans="2:50" ht="13" x14ac:dyDescent="0.3">
      <c r="B71" s="766" t="str">
        <f t="shared" si="4"/>
        <v/>
      </c>
      <c r="C71" s="769">
        <f>'03 - Monthly Asset Follow up'!B75</f>
        <v>0</v>
      </c>
      <c r="D71" s="149"/>
      <c r="E71" s="762" t="str">
        <f>IF($C71=0,"",SUMIFS(INPUT_DATA!AU:AU,INPUT_DATA!$A:$A,$C71,INPUT_DATA!$C:$C,"S"))</f>
        <v/>
      </c>
      <c r="F71" s="774" t="str">
        <f>IF($C71=0,"",SUMIFS(INPUT_DATA!AV:AV,INPUT_DATA!$A:$A,$C71,INPUT_DATA!$C:$C,"S"))</f>
        <v/>
      </c>
      <c r="G71" s="774" t="str">
        <f>IF($C71=0,"",SUMIFS(INPUT_DATA!AW:AW,INPUT_DATA!$A:$A,$C71,INPUT_DATA!$C:$C,"S"))</f>
        <v/>
      </c>
      <c r="H71" s="776" t="str">
        <f t="shared" si="0"/>
        <v/>
      </c>
      <c r="I71" s="774" t="str">
        <f>IF($C71=0,"",SUMIFS(INPUT_DATA!AY:AY,INPUT_DATA!$A:$A,$C71,INPUT_DATA!$C:$C,"S"))</f>
        <v/>
      </c>
      <c r="J71" s="774" t="str">
        <f>IF($C71=0,"",SUMIFS(INPUT_DATA!AZ:AZ,INPUT_DATA!$A:$A,$C71,INPUT_DATA!$C:$C,"S"))</f>
        <v/>
      </c>
      <c r="K71" s="774" t="str">
        <f>IF($C71=0,"",SUMIFS(INPUT_DATA!BA:BA,INPUT_DATA!$A:$A,$C71,INPUT_DATA!$C:$C,"S"))</f>
        <v/>
      </c>
      <c r="L71" s="774" t="str">
        <f>IF($C71=0,"",SUMIFS(INPUT_DATA!BB:BB,INPUT_DATA!$A:$A,$C71,INPUT_DATA!$C:$C,"S"))</f>
        <v/>
      </c>
      <c r="M71" s="774" t="str">
        <f>IF($C71=0,"",SUMIFS(INPUT_DATA!BC:BC,INPUT_DATA!$A:$A,$C71,INPUT_DATA!$C:$C,"S"))</f>
        <v/>
      </c>
      <c r="N71" s="774" t="str">
        <f>IF($C71=0,"",SUMIFS(INPUT_DATA!BD:BD,INPUT_DATA!$A:$A,$C71,INPUT_DATA!$C:$C,"S"))</f>
        <v/>
      </c>
      <c r="O71" s="774" t="str">
        <f>IF($C71=0,"",SUMIFS(INPUT_DATA!BE:BE,INPUT_DATA!$A:$A,$C71,INPUT_DATA!$C:$C,"S"))</f>
        <v/>
      </c>
      <c r="P71" s="774" t="str">
        <f>IF($C71=0,"",SUMIFS(INPUT_DATA!BF:BF,INPUT_DATA!$A:$A,$C71,INPUT_DATA!$C:$C,"S"))</f>
        <v/>
      </c>
      <c r="Q71" s="780" t="str">
        <f t="shared" si="5"/>
        <v/>
      </c>
      <c r="R71" s="782" t="str">
        <f>IF($C71=0,"",SUMIFS(INPUT_DATA!BH:BH,INPUT_DATA!$A:$A,$C71,INPUT_DATA!$C:$C,"S"))</f>
        <v/>
      </c>
      <c r="S71" s="782" t="str">
        <f>IF($C71=0,"",SUMIFS(INPUT_DATA!BI:BI,INPUT_DATA!$A:$A,$C71,INPUT_DATA!$C:$C,"S"))</f>
        <v/>
      </c>
      <c r="T71" s="780" t="str">
        <f t="shared" si="6"/>
        <v/>
      </c>
      <c r="U71" s="785" t="str">
        <f>IF($C71=0,"",SUMIFS(INPUT_DATA!BL:BL,INPUT_DATA!$A:$A,$C71,INPUT_DATA!$C:$C,"S"))</f>
        <v/>
      </c>
      <c r="V71" s="155" t="str">
        <f t="shared" si="1"/>
        <v/>
      </c>
      <c r="W71" s="149"/>
      <c r="X71" s="762" t="str">
        <f>IF($C71=0,"",SUMIFS(INPUT_DATA!AU:AU,INPUT_DATA!$A:$A,$C71,INPUT_DATA!$C:$C,"D"))</f>
        <v/>
      </c>
      <c r="Y71" s="774" t="str">
        <f>IF($C71=0,"",SUMIFS(INPUT_DATA!AV:AV,INPUT_DATA!$A:$A,$C71,INPUT_DATA!$C:$C,"D"))</f>
        <v/>
      </c>
      <c r="Z71" s="774" t="str">
        <f>IF($C71=0,"",SUMIFS(INPUT_DATA!AW:AW,INPUT_DATA!$A:$A,$C71,INPUT_DATA!$C:$C,"D"))</f>
        <v/>
      </c>
      <c r="AA71" s="775" t="str">
        <f t="shared" si="2"/>
        <v/>
      </c>
      <c r="AB71" s="774" t="str">
        <f>IF($C71=0,"",SUMIFS(INPUT_DATA!AX:AX,INPUT_DATA!$A:$A,$C71,INPUT_DATA!$C:$C,"D"))</f>
        <v/>
      </c>
      <c r="AC71" s="774" t="str">
        <f>IF($C71=0,"",SUMIFS(INPUT_DATA!AY:AY,INPUT_DATA!$A:$A,$C71,INPUT_DATA!$C:$C,"D"))</f>
        <v/>
      </c>
      <c r="AD71" s="774" t="str">
        <f>IF($C71=0,"",SUMIFS(INPUT_DATA!AZ:AZ,INPUT_DATA!$A:$A,$C71,INPUT_DATA!$C:$C,"D"))</f>
        <v/>
      </c>
      <c r="AE71" s="774" t="str">
        <f>IF($C71=0,"",SUMIFS(INPUT_DATA!BA:BA,INPUT_DATA!$A:$A,$C71,INPUT_DATA!$C:$C,"D"))</f>
        <v/>
      </c>
      <c r="AF71" s="774" t="str">
        <f>IF($C71=0,"",SUMIFS(INPUT_DATA!BB:BB,INPUT_DATA!$A:$A,$C71,INPUT_DATA!$C:$C,"D"))</f>
        <v/>
      </c>
      <c r="AG71" s="774" t="str">
        <f>IF($C71=0,"",SUMIFS(INPUT_DATA!BC:BC,INPUT_DATA!$A:$A,$C71,INPUT_DATA!$C:$C,"D"))</f>
        <v/>
      </c>
      <c r="AH71" s="774" t="str">
        <f>IF($C71=0,"",SUMIFS(INPUT_DATA!BD:BD,INPUT_DATA!$A:$A,$C71,INPUT_DATA!$C:$C,"D"))</f>
        <v/>
      </c>
      <c r="AI71" s="774" t="str">
        <f>IF($C71=0,"",SUMIFS(INPUT_DATA!BE:BE,INPUT_DATA!$A:$A,$C71,INPUT_DATA!$C:$C,"D"))</f>
        <v/>
      </c>
      <c r="AJ71" s="315" t="str">
        <f t="shared" si="3"/>
        <v/>
      </c>
      <c r="AK71" s="782" t="str">
        <f>IF($C71=0,"",SUMIFS(INPUT_DATA!BG:BG,INPUT_DATA!$A:$A,$C71,INPUT_DATA!$C:$C,"D"))</f>
        <v/>
      </c>
      <c r="AL71" s="782" t="str">
        <f>IF($C71=0,"",SUMIFS(INPUT_DATA!BH:BH,INPUT_DATA!$A:$A,$C71,INPUT_DATA!$C:$C,"D"))</f>
        <v/>
      </c>
      <c r="AM71" s="782" t="str">
        <f>IF($C71=0,"",SUMIFS(INPUT_DATA!BI:BI,INPUT_DATA!$A:$A,$C71,INPUT_DATA!$C:$C,"D"))</f>
        <v/>
      </c>
      <c r="AN71" s="780" t="str">
        <f t="shared" si="7"/>
        <v/>
      </c>
      <c r="AO71" s="785" t="str">
        <f>IF($C71=0,"",SUMIFS(INPUT_DATA!BK:BK,INPUT_DATA!$A:$A,$C71,INPUT_DATA!$C:$C,"D"))</f>
        <v/>
      </c>
      <c r="AP71" s="355" t="str">
        <f t="shared" si="8"/>
        <v/>
      </c>
      <c r="AQ71" s="149"/>
      <c r="AS71" s="355" t="str">
        <f t="shared" si="9"/>
        <v/>
      </c>
      <c r="AU71" s="391" t="str">
        <f>IF($C71=0,"",'03 - Monthly Asset Follow up'!E75+'03 - Monthly Asset Follow up'!F75-'03 - Monthly Asset Follow up'!U75+'03 - Monthly Asset Follow up'!X75-H71)</f>
        <v/>
      </c>
      <c r="AV71" s="391" t="str">
        <f>IF($C71=0,"",'03 - Monthly Asset Follow up'!BD75+'03 - Monthly Asset Follow up'!BE75-'03 - Monthly Asset Follow up'!BT75+'03 - Monthly Asset Follow up'!BW75)</f>
        <v/>
      </c>
      <c r="AX71" s="154"/>
    </row>
    <row r="72" spans="2:50" ht="13" x14ac:dyDescent="0.3">
      <c r="B72" s="766" t="str">
        <f t="shared" si="4"/>
        <v/>
      </c>
      <c r="C72" s="769">
        <f>'03 - Monthly Asset Follow up'!B76</f>
        <v>0</v>
      </c>
      <c r="D72" s="149"/>
      <c r="E72" s="762" t="str">
        <f>IF($C72=0,"",SUMIFS(INPUT_DATA!AU:AU,INPUT_DATA!$A:$A,$C72,INPUT_DATA!$C:$C,"S"))</f>
        <v/>
      </c>
      <c r="F72" s="774" t="str">
        <f>IF($C72=0,"",SUMIFS(INPUT_DATA!AV:AV,INPUT_DATA!$A:$A,$C72,INPUT_DATA!$C:$C,"S"))</f>
        <v/>
      </c>
      <c r="G72" s="774" t="str">
        <f>IF($C72=0,"",SUMIFS(INPUT_DATA!AW:AW,INPUT_DATA!$A:$A,$C72,INPUT_DATA!$C:$C,"S"))</f>
        <v/>
      </c>
      <c r="H72" s="776" t="str">
        <f t="shared" si="0"/>
        <v/>
      </c>
      <c r="I72" s="774" t="str">
        <f>IF($C72=0,"",SUMIFS(INPUT_DATA!AY:AY,INPUT_DATA!$A:$A,$C72,INPUT_DATA!$C:$C,"S"))</f>
        <v/>
      </c>
      <c r="J72" s="774" t="str">
        <f>IF($C72=0,"",SUMIFS(INPUT_DATA!AZ:AZ,INPUT_DATA!$A:$A,$C72,INPUT_DATA!$C:$C,"S"))</f>
        <v/>
      </c>
      <c r="K72" s="774" t="str">
        <f>IF($C72=0,"",SUMIFS(INPUT_DATA!BA:BA,INPUT_DATA!$A:$A,$C72,INPUT_DATA!$C:$C,"S"))</f>
        <v/>
      </c>
      <c r="L72" s="774" t="str">
        <f>IF($C72=0,"",SUMIFS(INPUT_DATA!BB:BB,INPUT_DATA!$A:$A,$C72,INPUT_DATA!$C:$C,"S"))</f>
        <v/>
      </c>
      <c r="M72" s="774" t="str">
        <f>IF($C72=0,"",SUMIFS(INPUT_DATA!BC:BC,INPUT_DATA!$A:$A,$C72,INPUT_DATA!$C:$C,"S"))</f>
        <v/>
      </c>
      <c r="N72" s="774" t="str">
        <f>IF($C72=0,"",SUMIFS(INPUT_DATA!BD:BD,INPUT_DATA!$A:$A,$C72,INPUT_DATA!$C:$C,"S"))</f>
        <v/>
      </c>
      <c r="O72" s="774" t="str">
        <f>IF($C72=0,"",SUMIFS(INPUT_DATA!BE:BE,INPUT_DATA!$A:$A,$C72,INPUT_DATA!$C:$C,"S"))</f>
        <v/>
      </c>
      <c r="P72" s="774" t="str">
        <f>IF($C72=0,"",SUMIFS(INPUT_DATA!BF:BF,INPUT_DATA!$A:$A,$C72,INPUT_DATA!$C:$C,"S"))</f>
        <v/>
      </c>
      <c r="Q72" s="780" t="str">
        <f t="shared" si="5"/>
        <v/>
      </c>
      <c r="R72" s="782" t="str">
        <f>IF($C72=0,"",SUMIFS(INPUT_DATA!BH:BH,INPUT_DATA!$A:$A,$C72,INPUT_DATA!$C:$C,"S"))</f>
        <v/>
      </c>
      <c r="S72" s="782" t="str">
        <f>IF($C72=0,"",SUMIFS(INPUT_DATA!BI:BI,INPUT_DATA!$A:$A,$C72,INPUT_DATA!$C:$C,"S"))</f>
        <v/>
      </c>
      <c r="T72" s="780" t="str">
        <f t="shared" si="6"/>
        <v/>
      </c>
      <c r="U72" s="785" t="str">
        <f>IF($C72=0,"",SUMIFS(INPUT_DATA!BL:BL,INPUT_DATA!$A:$A,$C72,INPUT_DATA!$C:$C,"S"))</f>
        <v/>
      </c>
      <c r="V72" s="155" t="str">
        <f t="shared" si="1"/>
        <v/>
      </c>
      <c r="W72" s="149"/>
      <c r="X72" s="762" t="str">
        <f>IF($C72=0,"",SUMIFS(INPUT_DATA!AU:AU,INPUT_DATA!$A:$A,$C72,INPUT_DATA!$C:$C,"D"))</f>
        <v/>
      </c>
      <c r="Y72" s="774" t="str">
        <f>IF($C72=0,"",SUMIFS(INPUT_DATA!AV:AV,INPUT_DATA!$A:$A,$C72,INPUT_DATA!$C:$C,"D"))</f>
        <v/>
      </c>
      <c r="Z72" s="774" t="str">
        <f>IF($C72=0,"",SUMIFS(INPUT_DATA!AW:AW,INPUT_DATA!$A:$A,$C72,INPUT_DATA!$C:$C,"D"))</f>
        <v/>
      </c>
      <c r="AA72" s="775" t="str">
        <f t="shared" si="2"/>
        <v/>
      </c>
      <c r="AB72" s="774" t="str">
        <f>IF($C72=0,"",SUMIFS(INPUT_DATA!AX:AX,INPUT_DATA!$A:$A,$C72,INPUT_DATA!$C:$C,"D"))</f>
        <v/>
      </c>
      <c r="AC72" s="774" t="str">
        <f>IF($C72=0,"",SUMIFS(INPUT_DATA!AY:AY,INPUT_DATA!$A:$A,$C72,INPUT_DATA!$C:$C,"D"))</f>
        <v/>
      </c>
      <c r="AD72" s="774" t="str">
        <f>IF($C72=0,"",SUMIFS(INPUT_DATA!AZ:AZ,INPUT_DATA!$A:$A,$C72,INPUT_DATA!$C:$C,"D"))</f>
        <v/>
      </c>
      <c r="AE72" s="774" t="str">
        <f>IF($C72=0,"",SUMIFS(INPUT_DATA!BA:BA,INPUT_DATA!$A:$A,$C72,INPUT_DATA!$C:$C,"D"))</f>
        <v/>
      </c>
      <c r="AF72" s="774" t="str">
        <f>IF($C72=0,"",SUMIFS(INPUT_DATA!BB:BB,INPUT_DATA!$A:$A,$C72,INPUT_DATA!$C:$C,"D"))</f>
        <v/>
      </c>
      <c r="AG72" s="774" t="str">
        <f>IF($C72=0,"",SUMIFS(INPUT_DATA!BC:BC,INPUT_DATA!$A:$A,$C72,INPUT_DATA!$C:$C,"D"))</f>
        <v/>
      </c>
      <c r="AH72" s="774" t="str">
        <f>IF($C72=0,"",SUMIFS(INPUT_DATA!BD:BD,INPUT_DATA!$A:$A,$C72,INPUT_DATA!$C:$C,"D"))</f>
        <v/>
      </c>
      <c r="AI72" s="774" t="str">
        <f>IF($C72=0,"",SUMIFS(INPUT_DATA!BE:BE,INPUT_DATA!$A:$A,$C72,INPUT_DATA!$C:$C,"D"))</f>
        <v/>
      </c>
      <c r="AJ72" s="315" t="str">
        <f t="shared" si="3"/>
        <v/>
      </c>
      <c r="AK72" s="782" t="str">
        <f>IF($C72=0,"",SUMIFS(INPUT_DATA!BG:BG,INPUT_DATA!$A:$A,$C72,INPUT_DATA!$C:$C,"D"))</f>
        <v/>
      </c>
      <c r="AL72" s="782" t="str">
        <f>IF($C72=0,"",SUMIFS(INPUT_DATA!BH:BH,INPUT_DATA!$A:$A,$C72,INPUT_DATA!$C:$C,"D"))</f>
        <v/>
      </c>
      <c r="AM72" s="782" t="str">
        <f>IF($C72=0,"",SUMIFS(INPUT_DATA!BI:BI,INPUT_DATA!$A:$A,$C72,INPUT_DATA!$C:$C,"D"))</f>
        <v/>
      </c>
      <c r="AN72" s="780" t="str">
        <f t="shared" si="7"/>
        <v/>
      </c>
      <c r="AO72" s="785" t="str">
        <f>IF($C72=0,"",SUMIFS(INPUT_DATA!BK:BK,INPUT_DATA!$A:$A,$C72,INPUT_DATA!$C:$C,"D"))</f>
        <v/>
      </c>
      <c r="AP72" s="355" t="str">
        <f t="shared" si="8"/>
        <v/>
      </c>
      <c r="AQ72" s="149"/>
      <c r="AS72" s="355" t="str">
        <f t="shared" si="9"/>
        <v/>
      </c>
      <c r="AU72" s="391" t="str">
        <f>IF($C72=0,"",'03 - Monthly Asset Follow up'!E76+'03 - Monthly Asset Follow up'!F76-'03 - Monthly Asset Follow up'!U76+'03 - Monthly Asset Follow up'!X76-H72)</f>
        <v/>
      </c>
      <c r="AV72" s="391" t="str">
        <f>IF($C72=0,"",'03 - Monthly Asset Follow up'!BD76+'03 - Monthly Asset Follow up'!BE76-'03 - Monthly Asset Follow up'!BT76+'03 - Monthly Asset Follow up'!BW76)</f>
        <v/>
      </c>
      <c r="AX72" s="154"/>
    </row>
    <row r="73" spans="2:50" ht="13" x14ac:dyDescent="0.3">
      <c r="B73" s="766" t="str">
        <f t="shared" si="4"/>
        <v/>
      </c>
      <c r="C73" s="769">
        <f>'03 - Monthly Asset Follow up'!B77</f>
        <v>0</v>
      </c>
      <c r="D73" s="149"/>
      <c r="E73" s="762" t="str">
        <f>IF($C73=0,"",SUMIFS(INPUT_DATA!AU:AU,INPUT_DATA!$A:$A,$C73,INPUT_DATA!$C:$C,"S"))</f>
        <v/>
      </c>
      <c r="F73" s="774" t="str">
        <f>IF($C73=0,"",SUMIFS(INPUT_DATA!AV:AV,INPUT_DATA!$A:$A,$C73,INPUT_DATA!$C:$C,"S"))</f>
        <v/>
      </c>
      <c r="G73" s="774" t="str">
        <f>IF($C73=0,"",SUMIFS(INPUT_DATA!AW:AW,INPUT_DATA!$A:$A,$C73,INPUT_DATA!$C:$C,"S"))</f>
        <v/>
      </c>
      <c r="H73" s="776" t="str">
        <f t="shared" si="0"/>
        <v/>
      </c>
      <c r="I73" s="774" t="str">
        <f>IF($C73=0,"",SUMIFS(INPUT_DATA!AY:AY,INPUT_DATA!$A:$A,$C73,INPUT_DATA!$C:$C,"S"))</f>
        <v/>
      </c>
      <c r="J73" s="774" t="str">
        <f>IF($C73=0,"",SUMIFS(INPUT_DATA!AZ:AZ,INPUT_DATA!$A:$A,$C73,INPUT_DATA!$C:$C,"S"))</f>
        <v/>
      </c>
      <c r="K73" s="774" t="str">
        <f>IF($C73=0,"",SUMIFS(INPUT_DATA!BA:BA,INPUT_DATA!$A:$A,$C73,INPUT_DATA!$C:$C,"S"))</f>
        <v/>
      </c>
      <c r="L73" s="774" t="str">
        <f>IF($C73=0,"",SUMIFS(INPUT_DATA!BB:BB,INPUT_DATA!$A:$A,$C73,INPUT_DATA!$C:$C,"S"))</f>
        <v/>
      </c>
      <c r="M73" s="774" t="str">
        <f>IF($C73=0,"",SUMIFS(INPUT_DATA!BC:BC,INPUT_DATA!$A:$A,$C73,INPUT_DATA!$C:$C,"S"))</f>
        <v/>
      </c>
      <c r="N73" s="774" t="str">
        <f>IF($C73=0,"",SUMIFS(INPUT_DATA!BD:BD,INPUT_DATA!$A:$A,$C73,INPUT_DATA!$C:$C,"S"))</f>
        <v/>
      </c>
      <c r="O73" s="774" t="str">
        <f>IF($C73=0,"",SUMIFS(INPUT_DATA!BE:BE,INPUT_DATA!$A:$A,$C73,INPUT_DATA!$C:$C,"S"))</f>
        <v/>
      </c>
      <c r="P73" s="774" t="str">
        <f>IF($C73=0,"",SUMIFS(INPUT_DATA!BF:BF,INPUT_DATA!$A:$A,$C73,INPUT_DATA!$C:$C,"S"))</f>
        <v/>
      </c>
      <c r="Q73" s="780" t="str">
        <f t="shared" si="5"/>
        <v/>
      </c>
      <c r="R73" s="782" t="str">
        <f>IF($C73=0,"",SUMIFS(INPUT_DATA!BH:BH,INPUT_DATA!$A:$A,$C73,INPUT_DATA!$C:$C,"S"))</f>
        <v/>
      </c>
      <c r="S73" s="782" t="str">
        <f>IF($C73=0,"",SUMIFS(INPUT_DATA!BI:BI,INPUT_DATA!$A:$A,$C73,INPUT_DATA!$C:$C,"S"))</f>
        <v/>
      </c>
      <c r="T73" s="780" t="str">
        <f t="shared" si="6"/>
        <v/>
      </c>
      <c r="U73" s="785" t="str">
        <f>IF($C73=0,"",SUMIFS(INPUT_DATA!BL:BL,INPUT_DATA!$A:$A,$C73,INPUT_DATA!$C:$C,"S"))</f>
        <v/>
      </c>
      <c r="V73" s="155" t="str">
        <f t="shared" si="1"/>
        <v/>
      </c>
      <c r="W73" s="149"/>
      <c r="X73" s="762" t="str">
        <f>IF($C73=0,"",SUMIFS(INPUT_DATA!AU:AU,INPUT_DATA!$A:$A,$C73,INPUT_DATA!$C:$C,"D"))</f>
        <v/>
      </c>
      <c r="Y73" s="774" t="str">
        <f>IF($C73=0,"",SUMIFS(INPUT_DATA!AV:AV,INPUT_DATA!$A:$A,$C73,INPUT_DATA!$C:$C,"D"))</f>
        <v/>
      </c>
      <c r="Z73" s="774" t="str">
        <f>IF($C73=0,"",SUMIFS(INPUT_DATA!AW:AW,INPUT_DATA!$A:$A,$C73,INPUT_DATA!$C:$C,"D"))</f>
        <v/>
      </c>
      <c r="AA73" s="775" t="str">
        <f t="shared" si="2"/>
        <v/>
      </c>
      <c r="AB73" s="774" t="str">
        <f>IF($C73=0,"",SUMIFS(INPUT_DATA!AX:AX,INPUT_DATA!$A:$A,$C73,INPUT_DATA!$C:$C,"D"))</f>
        <v/>
      </c>
      <c r="AC73" s="774" t="str">
        <f>IF($C73=0,"",SUMIFS(INPUT_DATA!AY:AY,INPUT_DATA!$A:$A,$C73,INPUT_DATA!$C:$C,"D"))</f>
        <v/>
      </c>
      <c r="AD73" s="774" t="str">
        <f>IF($C73=0,"",SUMIFS(INPUT_DATA!AZ:AZ,INPUT_DATA!$A:$A,$C73,INPUT_DATA!$C:$C,"D"))</f>
        <v/>
      </c>
      <c r="AE73" s="774" t="str">
        <f>IF($C73=0,"",SUMIFS(INPUT_DATA!BA:BA,INPUT_DATA!$A:$A,$C73,INPUT_DATA!$C:$C,"D"))</f>
        <v/>
      </c>
      <c r="AF73" s="774" t="str">
        <f>IF($C73=0,"",SUMIFS(INPUT_DATA!BB:BB,INPUT_DATA!$A:$A,$C73,INPUT_DATA!$C:$C,"D"))</f>
        <v/>
      </c>
      <c r="AG73" s="774" t="str">
        <f>IF($C73=0,"",SUMIFS(INPUT_DATA!BC:BC,INPUT_DATA!$A:$A,$C73,INPUT_DATA!$C:$C,"D"))</f>
        <v/>
      </c>
      <c r="AH73" s="774" t="str">
        <f>IF($C73=0,"",SUMIFS(INPUT_DATA!BD:BD,INPUT_DATA!$A:$A,$C73,INPUT_DATA!$C:$C,"D"))</f>
        <v/>
      </c>
      <c r="AI73" s="774" t="str">
        <f>IF($C73=0,"",SUMIFS(INPUT_DATA!BE:BE,INPUT_DATA!$A:$A,$C73,INPUT_DATA!$C:$C,"D"))</f>
        <v/>
      </c>
      <c r="AJ73" s="315" t="str">
        <f t="shared" si="3"/>
        <v/>
      </c>
      <c r="AK73" s="782" t="str">
        <f>IF($C73=0,"",SUMIFS(INPUT_DATA!BG:BG,INPUT_DATA!$A:$A,$C73,INPUT_DATA!$C:$C,"D"))</f>
        <v/>
      </c>
      <c r="AL73" s="782" t="str">
        <f>IF($C73=0,"",SUMIFS(INPUT_DATA!BH:BH,INPUT_DATA!$A:$A,$C73,INPUT_DATA!$C:$C,"D"))</f>
        <v/>
      </c>
      <c r="AM73" s="782" t="str">
        <f>IF($C73=0,"",SUMIFS(INPUT_DATA!BI:BI,INPUT_DATA!$A:$A,$C73,INPUT_DATA!$C:$C,"D"))</f>
        <v/>
      </c>
      <c r="AN73" s="780" t="str">
        <f t="shared" si="7"/>
        <v/>
      </c>
      <c r="AO73" s="785" t="str">
        <f>IF($C73=0,"",SUMIFS(INPUT_DATA!BK:BK,INPUT_DATA!$A:$A,$C73,INPUT_DATA!$C:$C,"D"))</f>
        <v/>
      </c>
      <c r="AP73" s="355" t="str">
        <f t="shared" si="8"/>
        <v/>
      </c>
      <c r="AQ73" s="149"/>
      <c r="AS73" s="355" t="str">
        <f t="shared" si="9"/>
        <v/>
      </c>
      <c r="AU73" s="391" t="str">
        <f>IF($C73=0,"",'03 - Monthly Asset Follow up'!E77+'03 - Monthly Asset Follow up'!F77-'03 - Monthly Asset Follow up'!U77+'03 - Monthly Asset Follow up'!X77-H73)</f>
        <v/>
      </c>
      <c r="AV73" s="391" t="str">
        <f>IF($C73=0,"",'03 - Monthly Asset Follow up'!BD77+'03 - Monthly Asset Follow up'!BE77-'03 - Monthly Asset Follow up'!BT77+'03 - Monthly Asset Follow up'!BW77)</f>
        <v/>
      </c>
      <c r="AX73" s="154"/>
    </row>
    <row r="74" spans="2:50" ht="13" x14ac:dyDescent="0.3">
      <c r="B74" s="766" t="str">
        <f t="shared" si="4"/>
        <v/>
      </c>
      <c r="C74" s="769">
        <f>'03 - Monthly Asset Follow up'!B78</f>
        <v>0</v>
      </c>
      <c r="D74" s="149"/>
      <c r="E74" s="762" t="str">
        <f>IF($C74=0,"",SUMIFS(INPUT_DATA!AU:AU,INPUT_DATA!$A:$A,$C74,INPUT_DATA!$C:$C,"S"))</f>
        <v/>
      </c>
      <c r="F74" s="774" t="str">
        <f>IF($C74=0,"",SUMIFS(INPUT_DATA!AV:AV,INPUT_DATA!$A:$A,$C74,INPUT_DATA!$C:$C,"S"))</f>
        <v/>
      </c>
      <c r="G74" s="774" t="str">
        <f>IF($C74=0,"",SUMIFS(INPUT_DATA!AW:AW,INPUT_DATA!$A:$A,$C74,INPUT_DATA!$C:$C,"S"))</f>
        <v/>
      </c>
      <c r="H74" s="776" t="str">
        <f t="shared" si="0"/>
        <v/>
      </c>
      <c r="I74" s="774" t="str">
        <f>IF($C74=0,"",SUMIFS(INPUT_DATA!AY:AY,INPUT_DATA!$A:$A,$C74,INPUT_DATA!$C:$C,"S"))</f>
        <v/>
      </c>
      <c r="J74" s="774" t="str">
        <f>IF($C74=0,"",SUMIFS(INPUT_DATA!AZ:AZ,INPUT_DATA!$A:$A,$C74,INPUT_DATA!$C:$C,"S"))</f>
        <v/>
      </c>
      <c r="K74" s="774" t="str">
        <f>IF($C74=0,"",SUMIFS(INPUT_DATA!BA:BA,INPUT_DATA!$A:$A,$C74,INPUT_DATA!$C:$C,"S"))</f>
        <v/>
      </c>
      <c r="L74" s="774" t="str">
        <f>IF($C74=0,"",SUMIFS(INPUT_DATA!BB:BB,INPUT_DATA!$A:$A,$C74,INPUT_DATA!$C:$C,"S"))</f>
        <v/>
      </c>
      <c r="M74" s="774" t="str">
        <f>IF($C74=0,"",SUMIFS(INPUT_DATA!BC:BC,INPUT_DATA!$A:$A,$C74,INPUT_DATA!$C:$C,"S"))</f>
        <v/>
      </c>
      <c r="N74" s="774" t="str">
        <f>IF($C74=0,"",SUMIFS(INPUT_DATA!BD:BD,INPUT_DATA!$A:$A,$C74,INPUT_DATA!$C:$C,"S"))</f>
        <v/>
      </c>
      <c r="O74" s="774" t="str">
        <f>IF($C74=0,"",SUMIFS(INPUT_DATA!BE:BE,INPUT_DATA!$A:$A,$C74,INPUT_DATA!$C:$C,"S"))</f>
        <v/>
      </c>
      <c r="P74" s="774" t="str">
        <f>IF($C74=0,"",SUMIFS(INPUT_DATA!BF:BF,INPUT_DATA!$A:$A,$C74,INPUT_DATA!$C:$C,"S"))</f>
        <v/>
      </c>
      <c r="Q74" s="780" t="str">
        <f t="shared" si="5"/>
        <v/>
      </c>
      <c r="R74" s="782" t="str">
        <f>IF($C74=0,"",SUMIFS(INPUT_DATA!BH:BH,INPUT_DATA!$A:$A,$C74,INPUT_DATA!$C:$C,"S"))</f>
        <v/>
      </c>
      <c r="S74" s="782" t="str">
        <f>IF($C74=0,"",SUMIFS(INPUT_DATA!BI:BI,INPUT_DATA!$A:$A,$C74,INPUT_DATA!$C:$C,"S"))</f>
        <v/>
      </c>
      <c r="T74" s="780" t="str">
        <f t="shared" si="6"/>
        <v/>
      </c>
      <c r="U74" s="785" t="str">
        <f>IF($C74=0,"",SUMIFS(INPUT_DATA!BL:BL,INPUT_DATA!$A:$A,$C74,INPUT_DATA!$C:$C,"S"))</f>
        <v/>
      </c>
      <c r="V74" s="155" t="str">
        <f t="shared" si="1"/>
        <v/>
      </c>
      <c r="W74" s="149"/>
      <c r="X74" s="762" t="str">
        <f>IF($C74=0,"",SUMIFS(INPUT_DATA!AU:AU,INPUT_DATA!$A:$A,$C74,INPUT_DATA!$C:$C,"D"))</f>
        <v/>
      </c>
      <c r="Y74" s="774" t="str">
        <f>IF($C74=0,"",SUMIFS(INPUT_DATA!AV:AV,INPUT_DATA!$A:$A,$C74,INPUT_DATA!$C:$C,"D"))</f>
        <v/>
      </c>
      <c r="Z74" s="774" t="str">
        <f>IF($C74=0,"",SUMIFS(INPUT_DATA!AW:AW,INPUT_DATA!$A:$A,$C74,INPUT_DATA!$C:$C,"D"))</f>
        <v/>
      </c>
      <c r="AA74" s="775" t="str">
        <f t="shared" si="2"/>
        <v/>
      </c>
      <c r="AB74" s="774" t="str">
        <f>IF($C74=0,"",SUMIFS(INPUT_DATA!AX:AX,INPUT_DATA!$A:$A,$C74,INPUT_DATA!$C:$C,"D"))</f>
        <v/>
      </c>
      <c r="AC74" s="774" t="str">
        <f>IF($C74=0,"",SUMIFS(INPUT_DATA!AY:AY,INPUT_DATA!$A:$A,$C74,INPUT_DATA!$C:$C,"D"))</f>
        <v/>
      </c>
      <c r="AD74" s="774" t="str">
        <f>IF($C74=0,"",SUMIFS(INPUT_DATA!AZ:AZ,INPUT_DATA!$A:$A,$C74,INPUT_DATA!$C:$C,"D"))</f>
        <v/>
      </c>
      <c r="AE74" s="774" t="str">
        <f>IF($C74=0,"",SUMIFS(INPUT_DATA!BA:BA,INPUT_DATA!$A:$A,$C74,INPUT_DATA!$C:$C,"D"))</f>
        <v/>
      </c>
      <c r="AF74" s="774" t="str">
        <f>IF($C74=0,"",SUMIFS(INPUT_DATA!BB:BB,INPUT_DATA!$A:$A,$C74,INPUT_DATA!$C:$C,"D"))</f>
        <v/>
      </c>
      <c r="AG74" s="774" t="str">
        <f>IF($C74=0,"",SUMIFS(INPUT_DATA!BC:BC,INPUT_DATA!$A:$A,$C74,INPUT_DATA!$C:$C,"D"))</f>
        <v/>
      </c>
      <c r="AH74" s="774" t="str">
        <f>IF($C74=0,"",SUMIFS(INPUT_DATA!BD:BD,INPUT_DATA!$A:$A,$C74,INPUT_DATA!$C:$C,"D"))</f>
        <v/>
      </c>
      <c r="AI74" s="774" t="str">
        <f>IF($C74=0,"",SUMIFS(INPUT_DATA!BE:BE,INPUT_DATA!$A:$A,$C74,INPUT_DATA!$C:$C,"D"))</f>
        <v/>
      </c>
      <c r="AJ74" s="315" t="str">
        <f t="shared" si="3"/>
        <v/>
      </c>
      <c r="AK74" s="782" t="str">
        <f>IF($C74=0,"",SUMIFS(INPUT_DATA!BG:BG,INPUT_DATA!$A:$A,$C74,INPUT_DATA!$C:$C,"D"))</f>
        <v/>
      </c>
      <c r="AL74" s="782" t="str">
        <f>IF($C74=0,"",SUMIFS(INPUT_DATA!BH:BH,INPUT_DATA!$A:$A,$C74,INPUT_DATA!$C:$C,"D"))</f>
        <v/>
      </c>
      <c r="AM74" s="782" t="str">
        <f>IF($C74=0,"",SUMIFS(INPUT_DATA!BI:BI,INPUT_DATA!$A:$A,$C74,INPUT_DATA!$C:$C,"D"))</f>
        <v/>
      </c>
      <c r="AN74" s="780" t="str">
        <f t="shared" si="7"/>
        <v/>
      </c>
      <c r="AO74" s="785" t="str">
        <f>IF($C74=0,"",SUMIFS(INPUT_DATA!BK:BK,INPUT_DATA!$A:$A,$C74,INPUT_DATA!$C:$C,"D"))</f>
        <v/>
      </c>
      <c r="AP74" s="355" t="str">
        <f t="shared" si="8"/>
        <v/>
      </c>
      <c r="AQ74" s="149"/>
      <c r="AS74" s="355" t="str">
        <f t="shared" si="9"/>
        <v/>
      </c>
      <c r="AU74" s="391" t="str">
        <f>IF($C74=0,"",'03 - Monthly Asset Follow up'!E78+'03 - Monthly Asset Follow up'!F78-'03 - Monthly Asset Follow up'!U78+'03 - Monthly Asset Follow up'!X78-H74)</f>
        <v/>
      </c>
      <c r="AV74" s="391" t="str">
        <f>IF($C74=0,"",'03 - Monthly Asset Follow up'!BD78+'03 - Monthly Asset Follow up'!BE78-'03 - Monthly Asset Follow up'!BT78+'03 - Monthly Asset Follow up'!BW78)</f>
        <v/>
      </c>
      <c r="AX74" s="154"/>
    </row>
    <row r="75" spans="2:50" ht="13" x14ac:dyDescent="0.3">
      <c r="B75" s="766" t="str">
        <f t="shared" si="4"/>
        <v/>
      </c>
      <c r="C75" s="769">
        <f>'03 - Monthly Asset Follow up'!B79</f>
        <v>0</v>
      </c>
      <c r="D75" s="149"/>
      <c r="E75" s="762" t="str">
        <f>IF($C75=0,"",SUMIFS(INPUT_DATA!AU:AU,INPUT_DATA!$A:$A,$C75,INPUT_DATA!$C:$C,"S"))</f>
        <v/>
      </c>
      <c r="F75" s="774" t="str">
        <f>IF($C75=0,"",SUMIFS(INPUT_DATA!AV:AV,INPUT_DATA!$A:$A,$C75,INPUT_DATA!$C:$C,"S"))</f>
        <v/>
      </c>
      <c r="G75" s="774" t="str">
        <f>IF($C75=0,"",SUMIFS(INPUT_DATA!AW:AW,INPUT_DATA!$A:$A,$C75,INPUT_DATA!$C:$C,"S"))</f>
        <v/>
      </c>
      <c r="H75" s="776" t="str">
        <f t="shared" si="0"/>
        <v/>
      </c>
      <c r="I75" s="774" t="str">
        <f>IF($C75=0,"",SUMIFS(INPUT_DATA!AY:AY,INPUT_DATA!$A:$A,$C75,INPUT_DATA!$C:$C,"S"))</f>
        <v/>
      </c>
      <c r="J75" s="774" t="str">
        <f>IF($C75=0,"",SUMIFS(INPUT_DATA!AZ:AZ,INPUT_DATA!$A:$A,$C75,INPUT_DATA!$C:$C,"S"))</f>
        <v/>
      </c>
      <c r="K75" s="774" t="str">
        <f>IF($C75=0,"",SUMIFS(INPUT_DATA!BA:BA,INPUT_DATA!$A:$A,$C75,INPUT_DATA!$C:$C,"S"))</f>
        <v/>
      </c>
      <c r="L75" s="774" t="str">
        <f>IF($C75=0,"",SUMIFS(INPUT_DATA!BB:BB,INPUT_DATA!$A:$A,$C75,INPUT_DATA!$C:$C,"S"))</f>
        <v/>
      </c>
      <c r="M75" s="774" t="str">
        <f>IF($C75=0,"",SUMIFS(INPUT_DATA!BC:BC,INPUT_DATA!$A:$A,$C75,INPUT_DATA!$C:$C,"S"))</f>
        <v/>
      </c>
      <c r="N75" s="774" t="str">
        <f>IF($C75=0,"",SUMIFS(INPUT_DATA!BD:BD,INPUT_DATA!$A:$A,$C75,INPUT_DATA!$C:$C,"S"))</f>
        <v/>
      </c>
      <c r="O75" s="774" t="str">
        <f>IF($C75=0,"",SUMIFS(INPUT_DATA!BE:BE,INPUT_DATA!$A:$A,$C75,INPUT_DATA!$C:$C,"S"))</f>
        <v/>
      </c>
      <c r="P75" s="774" t="str">
        <f>IF($C75=0,"",SUMIFS(INPUT_DATA!BF:BF,INPUT_DATA!$A:$A,$C75,INPUT_DATA!$C:$C,"S"))</f>
        <v/>
      </c>
      <c r="Q75" s="780" t="str">
        <f t="shared" si="5"/>
        <v/>
      </c>
      <c r="R75" s="782" t="str">
        <f>IF($C75=0,"",SUMIFS(INPUT_DATA!BH:BH,INPUT_DATA!$A:$A,$C75,INPUT_DATA!$C:$C,"S"))</f>
        <v/>
      </c>
      <c r="S75" s="782" t="str">
        <f>IF($C75=0,"",SUMIFS(INPUT_DATA!BI:BI,INPUT_DATA!$A:$A,$C75,INPUT_DATA!$C:$C,"S"))</f>
        <v/>
      </c>
      <c r="T75" s="780" t="str">
        <f t="shared" si="6"/>
        <v/>
      </c>
      <c r="U75" s="785" t="str">
        <f>IF($C75=0,"",SUMIFS(INPUT_DATA!BL:BL,INPUT_DATA!$A:$A,$C75,INPUT_DATA!$C:$C,"S"))</f>
        <v/>
      </c>
      <c r="V75" s="155" t="str">
        <f t="shared" si="1"/>
        <v/>
      </c>
      <c r="W75" s="149"/>
      <c r="X75" s="762" t="str">
        <f>IF($C75=0,"",SUMIFS(INPUT_DATA!AU:AU,INPUT_DATA!$A:$A,$C75,INPUT_DATA!$C:$C,"D"))</f>
        <v/>
      </c>
      <c r="Y75" s="774" t="str">
        <f>IF($C75=0,"",SUMIFS(INPUT_DATA!AV:AV,INPUT_DATA!$A:$A,$C75,INPUT_DATA!$C:$C,"D"))</f>
        <v/>
      </c>
      <c r="Z75" s="774" t="str">
        <f>IF($C75=0,"",SUMIFS(INPUT_DATA!AW:AW,INPUT_DATA!$A:$A,$C75,INPUT_DATA!$C:$C,"D"))</f>
        <v/>
      </c>
      <c r="AA75" s="775" t="str">
        <f t="shared" si="2"/>
        <v/>
      </c>
      <c r="AB75" s="774" t="str">
        <f>IF($C75=0,"",SUMIFS(INPUT_DATA!AX:AX,INPUT_DATA!$A:$A,$C75,INPUT_DATA!$C:$C,"D"))</f>
        <v/>
      </c>
      <c r="AC75" s="774" t="str">
        <f>IF($C75=0,"",SUMIFS(INPUT_DATA!AY:AY,INPUT_DATA!$A:$A,$C75,INPUT_DATA!$C:$C,"D"))</f>
        <v/>
      </c>
      <c r="AD75" s="774" t="str">
        <f>IF($C75=0,"",SUMIFS(INPUT_DATA!AZ:AZ,INPUT_DATA!$A:$A,$C75,INPUT_DATA!$C:$C,"D"))</f>
        <v/>
      </c>
      <c r="AE75" s="774" t="str">
        <f>IF($C75=0,"",SUMIFS(INPUT_DATA!BA:BA,INPUT_DATA!$A:$A,$C75,INPUT_DATA!$C:$C,"D"))</f>
        <v/>
      </c>
      <c r="AF75" s="774" t="str">
        <f>IF($C75=0,"",SUMIFS(INPUT_DATA!BB:BB,INPUT_DATA!$A:$A,$C75,INPUT_DATA!$C:$C,"D"))</f>
        <v/>
      </c>
      <c r="AG75" s="774" t="str">
        <f>IF($C75=0,"",SUMIFS(INPUT_DATA!BC:BC,INPUT_DATA!$A:$A,$C75,INPUT_DATA!$C:$C,"D"))</f>
        <v/>
      </c>
      <c r="AH75" s="774" t="str">
        <f>IF($C75=0,"",SUMIFS(INPUT_DATA!BD:BD,INPUT_DATA!$A:$A,$C75,INPUT_DATA!$C:$C,"D"))</f>
        <v/>
      </c>
      <c r="AI75" s="774" t="str">
        <f>IF($C75=0,"",SUMIFS(INPUT_DATA!BE:BE,INPUT_DATA!$A:$A,$C75,INPUT_DATA!$C:$C,"D"))</f>
        <v/>
      </c>
      <c r="AJ75" s="315" t="str">
        <f t="shared" si="3"/>
        <v/>
      </c>
      <c r="AK75" s="782" t="str">
        <f>IF($C75=0,"",SUMIFS(INPUT_DATA!BG:BG,INPUT_DATA!$A:$A,$C75,INPUT_DATA!$C:$C,"D"))</f>
        <v/>
      </c>
      <c r="AL75" s="782" t="str">
        <f>IF($C75=0,"",SUMIFS(INPUT_DATA!BH:BH,INPUT_DATA!$A:$A,$C75,INPUT_DATA!$C:$C,"D"))</f>
        <v/>
      </c>
      <c r="AM75" s="782" t="str">
        <f>IF($C75=0,"",SUMIFS(INPUT_DATA!BI:BI,INPUT_DATA!$A:$A,$C75,INPUT_DATA!$C:$C,"D"))</f>
        <v/>
      </c>
      <c r="AN75" s="780" t="str">
        <f t="shared" si="7"/>
        <v/>
      </c>
      <c r="AO75" s="785" t="str">
        <f>IF($C75=0,"",SUMIFS(INPUT_DATA!BK:BK,INPUT_DATA!$A:$A,$C75,INPUT_DATA!$C:$C,"D"))</f>
        <v/>
      </c>
      <c r="AP75" s="355" t="str">
        <f t="shared" si="8"/>
        <v/>
      </c>
      <c r="AQ75" s="149"/>
      <c r="AS75" s="355" t="str">
        <f t="shared" si="9"/>
        <v/>
      </c>
      <c r="AU75" s="391" t="str">
        <f>IF($C75=0,"",'03 - Monthly Asset Follow up'!E79+'03 - Monthly Asset Follow up'!F79-'03 - Monthly Asset Follow up'!U79+'03 - Monthly Asset Follow up'!X79-H75)</f>
        <v/>
      </c>
      <c r="AV75" s="391" t="str">
        <f>IF($C75=0,"",'03 - Monthly Asset Follow up'!BD79+'03 - Monthly Asset Follow up'!BE79-'03 - Monthly Asset Follow up'!BT79+'03 - Monthly Asset Follow up'!BW79)</f>
        <v/>
      </c>
      <c r="AX75" s="154"/>
    </row>
    <row r="76" spans="2:50" ht="13" x14ac:dyDescent="0.3">
      <c r="B76" s="766" t="str">
        <f t="shared" si="4"/>
        <v/>
      </c>
      <c r="C76" s="769">
        <f>'03 - Monthly Asset Follow up'!B80</f>
        <v>0</v>
      </c>
      <c r="D76" s="149"/>
      <c r="E76" s="762" t="str">
        <f>IF($C76=0,"",SUMIFS(INPUT_DATA!AU:AU,INPUT_DATA!$A:$A,$C76,INPUT_DATA!$C:$C,"S"))</f>
        <v/>
      </c>
      <c r="F76" s="774" t="str">
        <f>IF($C76=0,"",SUMIFS(INPUT_DATA!AV:AV,INPUT_DATA!$A:$A,$C76,INPUT_DATA!$C:$C,"S"))</f>
        <v/>
      </c>
      <c r="G76" s="774" t="str">
        <f>IF($C76=0,"",SUMIFS(INPUT_DATA!AW:AW,INPUT_DATA!$A:$A,$C76,INPUT_DATA!$C:$C,"S"))</f>
        <v/>
      </c>
      <c r="H76" s="776" t="str">
        <f t="shared" si="0"/>
        <v/>
      </c>
      <c r="I76" s="774" t="str">
        <f>IF($C76=0,"",SUMIFS(INPUT_DATA!AY:AY,INPUT_DATA!$A:$A,$C76,INPUT_DATA!$C:$C,"S"))</f>
        <v/>
      </c>
      <c r="J76" s="774" t="str">
        <f>IF($C76=0,"",SUMIFS(INPUT_DATA!AZ:AZ,INPUT_DATA!$A:$A,$C76,INPUT_DATA!$C:$C,"S"))</f>
        <v/>
      </c>
      <c r="K76" s="774" t="str">
        <f>IF($C76=0,"",SUMIFS(INPUT_DATA!BA:BA,INPUT_DATA!$A:$A,$C76,INPUT_DATA!$C:$C,"S"))</f>
        <v/>
      </c>
      <c r="L76" s="774" t="str">
        <f>IF($C76=0,"",SUMIFS(INPUT_DATA!BB:BB,INPUT_DATA!$A:$A,$C76,INPUT_DATA!$C:$C,"S"))</f>
        <v/>
      </c>
      <c r="M76" s="774" t="str">
        <f>IF($C76=0,"",SUMIFS(INPUT_DATA!BC:BC,INPUT_DATA!$A:$A,$C76,INPUT_DATA!$C:$C,"S"))</f>
        <v/>
      </c>
      <c r="N76" s="774" t="str">
        <f>IF($C76=0,"",SUMIFS(INPUT_DATA!BD:BD,INPUT_DATA!$A:$A,$C76,INPUT_DATA!$C:$C,"S"))</f>
        <v/>
      </c>
      <c r="O76" s="774" t="str">
        <f>IF($C76=0,"",SUMIFS(INPUT_DATA!BE:BE,INPUT_DATA!$A:$A,$C76,INPUT_DATA!$C:$C,"S"))</f>
        <v/>
      </c>
      <c r="P76" s="774" t="str">
        <f>IF($C76=0,"",SUMIFS(INPUT_DATA!BF:BF,INPUT_DATA!$A:$A,$C76,INPUT_DATA!$C:$C,"S"))</f>
        <v/>
      </c>
      <c r="Q76" s="780" t="str">
        <f t="shared" si="5"/>
        <v/>
      </c>
      <c r="R76" s="782" t="str">
        <f>IF($C76=0,"",SUMIFS(INPUT_DATA!BH:BH,INPUT_DATA!$A:$A,$C76,INPUT_DATA!$C:$C,"S"))</f>
        <v/>
      </c>
      <c r="S76" s="782" t="str">
        <f>IF($C76=0,"",SUMIFS(INPUT_DATA!BI:BI,INPUT_DATA!$A:$A,$C76,INPUT_DATA!$C:$C,"S"))</f>
        <v/>
      </c>
      <c r="T76" s="780" t="str">
        <f t="shared" si="6"/>
        <v/>
      </c>
      <c r="U76" s="785" t="str">
        <f>IF($C76=0,"",SUMIFS(INPUT_DATA!BL:BL,INPUT_DATA!$A:$A,$C76,INPUT_DATA!$C:$C,"S"))</f>
        <v/>
      </c>
      <c r="V76" s="155" t="str">
        <f t="shared" si="1"/>
        <v/>
      </c>
      <c r="W76" s="149"/>
      <c r="X76" s="762" t="str">
        <f>IF($C76=0,"",SUMIFS(INPUT_DATA!AU:AU,INPUT_DATA!$A:$A,$C76,INPUT_DATA!$C:$C,"D"))</f>
        <v/>
      </c>
      <c r="Y76" s="774" t="str">
        <f>IF($C76=0,"",SUMIFS(INPUT_DATA!AV:AV,INPUT_DATA!$A:$A,$C76,INPUT_DATA!$C:$C,"D"))</f>
        <v/>
      </c>
      <c r="Z76" s="774" t="str">
        <f>IF($C76=0,"",SUMIFS(INPUT_DATA!AW:AW,INPUT_DATA!$A:$A,$C76,INPUT_DATA!$C:$C,"D"))</f>
        <v/>
      </c>
      <c r="AA76" s="775" t="str">
        <f t="shared" si="2"/>
        <v/>
      </c>
      <c r="AB76" s="774" t="str">
        <f>IF($C76=0,"",SUMIFS(INPUT_DATA!AX:AX,INPUT_DATA!$A:$A,$C76,INPUT_DATA!$C:$C,"D"))</f>
        <v/>
      </c>
      <c r="AC76" s="774" t="str">
        <f>IF($C76=0,"",SUMIFS(INPUT_DATA!AY:AY,INPUT_DATA!$A:$A,$C76,INPUT_DATA!$C:$C,"D"))</f>
        <v/>
      </c>
      <c r="AD76" s="774" t="str">
        <f>IF($C76=0,"",SUMIFS(INPUT_DATA!AZ:AZ,INPUT_DATA!$A:$A,$C76,INPUT_DATA!$C:$C,"D"))</f>
        <v/>
      </c>
      <c r="AE76" s="774" t="str">
        <f>IF($C76=0,"",SUMIFS(INPUT_DATA!BA:BA,INPUT_DATA!$A:$A,$C76,INPUT_DATA!$C:$C,"D"))</f>
        <v/>
      </c>
      <c r="AF76" s="774" t="str">
        <f>IF($C76=0,"",SUMIFS(INPUT_DATA!BB:BB,INPUT_DATA!$A:$A,$C76,INPUT_DATA!$C:$C,"D"))</f>
        <v/>
      </c>
      <c r="AG76" s="774" t="str">
        <f>IF($C76=0,"",SUMIFS(INPUT_DATA!BC:BC,INPUT_DATA!$A:$A,$C76,INPUT_DATA!$C:$C,"D"))</f>
        <v/>
      </c>
      <c r="AH76" s="774" t="str">
        <f>IF($C76=0,"",SUMIFS(INPUT_DATA!BD:BD,INPUT_DATA!$A:$A,$C76,INPUT_DATA!$C:$C,"D"))</f>
        <v/>
      </c>
      <c r="AI76" s="774" t="str">
        <f>IF($C76=0,"",SUMIFS(INPUT_DATA!BE:BE,INPUT_DATA!$A:$A,$C76,INPUT_DATA!$C:$C,"D"))</f>
        <v/>
      </c>
      <c r="AJ76" s="315" t="str">
        <f t="shared" si="3"/>
        <v/>
      </c>
      <c r="AK76" s="782" t="str">
        <f>IF($C76=0,"",SUMIFS(INPUT_DATA!BG:BG,INPUT_DATA!$A:$A,$C76,INPUT_DATA!$C:$C,"D"))</f>
        <v/>
      </c>
      <c r="AL76" s="782" t="str">
        <f>IF($C76=0,"",SUMIFS(INPUT_DATA!BH:BH,INPUT_DATA!$A:$A,$C76,INPUT_DATA!$C:$C,"D"))</f>
        <v/>
      </c>
      <c r="AM76" s="782" t="str">
        <f>IF($C76=0,"",SUMIFS(INPUT_DATA!BI:BI,INPUT_DATA!$A:$A,$C76,INPUT_DATA!$C:$C,"D"))</f>
        <v/>
      </c>
      <c r="AN76" s="780" t="str">
        <f t="shared" si="7"/>
        <v/>
      </c>
      <c r="AO76" s="785" t="str">
        <f>IF($C76=0,"",SUMIFS(INPUT_DATA!BK:BK,INPUT_DATA!$A:$A,$C76,INPUT_DATA!$C:$C,"D"))</f>
        <v/>
      </c>
      <c r="AP76" s="355" t="str">
        <f t="shared" si="8"/>
        <v/>
      </c>
      <c r="AQ76" s="149"/>
      <c r="AS76" s="355" t="str">
        <f t="shared" si="9"/>
        <v/>
      </c>
      <c r="AU76" s="391" t="str">
        <f>IF($C76=0,"",'03 - Monthly Asset Follow up'!E80+'03 - Monthly Asset Follow up'!F80-'03 - Monthly Asset Follow up'!U80+'03 - Monthly Asset Follow up'!X80-H76)</f>
        <v/>
      </c>
      <c r="AV76" s="391" t="str">
        <f>IF($C76=0,"",'03 - Monthly Asset Follow up'!BD80+'03 - Monthly Asset Follow up'!BE80-'03 - Monthly Asset Follow up'!BT80+'03 - Monthly Asset Follow up'!BW80)</f>
        <v/>
      </c>
      <c r="AX76" s="154"/>
    </row>
    <row r="77" spans="2:50" ht="13" x14ac:dyDescent="0.3">
      <c r="B77" s="766" t="str">
        <f t="shared" si="4"/>
        <v/>
      </c>
      <c r="C77" s="769">
        <f>'03 - Monthly Asset Follow up'!B81</f>
        <v>0</v>
      </c>
      <c r="D77" s="149"/>
      <c r="E77" s="762" t="str">
        <f>IF($C77=0,"",SUMIFS(INPUT_DATA!AU:AU,INPUT_DATA!$A:$A,$C77,INPUT_DATA!$C:$C,"S"))</f>
        <v/>
      </c>
      <c r="F77" s="774" t="str">
        <f>IF($C77=0,"",SUMIFS(INPUT_DATA!AV:AV,INPUT_DATA!$A:$A,$C77,INPUT_DATA!$C:$C,"S"))</f>
        <v/>
      </c>
      <c r="G77" s="774" t="str">
        <f>IF($C77=0,"",SUMIFS(INPUT_DATA!AW:AW,INPUT_DATA!$A:$A,$C77,INPUT_DATA!$C:$C,"S"))</f>
        <v/>
      </c>
      <c r="H77" s="776" t="str">
        <f t="shared" si="0"/>
        <v/>
      </c>
      <c r="I77" s="774" t="str">
        <f>IF($C77=0,"",SUMIFS(INPUT_DATA!AY:AY,INPUT_DATA!$A:$A,$C77,INPUT_DATA!$C:$C,"S"))</f>
        <v/>
      </c>
      <c r="J77" s="774" t="str">
        <f>IF($C77=0,"",SUMIFS(INPUT_DATA!AZ:AZ,INPUT_DATA!$A:$A,$C77,INPUT_DATA!$C:$C,"S"))</f>
        <v/>
      </c>
      <c r="K77" s="774" t="str">
        <f>IF($C77=0,"",SUMIFS(INPUT_DATA!BA:BA,INPUT_DATA!$A:$A,$C77,INPUT_DATA!$C:$C,"S"))</f>
        <v/>
      </c>
      <c r="L77" s="774" t="str">
        <f>IF($C77=0,"",SUMIFS(INPUT_DATA!BB:BB,INPUT_DATA!$A:$A,$C77,INPUT_DATA!$C:$C,"S"))</f>
        <v/>
      </c>
      <c r="M77" s="774" t="str">
        <f>IF($C77=0,"",SUMIFS(INPUT_DATA!BC:BC,INPUT_DATA!$A:$A,$C77,INPUT_DATA!$C:$C,"S"))</f>
        <v/>
      </c>
      <c r="N77" s="774" t="str">
        <f>IF($C77=0,"",SUMIFS(INPUT_DATA!BD:BD,INPUT_DATA!$A:$A,$C77,INPUT_DATA!$C:$C,"S"))</f>
        <v/>
      </c>
      <c r="O77" s="774" t="str">
        <f>IF($C77=0,"",SUMIFS(INPUT_DATA!BE:BE,INPUT_DATA!$A:$A,$C77,INPUT_DATA!$C:$C,"S"))</f>
        <v/>
      </c>
      <c r="P77" s="774" t="str">
        <f>IF($C77=0,"",SUMIFS(INPUT_DATA!BF:BF,INPUT_DATA!$A:$A,$C77,INPUT_DATA!$C:$C,"S"))</f>
        <v/>
      </c>
      <c r="Q77" s="780" t="str">
        <f t="shared" si="5"/>
        <v/>
      </c>
      <c r="R77" s="782" t="str">
        <f>IF($C77=0,"",SUMIFS(INPUT_DATA!BH:BH,INPUT_DATA!$A:$A,$C77,INPUT_DATA!$C:$C,"S"))</f>
        <v/>
      </c>
      <c r="S77" s="782" t="str">
        <f>IF($C77=0,"",SUMIFS(INPUT_DATA!BI:BI,INPUT_DATA!$A:$A,$C77,INPUT_DATA!$C:$C,"S"))</f>
        <v/>
      </c>
      <c r="T77" s="780" t="str">
        <f t="shared" si="6"/>
        <v/>
      </c>
      <c r="U77" s="785" t="str">
        <f>IF($C77=0,"",SUMIFS(INPUT_DATA!BL:BL,INPUT_DATA!$A:$A,$C77,INPUT_DATA!$C:$C,"S"))</f>
        <v/>
      </c>
      <c r="V77" s="155" t="str">
        <f t="shared" si="1"/>
        <v/>
      </c>
      <c r="W77" s="149"/>
      <c r="X77" s="762" t="str">
        <f>IF($C77=0,"",SUMIFS(INPUT_DATA!AU:AU,INPUT_DATA!$A:$A,$C77,INPUT_DATA!$C:$C,"D"))</f>
        <v/>
      </c>
      <c r="Y77" s="774" t="str">
        <f>IF($C77=0,"",SUMIFS(INPUT_DATA!AV:AV,INPUT_DATA!$A:$A,$C77,INPUT_DATA!$C:$C,"D"))</f>
        <v/>
      </c>
      <c r="Z77" s="774" t="str">
        <f>IF($C77=0,"",SUMIFS(INPUT_DATA!AW:AW,INPUT_DATA!$A:$A,$C77,INPUT_DATA!$C:$C,"D"))</f>
        <v/>
      </c>
      <c r="AA77" s="775" t="str">
        <f t="shared" si="2"/>
        <v/>
      </c>
      <c r="AB77" s="774" t="str">
        <f>IF($C77=0,"",SUMIFS(INPUT_DATA!AX:AX,INPUT_DATA!$A:$A,$C77,INPUT_DATA!$C:$C,"D"))</f>
        <v/>
      </c>
      <c r="AC77" s="774" t="str">
        <f>IF($C77=0,"",SUMIFS(INPUT_DATA!AY:AY,INPUT_DATA!$A:$A,$C77,INPUT_DATA!$C:$C,"D"))</f>
        <v/>
      </c>
      <c r="AD77" s="774" t="str">
        <f>IF($C77=0,"",SUMIFS(INPUT_DATA!AZ:AZ,INPUT_DATA!$A:$A,$C77,INPUT_DATA!$C:$C,"D"))</f>
        <v/>
      </c>
      <c r="AE77" s="774" t="str">
        <f>IF($C77=0,"",SUMIFS(INPUT_DATA!BA:BA,INPUT_DATA!$A:$A,$C77,INPUT_DATA!$C:$C,"D"))</f>
        <v/>
      </c>
      <c r="AF77" s="774" t="str">
        <f>IF($C77=0,"",SUMIFS(INPUT_DATA!BB:BB,INPUT_DATA!$A:$A,$C77,INPUT_DATA!$C:$C,"D"))</f>
        <v/>
      </c>
      <c r="AG77" s="774" t="str">
        <f>IF($C77=0,"",SUMIFS(INPUT_DATA!BC:BC,INPUT_DATA!$A:$A,$C77,INPUT_DATA!$C:$C,"D"))</f>
        <v/>
      </c>
      <c r="AH77" s="774" t="str">
        <f>IF($C77=0,"",SUMIFS(INPUT_DATA!BD:BD,INPUT_DATA!$A:$A,$C77,INPUT_DATA!$C:$C,"D"))</f>
        <v/>
      </c>
      <c r="AI77" s="774" t="str">
        <f>IF($C77=0,"",SUMIFS(INPUT_DATA!BE:BE,INPUT_DATA!$A:$A,$C77,INPUT_DATA!$C:$C,"D"))</f>
        <v/>
      </c>
      <c r="AJ77" s="315" t="str">
        <f t="shared" si="3"/>
        <v/>
      </c>
      <c r="AK77" s="782" t="str">
        <f>IF($C77=0,"",SUMIFS(INPUT_DATA!BG:BG,INPUT_DATA!$A:$A,$C77,INPUT_DATA!$C:$C,"D"))</f>
        <v/>
      </c>
      <c r="AL77" s="782" t="str">
        <f>IF($C77=0,"",SUMIFS(INPUT_DATA!BH:BH,INPUT_DATA!$A:$A,$C77,INPUT_DATA!$C:$C,"D"))</f>
        <v/>
      </c>
      <c r="AM77" s="782" t="str">
        <f>IF($C77=0,"",SUMIFS(INPUT_DATA!BI:BI,INPUT_DATA!$A:$A,$C77,INPUT_DATA!$C:$C,"D"))</f>
        <v/>
      </c>
      <c r="AN77" s="780" t="str">
        <f t="shared" si="7"/>
        <v/>
      </c>
      <c r="AO77" s="785" t="str">
        <f>IF($C77=0,"",SUMIFS(INPUT_DATA!BK:BK,INPUT_DATA!$A:$A,$C77,INPUT_DATA!$C:$C,"D"))</f>
        <v/>
      </c>
      <c r="AP77" s="355" t="str">
        <f t="shared" si="8"/>
        <v/>
      </c>
      <c r="AQ77" s="149"/>
      <c r="AS77" s="355" t="str">
        <f t="shared" si="9"/>
        <v/>
      </c>
      <c r="AU77" s="391" t="str">
        <f>IF($C77=0,"",'03 - Monthly Asset Follow up'!E81+'03 - Monthly Asset Follow up'!F81-'03 - Monthly Asset Follow up'!U81+'03 - Monthly Asset Follow up'!X81-H77)</f>
        <v/>
      </c>
      <c r="AV77" s="391" t="str">
        <f>IF($C77=0,"",'03 - Monthly Asset Follow up'!BD81+'03 - Monthly Asset Follow up'!BE81-'03 - Monthly Asset Follow up'!BT81+'03 - Monthly Asset Follow up'!BW81)</f>
        <v/>
      </c>
      <c r="AX77" s="154"/>
    </row>
    <row r="78" spans="2:50" ht="13" x14ac:dyDescent="0.3">
      <c r="B78" s="766" t="str">
        <f t="shared" si="4"/>
        <v/>
      </c>
      <c r="C78" s="769">
        <f>'03 - Monthly Asset Follow up'!B82</f>
        <v>0</v>
      </c>
      <c r="D78" s="149"/>
      <c r="E78" s="762" t="str">
        <f>IF($C78=0,"",SUMIFS(INPUT_DATA!AU:AU,INPUT_DATA!$A:$A,$C78,INPUT_DATA!$C:$C,"S"))</f>
        <v/>
      </c>
      <c r="F78" s="774" t="str">
        <f>IF($C78=0,"",SUMIFS(INPUT_DATA!AV:AV,INPUT_DATA!$A:$A,$C78,INPUT_DATA!$C:$C,"S"))</f>
        <v/>
      </c>
      <c r="G78" s="774" t="str">
        <f>IF($C78=0,"",SUMIFS(INPUT_DATA!AW:AW,INPUT_DATA!$A:$A,$C78,INPUT_DATA!$C:$C,"S"))</f>
        <v/>
      </c>
      <c r="H78" s="776" t="str">
        <f t="shared" ref="H78:H121" si="10">IF($C78=0,"",E78+F78+G78)</f>
        <v/>
      </c>
      <c r="I78" s="774" t="str">
        <f>IF($C78=0,"",SUMIFS(INPUT_DATA!AY:AY,INPUT_DATA!$A:$A,$C78,INPUT_DATA!$C:$C,"S"))</f>
        <v/>
      </c>
      <c r="J78" s="774" t="str">
        <f>IF($C78=0,"",SUMIFS(INPUT_DATA!AZ:AZ,INPUT_DATA!$A:$A,$C78,INPUT_DATA!$C:$C,"S"))</f>
        <v/>
      </c>
      <c r="K78" s="774" t="str">
        <f>IF($C78=0,"",SUMIFS(INPUT_DATA!BA:BA,INPUT_DATA!$A:$A,$C78,INPUT_DATA!$C:$C,"S"))</f>
        <v/>
      </c>
      <c r="L78" s="774" t="str">
        <f>IF($C78=0,"",SUMIFS(INPUT_DATA!BB:BB,INPUT_DATA!$A:$A,$C78,INPUT_DATA!$C:$C,"S"))</f>
        <v/>
      </c>
      <c r="M78" s="774" t="str">
        <f>IF($C78=0,"",SUMIFS(INPUT_DATA!BC:BC,INPUT_DATA!$A:$A,$C78,INPUT_DATA!$C:$C,"S"))</f>
        <v/>
      </c>
      <c r="N78" s="774" t="str">
        <f>IF($C78=0,"",SUMIFS(INPUT_DATA!BD:BD,INPUT_DATA!$A:$A,$C78,INPUT_DATA!$C:$C,"S"))</f>
        <v/>
      </c>
      <c r="O78" s="774" t="str">
        <f>IF($C78=0,"",SUMIFS(INPUT_DATA!BE:BE,INPUT_DATA!$A:$A,$C78,INPUT_DATA!$C:$C,"S"))</f>
        <v/>
      </c>
      <c r="P78" s="774" t="str">
        <f>IF($C78=0,"",SUMIFS(INPUT_DATA!BF:BF,INPUT_DATA!$A:$A,$C78,INPUT_DATA!$C:$C,"S"))</f>
        <v/>
      </c>
      <c r="Q78" s="780" t="str">
        <f t="shared" si="5"/>
        <v/>
      </c>
      <c r="R78" s="782" t="str">
        <f>IF($C78=0,"",SUMIFS(INPUT_DATA!BH:BH,INPUT_DATA!$A:$A,$C78,INPUT_DATA!$C:$C,"S"))</f>
        <v/>
      </c>
      <c r="S78" s="782" t="str">
        <f>IF($C78=0,"",SUMIFS(INPUT_DATA!BI:BI,INPUT_DATA!$A:$A,$C78,INPUT_DATA!$C:$C,"S"))</f>
        <v/>
      </c>
      <c r="T78" s="780" t="str">
        <f t="shared" si="6"/>
        <v/>
      </c>
      <c r="U78" s="785" t="str">
        <f>IF($C78=0,"",SUMIFS(INPUT_DATA!BL:BL,INPUT_DATA!$A:$A,$C78,INPUT_DATA!$C:$C,"S"))</f>
        <v/>
      </c>
      <c r="V78" s="155" t="str">
        <f t="shared" ref="V78:V121" si="11">IF($C78=0,"",T78-U78)</f>
        <v/>
      </c>
      <c r="W78" s="149"/>
      <c r="X78" s="762" t="str">
        <f>IF($C78=0,"",SUMIFS(INPUT_DATA!AU:AU,INPUT_DATA!$A:$A,$C78,INPUT_DATA!$C:$C,"D"))</f>
        <v/>
      </c>
      <c r="Y78" s="774" t="str">
        <f>IF($C78=0,"",SUMIFS(INPUT_DATA!AV:AV,INPUT_DATA!$A:$A,$C78,INPUT_DATA!$C:$C,"D"))</f>
        <v/>
      </c>
      <c r="Z78" s="774" t="str">
        <f>IF($C78=0,"",SUMIFS(INPUT_DATA!AW:AW,INPUT_DATA!$A:$A,$C78,INPUT_DATA!$C:$C,"D"))</f>
        <v/>
      </c>
      <c r="AA78" s="775" t="str">
        <f t="shared" ref="AA78:AA121" si="12">IF($C78=0,"",X78+Y78+Z78)</f>
        <v/>
      </c>
      <c r="AB78" s="774" t="str">
        <f>IF($C78=0,"",SUMIFS(INPUT_DATA!AX:AX,INPUT_DATA!$A:$A,$C78,INPUT_DATA!$C:$C,"D"))</f>
        <v/>
      </c>
      <c r="AC78" s="774" t="str">
        <f>IF($C78=0,"",SUMIFS(INPUT_DATA!AY:AY,INPUT_DATA!$A:$A,$C78,INPUT_DATA!$C:$C,"D"))</f>
        <v/>
      </c>
      <c r="AD78" s="774" t="str">
        <f>IF($C78=0,"",SUMIFS(INPUT_DATA!AZ:AZ,INPUT_DATA!$A:$A,$C78,INPUT_DATA!$C:$C,"D"))</f>
        <v/>
      </c>
      <c r="AE78" s="774" t="str">
        <f>IF($C78=0,"",SUMIFS(INPUT_DATA!BA:BA,INPUT_DATA!$A:$A,$C78,INPUT_DATA!$C:$C,"D"))</f>
        <v/>
      </c>
      <c r="AF78" s="774" t="str">
        <f>IF($C78=0,"",SUMIFS(INPUT_DATA!BB:BB,INPUT_DATA!$A:$A,$C78,INPUT_DATA!$C:$C,"D"))</f>
        <v/>
      </c>
      <c r="AG78" s="774" t="str">
        <f>IF($C78=0,"",SUMIFS(INPUT_DATA!BC:BC,INPUT_DATA!$A:$A,$C78,INPUT_DATA!$C:$C,"D"))</f>
        <v/>
      </c>
      <c r="AH78" s="774" t="str">
        <f>IF($C78=0,"",SUMIFS(INPUT_DATA!BD:BD,INPUT_DATA!$A:$A,$C78,INPUT_DATA!$C:$C,"D"))</f>
        <v/>
      </c>
      <c r="AI78" s="774" t="str">
        <f>IF($C78=0,"",SUMIFS(INPUT_DATA!BE:BE,INPUT_DATA!$A:$A,$C78,INPUT_DATA!$C:$C,"D"))</f>
        <v/>
      </c>
      <c r="AJ78" s="315" t="str">
        <f t="shared" ref="AJ78:AJ121" si="13">IF($C78=0,"",AB78+AC78+AD78+AE78+AF78+AG78+AH78+AI78)</f>
        <v/>
      </c>
      <c r="AK78" s="782" t="str">
        <f>IF($C78=0,"",SUMIFS(INPUT_DATA!BG:BG,INPUT_DATA!$A:$A,$C78,INPUT_DATA!$C:$C,"D"))</f>
        <v/>
      </c>
      <c r="AL78" s="782" t="str">
        <f>IF($C78=0,"",SUMIFS(INPUT_DATA!BH:BH,INPUT_DATA!$A:$A,$C78,INPUT_DATA!$C:$C,"D"))</f>
        <v/>
      </c>
      <c r="AM78" s="782" t="str">
        <f>IF($C78=0,"",SUMIFS(INPUT_DATA!BI:BI,INPUT_DATA!$A:$A,$C78,INPUT_DATA!$C:$C,"D"))</f>
        <v/>
      </c>
      <c r="AN78" s="780" t="str">
        <f t="shared" si="7"/>
        <v/>
      </c>
      <c r="AO78" s="785" t="str">
        <f>IF($C78=0,"",SUMIFS(INPUT_DATA!BK:BK,INPUT_DATA!$A:$A,$C78,INPUT_DATA!$C:$C,"D"))</f>
        <v/>
      </c>
      <c r="AP78" s="355" t="str">
        <f t="shared" si="8"/>
        <v/>
      </c>
      <c r="AQ78" s="149"/>
      <c r="AS78" s="355" t="str">
        <f t="shared" si="9"/>
        <v/>
      </c>
      <c r="AU78" s="391" t="str">
        <f>IF($C78=0,"",'03 - Monthly Asset Follow up'!E82+'03 - Monthly Asset Follow up'!F82-'03 - Monthly Asset Follow up'!U82+'03 - Monthly Asset Follow up'!X82-H78)</f>
        <v/>
      </c>
      <c r="AV78" s="391" t="str">
        <f>IF($C78=0,"",'03 - Monthly Asset Follow up'!BD82+'03 - Monthly Asset Follow up'!BE82-'03 - Monthly Asset Follow up'!BT82+'03 - Monthly Asset Follow up'!BW82)</f>
        <v/>
      </c>
      <c r="AX78" s="154"/>
    </row>
    <row r="79" spans="2:50" ht="13" x14ac:dyDescent="0.3">
      <c r="B79" s="766" t="str">
        <f t="shared" ref="B79:B121" si="14">IF(C80=0,"",C80+1)</f>
        <v/>
      </c>
      <c r="C79" s="769">
        <f>'03 - Monthly Asset Follow up'!B83</f>
        <v>0</v>
      </c>
      <c r="D79" s="149"/>
      <c r="E79" s="762" t="str">
        <f>IF($C79=0,"",SUMIFS(INPUT_DATA!AU:AU,INPUT_DATA!$A:$A,$C79,INPUT_DATA!$C:$C,"S"))</f>
        <v/>
      </c>
      <c r="F79" s="774" t="str">
        <f>IF($C79=0,"",SUMIFS(INPUT_DATA!AV:AV,INPUT_DATA!$A:$A,$C79,INPUT_DATA!$C:$C,"S"))</f>
        <v/>
      </c>
      <c r="G79" s="774" t="str">
        <f>IF($C79=0,"",SUMIFS(INPUT_DATA!AW:AW,INPUT_DATA!$A:$A,$C79,INPUT_DATA!$C:$C,"S"))</f>
        <v/>
      </c>
      <c r="H79" s="776" t="str">
        <f t="shared" si="10"/>
        <v/>
      </c>
      <c r="I79" s="774" t="str">
        <f>IF($C79=0,"",SUMIFS(INPUT_DATA!AY:AY,INPUT_DATA!$A:$A,$C79,INPUT_DATA!$C:$C,"S"))</f>
        <v/>
      </c>
      <c r="J79" s="774" t="str">
        <f>IF($C79=0,"",SUMIFS(INPUT_DATA!AZ:AZ,INPUT_DATA!$A:$A,$C79,INPUT_DATA!$C:$C,"S"))</f>
        <v/>
      </c>
      <c r="K79" s="774" t="str">
        <f>IF($C79=0,"",SUMIFS(INPUT_DATA!BA:BA,INPUT_DATA!$A:$A,$C79,INPUT_DATA!$C:$C,"S"))</f>
        <v/>
      </c>
      <c r="L79" s="774" t="str">
        <f>IF($C79=0,"",SUMIFS(INPUT_DATA!BB:BB,INPUT_DATA!$A:$A,$C79,INPUT_DATA!$C:$C,"S"))</f>
        <v/>
      </c>
      <c r="M79" s="774" t="str">
        <f>IF($C79=0,"",SUMIFS(INPUT_DATA!BC:BC,INPUT_DATA!$A:$A,$C79,INPUT_DATA!$C:$C,"S"))</f>
        <v/>
      </c>
      <c r="N79" s="774" t="str">
        <f>IF($C79=0,"",SUMIFS(INPUT_DATA!BD:BD,INPUT_DATA!$A:$A,$C79,INPUT_DATA!$C:$C,"S"))</f>
        <v/>
      </c>
      <c r="O79" s="774" t="str">
        <f>IF($C79=0,"",SUMIFS(INPUT_DATA!BE:BE,INPUT_DATA!$A:$A,$C79,INPUT_DATA!$C:$C,"S"))</f>
        <v/>
      </c>
      <c r="P79" s="774" t="str">
        <f>IF($C79=0,"",SUMIFS(INPUT_DATA!BF:BF,INPUT_DATA!$A:$A,$C79,INPUT_DATA!$C:$C,"S"))</f>
        <v/>
      </c>
      <c r="Q79" s="780" t="str">
        <f t="shared" ref="Q79:Q121" si="15">IF($C79=0,"",I79+J79+K79+L79+M79+N79+O79+P79)</f>
        <v/>
      </c>
      <c r="R79" s="782" t="str">
        <f>IF($C79=0,"",SUMIFS(INPUT_DATA!BH:BH,INPUT_DATA!$A:$A,$C79,INPUT_DATA!$C:$C,"S"))</f>
        <v/>
      </c>
      <c r="S79" s="782" t="str">
        <f>IF($C79=0,"",SUMIFS(INPUT_DATA!BI:BI,INPUT_DATA!$A:$A,$C79,INPUT_DATA!$C:$C,"S"))</f>
        <v/>
      </c>
      <c r="T79" s="780" t="str">
        <f t="shared" ref="T79:T121" si="16">IF($C79=0,"",H79+Q79+R79-S79)</f>
        <v/>
      </c>
      <c r="U79" s="785" t="str">
        <f>IF($C79=0,"",SUMIFS(INPUT_DATA!BL:BL,INPUT_DATA!$A:$A,$C79,INPUT_DATA!$C:$C,"S"))</f>
        <v/>
      </c>
      <c r="V79" s="155" t="str">
        <f t="shared" si="11"/>
        <v/>
      </c>
      <c r="W79" s="149"/>
      <c r="X79" s="762" t="str">
        <f>IF($C79=0,"",SUMIFS(INPUT_DATA!AU:AU,INPUT_DATA!$A:$A,$C79,INPUT_DATA!$C:$C,"D"))</f>
        <v/>
      </c>
      <c r="Y79" s="774" t="str">
        <f>IF($C79=0,"",SUMIFS(INPUT_DATA!AV:AV,INPUT_DATA!$A:$A,$C79,INPUT_DATA!$C:$C,"D"))</f>
        <v/>
      </c>
      <c r="Z79" s="774" t="str">
        <f>IF($C79=0,"",SUMIFS(INPUT_DATA!AW:AW,INPUT_DATA!$A:$A,$C79,INPUT_DATA!$C:$C,"D"))</f>
        <v/>
      </c>
      <c r="AA79" s="775" t="str">
        <f t="shared" si="12"/>
        <v/>
      </c>
      <c r="AB79" s="774" t="str">
        <f>IF($C79=0,"",SUMIFS(INPUT_DATA!AX:AX,INPUT_DATA!$A:$A,$C79,INPUT_DATA!$C:$C,"D"))</f>
        <v/>
      </c>
      <c r="AC79" s="774" t="str">
        <f>IF($C79=0,"",SUMIFS(INPUT_DATA!AY:AY,INPUT_DATA!$A:$A,$C79,INPUT_DATA!$C:$C,"D"))</f>
        <v/>
      </c>
      <c r="AD79" s="774" t="str">
        <f>IF($C79=0,"",SUMIFS(INPUT_DATA!AZ:AZ,INPUT_DATA!$A:$A,$C79,INPUT_DATA!$C:$C,"D"))</f>
        <v/>
      </c>
      <c r="AE79" s="774" t="str">
        <f>IF($C79=0,"",SUMIFS(INPUT_DATA!BA:BA,INPUT_DATA!$A:$A,$C79,INPUT_DATA!$C:$C,"D"))</f>
        <v/>
      </c>
      <c r="AF79" s="774" t="str">
        <f>IF($C79=0,"",SUMIFS(INPUT_DATA!BB:BB,INPUT_DATA!$A:$A,$C79,INPUT_DATA!$C:$C,"D"))</f>
        <v/>
      </c>
      <c r="AG79" s="774" t="str">
        <f>IF($C79=0,"",SUMIFS(INPUT_DATA!BC:BC,INPUT_DATA!$A:$A,$C79,INPUT_DATA!$C:$C,"D"))</f>
        <v/>
      </c>
      <c r="AH79" s="774" t="str">
        <f>IF($C79=0,"",SUMIFS(INPUT_DATA!BD:BD,INPUT_DATA!$A:$A,$C79,INPUT_DATA!$C:$C,"D"))</f>
        <v/>
      </c>
      <c r="AI79" s="774" t="str">
        <f>IF($C79=0,"",SUMIFS(INPUT_DATA!BE:BE,INPUT_DATA!$A:$A,$C79,INPUT_DATA!$C:$C,"D"))</f>
        <v/>
      </c>
      <c r="AJ79" s="315" t="str">
        <f t="shared" si="13"/>
        <v/>
      </c>
      <c r="AK79" s="782" t="str">
        <f>IF($C79=0,"",SUMIFS(INPUT_DATA!BG:BG,INPUT_DATA!$A:$A,$C79,INPUT_DATA!$C:$C,"D"))</f>
        <v/>
      </c>
      <c r="AL79" s="782" t="str">
        <f>IF($C79=0,"",SUMIFS(INPUT_DATA!BH:BH,INPUT_DATA!$A:$A,$C79,INPUT_DATA!$C:$C,"D"))</f>
        <v/>
      </c>
      <c r="AM79" s="782" t="str">
        <f>IF($C79=0,"",SUMIFS(INPUT_DATA!BI:BI,INPUT_DATA!$A:$A,$C79,INPUT_DATA!$C:$C,"D"))</f>
        <v/>
      </c>
      <c r="AN79" s="780" t="str">
        <f t="shared" ref="AN79:AN121" si="17">IF($C79=0,"",AA79+AJ79+AK79-AL79-AM79)</f>
        <v/>
      </c>
      <c r="AO79" s="785" t="str">
        <f>IF($C79=0,"",SUMIFS(INPUT_DATA!BK:BK,INPUT_DATA!$A:$A,$C79,INPUT_DATA!$C:$C,"D"))</f>
        <v/>
      </c>
      <c r="AP79" s="355" t="str">
        <f t="shared" ref="AP79:AP121" si="18">IF($C79=0,"",AN79-AO79)</f>
        <v/>
      </c>
      <c r="AQ79" s="149"/>
      <c r="AS79" s="355" t="str">
        <f t="shared" ref="AS79:AS121" si="19">IF($C79=0,"",T79+AO79)</f>
        <v/>
      </c>
      <c r="AU79" s="391" t="str">
        <f>IF($C79=0,"",'03 - Monthly Asset Follow up'!E83+'03 - Monthly Asset Follow up'!F83-'03 - Monthly Asset Follow up'!U83+'03 - Monthly Asset Follow up'!X83-H79)</f>
        <v/>
      </c>
      <c r="AV79" s="391" t="str">
        <f>IF($C79=0,"",'03 - Monthly Asset Follow up'!BD83+'03 - Monthly Asset Follow up'!BE83-'03 - Monthly Asset Follow up'!BT83+'03 - Monthly Asset Follow up'!BW83)</f>
        <v/>
      </c>
      <c r="AX79" s="154"/>
    </row>
    <row r="80" spans="2:50" ht="13" x14ac:dyDescent="0.3">
      <c r="B80" s="766" t="str">
        <f t="shared" si="14"/>
        <v/>
      </c>
      <c r="C80" s="769">
        <f>'03 - Monthly Asset Follow up'!B84</f>
        <v>0</v>
      </c>
      <c r="D80" s="149"/>
      <c r="E80" s="762" t="str">
        <f>IF($C80=0,"",SUMIFS(INPUT_DATA!AU:AU,INPUT_DATA!$A:$A,$C80,INPUT_DATA!$C:$C,"S"))</f>
        <v/>
      </c>
      <c r="F80" s="774" t="str">
        <f>IF($C80=0,"",SUMIFS(INPUT_DATA!AV:AV,INPUT_DATA!$A:$A,$C80,INPUT_DATA!$C:$C,"S"))</f>
        <v/>
      </c>
      <c r="G80" s="774" t="str">
        <f>IF($C80=0,"",SUMIFS(INPUT_DATA!AW:AW,INPUT_DATA!$A:$A,$C80,INPUT_DATA!$C:$C,"S"))</f>
        <v/>
      </c>
      <c r="H80" s="776" t="str">
        <f t="shared" si="10"/>
        <v/>
      </c>
      <c r="I80" s="774" t="str">
        <f>IF($C80=0,"",SUMIFS(INPUT_DATA!AY:AY,INPUT_DATA!$A:$A,$C80,INPUT_DATA!$C:$C,"S"))</f>
        <v/>
      </c>
      <c r="J80" s="774" t="str">
        <f>IF($C80=0,"",SUMIFS(INPUT_DATA!AZ:AZ,INPUT_DATA!$A:$A,$C80,INPUT_DATA!$C:$C,"S"))</f>
        <v/>
      </c>
      <c r="K80" s="774" t="str">
        <f>IF($C80=0,"",SUMIFS(INPUT_DATA!BA:BA,INPUT_DATA!$A:$A,$C80,INPUT_DATA!$C:$C,"S"))</f>
        <v/>
      </c>
      <c r="L80" s="774" t="str">
        <f>IF($C80=0,"",SUMIFS(INPUT_DATA!BB:BB,INPUT_DATA!$A:$A,$C80,INPUT_DATA!$C:$C,"S"))</f>
        <v/>
      </c>
      <c r="M80" s="774" t="str">
        <f>IF($C80=0,"",SUMIFS(INPUT_DATA!BC:BC,INPUT_DATA!$A:$A,$C80,INPUT_DATA!$C:$C,"S"))</f>
        <v/>
      </c>
      <c r="N80" s="774" t="str">
        <f>IF($C80=0,"",SUMIFS(INPUT_DATA!BD:BD,INPUT_DATA!$A:$A,$C80,INPUT_DATA!$C:$C,"S"))</f>
        <v/>
      </c>
      <c r="O80" s="774" t="str">
        <f>IF($C80=0,"",SUMIFS(INPUT_DATA!BE:BE,INPUT_DATA!$A:$A,$C80,INPUT_DATA!$C:$C,"S"))</f>
        <v/>
      </c>
      <c r="P80" s="774" t="str">
        <f>IF($C80=0,"",SUMIFS(INPUT_DATA!BF:BF,INPUT_DATA!$A:$A,$C80,INPUT_DATA!$C:$C,"S"))</f>
        <v/>
      </c>
      <c r="Q80" s="780" t="str">
        <f t="shared" si="15"/>
        <v/>
      </c>
      <c r="R80" s="782" t="str">
        <f>IF($C80=0,"",SUMIFS(INPUT_DATA!BH:BH,INPUT_DATA!$A:$A,$C80,INPUT_DATA!$C:$C,"S"))</f>
        <v/>
      </c>
      <c r="S80" s="782" t="str">
        <f>IF($C80=0,"",SUMIFS(INPUT_DATA!BI:BI,INPUT_DATA!$A:$A,$C80,INPUT_DATA!$C:$C,"S"))</f>
        <v/>
      </c>
      <c r="T80" s="780" t="str">
        <f t="shared" si="16"/>
        <v/>
      </c>
      <c r="U80" s="785" t="str">
        <f>IF($C80=0,"",SUMIFS(INPUT_DATA!BL:BL,INPUT_DATA!$A:$A,$C80,INPUT_DATA!$C:$C,"S"))</f>
        <v/>
      </c>
      <c r="V80" s="155" t="str">
        <f t="shared" si="11"/>
        <v/>
      </c>
      <c r="W80" s="149"/>
      <c r="X80" s="762" t="str">
        <f>IF($C80=0,"",SUMIFS(INPUT_DATA!AU:AU,INPUT_DATA!$A:$A,$C80,INPUT_DATA!$C:$C,"D"))</f>
        <v/>
      </c>
      <c r="Y80" s="774" t="str">
        <f>IF($C80=0,"",SUMIFS(INPUT_DATA!AV:AV,INPUT_DATA!$A:$A,$C80,INPUT_DATA!$C:$C,"D"))</f>
        <v/>
      </c>
      <c r="Z80" s="774" t="str">
        <f>IF($C80=0,"",SUMIFS(INPUT_DATA!AW:AW,INPUT_DATA!$A:$A,$C80,INPUT_DATA!$C:$C,"D"))</f>
        <v/>
      </c>
      <c r="AA80" s="775" t="str">
        <f t="shared" si="12"/>
        <v/>
      </c>
      <c r="AB80" s="774" t="str">
        <f>IF($C80=0,"",SUMIFS(INPUT_DATA!AX:AX,INPUT_DATA!$A:$A,$C80,INPUT_DATA!$C:$C,"D"))</f>
        <v/>
      </c>
      <c r="AC80" s="774" t="str">
        <f>IF($C80=0,"",SUMIFS(INPUT_DATA!AY:AY,INPUT_DATA!$A:$A,$C80,INPUT_DATA!$C:$C,"D"))</f>
        <v/>
      </c>
      <c r="AD80" s="774" t="str">
        <f>IF($C80=0,"",SUMIFS(INPUT_DATA!AZ:AZ,INPUT_DATA!$A:$A,$C80,INPUT_DATA!$C:$C,"D"))</f>
        <v/>
      </c>
      <c r="AE80" s="774" t="str">
        <f>IF($C80=0,"",SUMIFS(INPUT_DATA!BA:BA,INPUT_DATA!$A:$A,$C80,INPUT_DATA!$C:$C,"D"))</f>
        <v/>
      </c>
      <c r="AF80" s="774" t="str">
        <f>IF($C80=0,"",SUMIFS(INPUT_DATA!BB:BB,INPUT_DATA!$A:$A,$C80,INPUT_DATA!$C:$C,"D"))</f>
        <v/>
      </c>
      <c r="AG80" s="774" t="str">
        <f>IF($C80=0,"",SUMIFS(INPUT_DATA!BC:BC,INPUT_DATA!$A:$A,$C80,INPUT_DATA!$C:$C,"D"))</f>
        <v/>
      </c>
      <c r="AH80" s="774" t="str">
        <f>IF($C80=0,"",SUMIFS(INPUT_DATA!BD:BD,INPUT_DATA!$A:$A,$C80,INPUT_DATA!$C:$C,"D"))</f>
        <v/>
      </c>
      <c r="AI80" s="774" t="str">
        <f>IF($C80=0,"",SUMIFS(INPUT_DATA!BE:BE,INPUT_DATA!$A:$A,$C80,INPUT_DATA!$C:$C,"D"))</f>
        <v/>
      </c>
      <c r="AJ80" s="315" t="str">
        <f t="shared" si="13"/>
        <v/>
      </c>
      <c r="AK80" s="782" t="str">
        <f>IF($C80=0,"",SUMIFS(INPUT_DATA!BG:BG,INPUT_DATA!$A:$A,$C80,INPUT_DATA!$C:$C,"D"))</f>
        <v/>
      </c>
      <c r="AL80" s="782" t="str">
        <f>IF($C80=0,"",SUMIFS(INPUT_DATA!BH:BH,INPUT_DATA!$A:$A,$C80,INPUT_DATA!$C:$C,"D"))</f>
        <v/>
      </c>
      <c r="AM80" s="782" t="str">
        <f>IF($C80=0,"",SUMIFS(INPUT_DATA!BI:BI,INPUT_DATA!$A:$A,$C80,INPUT_DATA!$C:$C,"D"))</f>
        <v/>
      </c>
      <c r="AN80" s="780" t="str">
        <f t="shared" si="17"/>
        <v/>
      </c>
      <c r="AO80" s="785" t="str">
        <f>IF($C80=0,"",SUMIFS(INPUT_DATA!BK:BK,INPUT_DATA!$A:$A,$C80,INPUT_DATA!$C:$C,"D"))</f>
        <v/>
      </c>
      <c r="AP80" s="355" t="str">
        <f t="shared" si="18"/>
        <v/>
      </c>
      <c r="AQ80" s="149"/>
      <c r="AS80" s="355" t="str">
        <f t="shared" si="19"/>
        <v/>
      </c>
      <c r="AU80" s="391" t="str">
        <f>IF($C80=0,"",'03 - Monthly Asset Follow up'!E84+'03 - Monthly Asset Follow up'!F84-'03 - Monthly Asset Follow up'!U84+'03 - Monthly Asset Follow up'!X84-H80)</f>
        <v/>
      </c>
      <c r="AV80" s="391" t="str">
        <f>IF($C80=0,"",'03 - Monthly Asset Follow up'!BD84+'03 - Monthly Asset Follow up'!BE84-'03 - Monthly Asset Follow up'!BT84+'03 - Monthly Asset Follow up'!BW84)</f>
        <v/>
      </c>
      <c r="AX80" s="154"/>
    </row>
    <row r="81" spans="2:50" ht="13" x14ac:dyDescent="0.3">
      <c r="B81" s="766" t="str">
        <f t="shared" si="14"/>
        <v/>
      </c>
      <c r="C81" s="769">
        <f>'03 - Monthly Asset Follow up'!B85</f>
        <v>0</v>
      </c>
      <c r="D81" s="149"/>
      <c r="E81" s="762" t="str">
        <f>IF($C81=0,"",SUMIFS(INPUT_DATA!AU:AU,INPUT_DATA!$A:$A,$C81,INPUT_DATA!$C:$C,"S"))</f>
        <v/>
      </c>
      <c r="F81" s="774" t="str">
        <f>IF($C81=0,"",SUMIFS(INPUT_DATA!AV:AV,INPUT_DATA!$A:$A,$C81,INPUT_DATA!$C:$C,"S"))</f>
        <v/>
      </c>
      <c r="G81" s="774" t="str">
        <f>IF($C81=0,"",SUMIFS(INPUT_DATA!AW:AW,INPUT_DATA!$A:$A,$C81,INPUT_DATA!$C:$C,"S"))</f>
        <v/>
      </c>
      <c r="H81" s="776" t="str">
        <f t="shared" si="10"/>
        <v/>
      </c>
      <c r="I81" s="774" t="str">
        <f>IF($C81=0,"",SUMIFS(INPUT_DATA!AY:AY,INPUT_DATA!$A:$A,$C81,INPUT_DATA!$C:$C,"S"))</f>
        <v/>
      </c>
      <c r="J81" s="774" t="str">
        <f>IF($C81=0,"",SUMIFS(INPUT_DATA!AZ:AZ,INPUT_DATA!$A:$A,$C81,INPUT_DATA!$C:$C,"S"))</f>
        <v/>
      </c>
      <c r="K81" s="774" t="str">
        <f>IF($C81=0,"",SUMIFS(INPUT_DATA!BA:BA,INPUT_DATA!$A:$A,$C81,INPUT_DATA!$C:$C,"S"))</f>
        <v/>
      </c>
      <c r="L81" s="774" t="str">
        <f>IF($C81=0,"",SUMIFS(INPUT_DATA!BB:BB,INPUT_DATA!$A:$A,$C81,INPUT_DATA!$C:$C,"S"))</f>
        <v/>
      </c>
      <c r="M81" s="774" t="str">
        <f>IF($C81=0,"",SUMIFS(INPUT_DATA!BC:BC,INPUT_DATA!$A:$A,$C81,INPUT_DATA!$C:$C,"S"))</f>
        <v/>
      </c>
      <c r="N81" s="774" t="str">
        <f>IF($C81=0,"",SUMIFS(INPUT_DATA!BD:BD,INPUT_DATA!$A:$A,$C81,INPUT_DATA!$C:$C,"S"))</f>
        <v/>
      </c>
      <c r="O81" s="774" t="str">
        <f>IF($C81=0,"",SUMIFS(INPUT_DATA!BE:BE,INPUT_DATA!$A:$A,$C81,INPUT_DATA!$C:$C,"S"))</f>
        <v/>
      </c>
      <c r="P81" s="774" t="str">
        <f>IF($C81=0,"",SUMIFS(INPUT_DATA!BF:BF,INPUT_DATA!$A:$A,$C81,INPUT_DATA!$C:$C,"S"))</f>
        <v/>
      </c>
      <c r="Q81" s="780" t="str">
        <f t="shared" si="15"/>
        <v/>
      </c>
      <c r="R81" s="782" t="str">
        <f>IF($C81=0,"",SUMIFS(INPUT_DATA!BH:BH,INPUT_DATA!$A:$A,$C81,INPUT_DATA!$C:$C,"S"))</f>
        <v/>
      </c>
      <c r="S81" s="782" t="str">
        <f>IF($C81=0,"",SUMIFS(INPUT_DATA!BI:BI,INPUT_DATA!$A:$A,$C81,INPUT_DATA!$C:$C,"S"))</f>
        <v/>
      </c>
      <c r="T81" s="780" t="str">
        <f t="shared" si="16"/>
        <v/>
      </c>
      <c r="U81" s="785" t="str">
        <f>IF($C81=0,"",SUMIFS(INPUT_DATA!BL:BL,INPUT_DATA!$A:$A,$C81,INPUT_DATA!$C:$C,"S"))</f>
        <v/>
      </c>
      <c r="V81" s="155" t="str">
        <f t="shared" si="11"/>
        <v/>
      </c>
      <c r="W81" s="149"/>
      <c r="X81" s="762" t="str">
        <f>IF($C81=0,"",SUMIFS(INPUT_DATA!AU:AU,INPUT_DATA!$A:$A,$C81,INPUT_DATA!$C:$C,"D"))</f>
        <v/>
      </c>
      <c r="Y81" s="774" t="str">
        <f>IF($C81=0,"",SUMIFS(INPUT_DATA!AV:AV,INPUT_DATA!$A:$A,$C81,INPUT_DATA!$C:$C,"D"))</f>
        <v/>
      </c>
      <c r="Z81" s="774" t="str">
        <f>IF($C81=0,"",SUMIFS(INPUT_DATA!AW:AW,INPUT_DATA!$A:$A,$C81,INPUT_DATA!$C:$C,"D"))</f>
        <v/>
      </c>
      <c r="AA81" s="775" t="str">
        <f t="shared" si="12"/>
        <v/>
      </c>
      <c r="AB81" s="774" t="str">
        <f>IF($C81=0,"",SUMIFS(INPUT_DATA!AX:AX,INPUT_DATA!$A:$A,$C81,INPUT_DATA!$C:$C,"D"))</f>
        <v/>
      </c>
      <c r="AC81" s="774" t="str">
        <f>IF($C81=0,"",SUMIFS(INPUT_DATA!AY:AY,INPUT_DATA!$A:$A,$C81,INPUT_DATA!$C:$C,"D"))</f>
        <v/>
      </c>
      <c r="AD81" s="774" t="str">
        <f>IF($C81=0,"",SUMIFS(INPUT_DATA!AZ:AZ,INPUT_DATA!$A:$A,$C81,INPUT_DATA!$C:$C,"D"))</f>
        <v/>
      </c>
      <c r="AE81" s="774" t="str">
        <f>IF($C81=0,"",SUMIFS(INPUT_DATA!BA:BA,INPUT_DATA!$A:$A,$C81,INPUT_DATA!$C:$C,"D"))</f>
        <v/>
      </c>
      <c r="AF81" s="774" t="str">
        <f>IF($C81=0,"",SUMIFS(INPUT_DATA!BB:BB,INPUT_DATA!$A:$A,$C81,INPUT_DATA!$C:$C,"D"))</f>
        <v/>
      </c>
      <c r="AG81" s="774" t="str">
        <f>IF($C81=0,"",SUMIFS(INPUT_DATA!BC:BC,INPUT_DATA!$A:$A,$C81,INPUT_DATA!$C:$C,"D"))</f>
        <v/>
      </c>
      <c r="AH81" s="774" t="str">
        <f>IF($C81=0,"",SUMIFS(INPUT_DATA!BD:BD,INPUT_DATA!$A:$A,$C81,INPUT_DATA!$C:$C,"D"))</f>
        <v/>
      </c>
      <c r="AI81" s="774" t="str">
        <f>IF($C81=0,"",SUMIFS(INPUT_DATA!BE:BE,INPUT_DATA!$A:$A,$C81,INPUT_DATA!$C:$C,"D"))</f>
        <v/>
      </c>
      <c r="AJ81" s="315" t="str">
        <f t="shared" si="13"/>
        <v/>
      </c>
      <c r="AK81" s="782" t="str">
        <f>IF($C81=0,"",SUMIFS(INPUT_DATA!BG:BG,INPUT_DATA!$A:$A,$C81,INPUT_DATA!$C:$C,"D"))</f>
        <v/>
      </c>
      <c r="AL81" s="782" t="str">
        <f>IF($C81=0,"",SUMIFS(INPUT_DATA!BH:BH,INPUT_DATA!$A:$A,$C81,INPUT_DATA!$C:$C,"D"))</f>
        <v/>
      </c>
      <c r="AM81" s="782" t="str">
        <f>IF($C81=0,"",SUMIFS(INPUT_DATA!BI:BI,INPUT_DATA!$A:$A,$C81,INPUT_DATA!$C:$C,"D"))</f>
        <v/>
      </c>
      <c r="AN81" s="780" t="str">
        <f t="shared" si="17"/>
        <v/>
      </c>
      <c r="AO81" s="785" t="str">
        <f>IF($C81=0,"",SUMIFS(INPUT_DATA!BK:BK,INPUT_DATA!$A:$A,$C81,INPUT_DATA!$C:$C,"D"))</f>
        <v/>
      </c>
      <c r="AP81" s="355" t="str">
        <f t="shared" si="18"/>
        <v/>
      </c>
      <c r="AQ81" s="149"/>
      <c r="AS81" s="355" t="str">
        <f t="shared" si="19"/>
        <v/>
      </c>
      <c r="AU81" s="391" t="str">
        <f>IF($C81=0,"",'03 - Monthly Asset Follow up'!E85+'03 - Monthly Asset Follow up'!F85-'03 - Monthly Asset Follow up'!U85+'03 - Monthly Asset Follow up'!X85-H81)</f>
        <v/>
      </c>
      <c r="AV81" s="391" t="str">
        <f>IF($C81=0,"",'03 - Monthly Asset Follow up'!BD85+'03 - Monthly Asset Follow up'!BE85-'03 - Monthly Asset Follow up'!BT85+'03 - Monthly Asset Follow up'!BW85)</f>
        <v/>
      </c>
      <c r="AX81" s="154"/>
    </row>
    <row r="82" spans="2:50" ht="13" x14ac:dyDescent="0.3">
      <c r="B82" s="766" t="str">
        <f t="shared" si="14"/>
        <v/>
      </c>
      <c r="C82" s="769">
        <f>'03 - Monthly Asset Follow up'!B86</f>
        <v>0</v>
      </c>
      <c r="D82" s="149"/>
      <c r="E82" s="762" t="str">
        <f>IF($C82=0,"",SUMIFS(INPUT_DATA!AU:AU,INPUT_DATA!$A:$A,$C82,INPUT_DATA!$C:$C,"S"))</f>
        <v/>
      </c>
      <c r="F82" s="774" t="str">
        <f>IF($C82=0,"",SUMIFS(INPUT_DATA!AV:AV,INPUT_DATA!$A:$A,$C82,INPUT_DATA!$C:$C,"S"))</f>
        <v/>
      </c>
      <c r="G82" s="774" t="str">
        <f>IF($C82=0,"",SUMIFS(INPUT_DATA!AW:AW,INPUT_DATA!$A:$A,$C82,INPUT_DATA!$C:$C,"S"))</f>
        <v/>
      </c>
      <c r="H82" s="776" t="str">
        <f t="shared" si="10"/>
        <v/>
      </c>
      <c r="I82" s="774" t="str">
        <f>IF($C82=0,"",SUMIFS(INPUT_DATA!AY:AY,INPUT_DATA!$A:$A,$C82,INPUT_DATA!$C:$C,"S"))</f>
        <v/>
      </c>
      <c r="J82" s="774" t="str">
        <f>IF($C82=0,"",SUMIFS(INPUT_DATA!AZ:AZ,INPUT_DATA!$A:$A,$C82,INPUT_DATA!$C:$C,"S"))</f>
        <v/>
      </c>
      <c r="K82" s="774" t="str">
        <f>IF($C82=0,"",SUMIFS(INPUT_DATA!BA:BA,INPUT_DATA!$A:$A,$C82,INPUT_DATA!$C:$C,"S"))</f>
        <v/>
      </c>
      <c r="L82" s="774" t="str">
        <f>IF($C82=0,"",SUMIFS(INPUT_DATA!BB:BB,INPUT_DATA!$A:$A,$C82,INPUT_DATA!$C:$C,"S"))</f>
        <v/>
      </c>
      <c r="M82" s="774" t="str">
        <f>IF($C82=0,"",SUMIFS(INPUT_DATA!BC:BC,INPUT_DATA!$A:$A,$C82,INPUT_DATA!$C:$C,"S"))</f>
        <v/>
      </c>
      <c r="N82" s="774" t="str">
        <f>IF($C82=0,"",SUMIFS(INPUT_DATA!BD:BD,INPUT_DATA!$A:$A,$C82,INPUT_DATA!$C:$C,"S"))</f>
        <v/>
      </c>
      <c r="O82" s="774" t="str">
        <f>IF($C82=0,"",SUMIFS(INPUT_DATA!BE:BE,INPUT_DATA!$A:$A,$C82,INPUT_DATA!$C:$C,"S"))</f>
        <v/>
      </c>
      <c r="P82" s="774" t="str">
        <f>IF($C82=0,"",SUMIFS(INPUT_DATA!BF:BF,INPUT_DATA!$A:$A,$C82,INPUT_DATA!$C:$C,"S"))</f>
        <v/>
      </c>
      <c r="Q82" s="780" t="str">
        <f t="shared" si="15"/>
        <v/>
      </c>
      <c r="R82" s="782" t="str">
        <f>IF($C82=0,"",SUMIFS(INPUT_DATA!BH:BH,INPUT_DATA!$A:$A,$C82,INPUT_DATA!$C:$C,"S"))</f>
        <v/>
      </c>
      <c r="S82" s="782" t="str">
        <f>IF($C82=0,"",SUMIFS(INPUT_DATA!BI:BI,INPUT_DATA!$A:$A,$C82,INPUT_DATA!$C:$C,"S"))</f>
        <v/>
      </c>
      <c r="T82" s="780" t="str">
        <f t="shared" si="16"/>
        <v/>
      </c>
      <c r="U82" s="785" t="str">
        <f>IF($C82=0,"",SUMIFS(INPUT_DATA!BL:BL,INPUT_DATA!$A:$A,$C82,INPUT_DATA!$C:$C,"S"))</f>
        <v/>
      </c>
      <c r="V82" s="155" t="str">
        <f t="shared" si="11"/>
        <v/>
      </c>
      <c r="W82" s="149"/>
      <c r="X82" s="762" t="str">
        <f>IF($C82=0,"",SUMIFS(INPUT_DATA!AU:AU,INPUT_DATA!$A:$A,$C82,INPUT_DATA!$C:$C,"D"))</f>
        <v/>
      </c>
      <c r="Y82" s="774" t="str">
        <f>IF($C82=0,"",SUMIFS(INPUT_DATA!AV:AV,INPUT_DATA!$A:$A,$C82,INPUT_DATA!$C:$C,"D"))</f>
        <v/>
      </c>
      <c r="Z82" s="774" t="str">
        <f>IF($C82=0,"",SUMIFS(INPUT_DATA!AW:AW,INPUT_DATA!$A:$A,$C82,INPUT_DATA!$C:$C,"D"))</f>
        <v/>
      </c>
      <c r="AA82" s="775" t="str">
        <f t="shared" si="12"/>
        <v/>
      </c>
      <c r="AB82" s="774" t="str">
        <f>IF($C82=0,"",SUMIFS(INPUT_DATA!AX:AX,INPUT_DATA!$A:$A,$C82,INPUT_DATA!$C:$C,"D"))</f>
        <v/>
      </c>
      <c r="AC82" s="774" t="str">
        <f>IF($C82=0,"",SUMIFS(INPUT_DATA!AY:AY,INPUT_DATA!$A:$A,$C82,INPUT_DATA!$C:$C,"D"))</f>
        <v/>
      </c>
      <c r="AD82" s="774" t="str">
        <f>IF($C82=0,"",SUMIFS(INPUT_DATA!AZ:AZ,INPUT_DATA!$A:$A,$C82,INPUT_DATA!$C:$C,"D"))</f>
        <v/>
      </c>
      <c r="AE82" s="774" t="str">
        <f>IF($C82=0,"",SUMIFS(INPUT_DATA!BA:BA,INPUT_DATA!$A:$A,$C82,INPUT_DATA!$C:$C,"D"))</f>
        <v/>
      </c>
      <c r="AF82" s="774" t="str">
        <f>IF($C82=0,"",SUMIFS(INPUT_DATA!BB:BB,INPUT_DATA!$A:$A,$C82,INPUT_DATA!$C:$C,"D"))</f>
        <v/>
      </c>
      <c r="AG82" s="774" t="str">
        <f>IF($C82=0,"",SUMIFS(INPUT_DATA!BC:BC,INPUT_DATA!$A:$A,$C82,INPUT_DATA!$C:$C,"D"))</f>
        <v/>
      </c>
      <c r="AH82" s="774" t="str">
        <f>IF($C82=0,"",SUMIFS(INPUT_DATA!BD:BD,INPUT_DATA!$A:$A,$C82,INPUT_DATA!$C:$C,"D"))</f>
        <v/>
      </c>
      <c r="AI82" s="774" t="str">
        <f>IF($C82=0,"",SUMIFS(INPUT_DATA!BE:BE,INPUT_DATA!$A:$A,$C82,INPUT_DATA!$C:$C,"D"))</f>
        <v/>
      </c>
      <c r="AJ82" s="315" t="str">
        <f t="shared" si="13"/>
        <v/>
      </c>
      <c r="AK82" s="782" t="str">
        <f>IF($C82=0,"",SUMIFS(INPUT_DATA!BG:BG,INPUT_DATA!$A:$A,$C82,INPUT_DATA!$C:$C,"D"))</f>
        <v/>
      </c>
      <c r="AL82" s="782" t="str">
        <f>IF($C82=0,"",SUMIFS(INPUT_DATA!BH:BH,INPUT_DATA!$A:$A,$C82,INPUT_DATA!$C:$C,"D"))</f>
        <v/>
      </c>
      <c r="AM82" s="782" t="str">
        <f>IF($C82=0,"",SUMIFS(INPUT_DATA!BI:BI,INPUT_DATA!$A:$A,$C82,INPUT_DATA!$C:$C,"D"))</f>
        <v/>
      </c>
      <c r="AN82" s="780" t="str">
        <f t="shared" si="17"/>
        <v/>
      </c>
      <c r="AO82" s="785" t="str">
        <f>IF($C82=0,"",SUMIFS(INPUT_DATA!BK:BK,INPUT_DATA!$A:$A,$C82,INPUT_DATA!$C:$C,"D"))</f>
        <v/>
      </c>
      <c r="AP82" s="355" t="str">
        <f t="shared" si="18"/>
        <v/>
      </c>
      <c r="AQ82" s="149"/>
      <c r="AS82" s="355" t="str">
        <f t="shared" si="19"/>
        <v/>
      </c>
      <c r="AU82" s="391" t="str">
        <f>IF($C82=0,"",'03 - Monthly Asset Follow up'!E86+'03 - Monthly Asset Follow up'!F86-'03 - Monthly Asset Follow up'!U86+'03 - Monthly Asset Follow up'!X86-H82)</f>
        <v/>
      </c>
      <c r="AV82" s="391" t="str">
        <f>IF($C82=0,"",'03 - Monthly Asset Follow up'!BD86+'03 - Monthly Asset Follow up'!BE86-'03 - Monthly Asset Follow up'!BT86+'03 - Monthly Asset Follow up'!BW86)</f>
        <v/>
      </c>
      <c r="AX82" s="154"/>
    </row>
    <row r="83" spans="2:50" ht="13" x14ac:dyDescent="0.3">
      <c r="B83" s="766" t="str">
        <f t="shared" si="14"/>
        <v/>
      </c>
      <c r="C83" s="769">
        <f>'03 - Monthly Asset Follow up'!B87</f>
        <v>0</v>
      </c>
      <c r="D83" s="149"/>
      <c r="E83" s="762" t="str">
        <f>IF($C83=0,"",SUMIFS(INPUT_DATA!AU:AU,INPUT_DATA!$A:$A,$C83,INPUT_DATA!$C:$C,"S"))</f>
        <v/>
      </c>
      <c r="F83" s="774" t="str">
        <f>IF($C83=0,"",SUMIFS(INPUT_DATA!AV:AV,INPUT_DATA!$A:$A,$C83,INPUT_DATA!$C:$C,"S"))</f>
        <v/>
      </c>
      <c r="G83" s="774" t="str">
        <f>IF($C83=0,"",SUMIFS(INPUT_DATA!AW:AW,INPUT_DATA!$A:$A,$C83,INPUT_DATA!$C:$C,"S"))</f>
        <v/>
      </c>
      <c r="H83" s="776" t="str">
        <f t="shared" si="10"/>
        <v/>
      </c>
      <c r="I83" s="774" t="str">
        <f>IF($C83=0,"",SUMIFS(INPUT_DATA!AY:AY,INPUT_DATA!$A:$A,$C83,INPUT_DATA!$C:$C,"S"))</f>
        <v/>
      </c>
      <c r="J83" s="774" t="str">
        <f>IF($C83=0,"",SUMIFS(INPUT_DATA!AZ:AZ,INPUT_DATA!$A:$A,$C83,INPUT_DATA!$C:$C,"S"))</f>
        <v/>
      </c>
      <c r="K83" s="774" t="str">
        <f>IF($C83=0,"",SUMIFS(INPUT_DATA!BA:BA,INPUT_DATA!$A:$A,$C83,INPUT_DATA!$C:$C,"S"))</f>
        <v/>
      </c>
      <c r="L83" s="774" t="str">
        <f>IF($C83=0,"",SUMIFS(INPUT_DATA!BB:BB,INPUT_DATA!$A:$A,$C83,INPUT_DATA!$C:$C,"S"))</f>
        <v/>
      </c>
      <c r="M83" s="774" t="str">
        <f>IF($C83=0,"",SUMIFS(INPUT_DATA!BC:BC,INPUT_DATA!$A:$A,$C83,INPUT_DATA!$C:$C,"S"))</f>
        <v/>
      </c>
      <c r="N83" s="774" t="str">
        <f>IF($C83=0,"",SUMIFS(INPUT_DATA!BD:BD,INPUT_DATA!$A:$A,$C83,INPUT_DATA!$C:$C,"S"))</f>
        <v/>
      </c>
      <c r="O83" s="774" t="str">
        <f>IF($C83=0,"",SUMIFS(INPUT_DATA!BE:BE,INPUT_DATA!$A:$A,$C83,INPUT_DATA!$C:$C,"S"))</f>
        <v/>
      </c>
      <c r="P83" s="774" t="str">
        <f>IF($C83=0,"",SUMIFS(INPUT_DATA!BF:BF,INPUT_DATA!$A:$A,$C83,INPUT_DATA!$C:$C,"S"))</f>
        <v/>
      </c>
      <c r="Q83" s="780" t="str">
        <f t="shared" si="15"/>
        <v/>
      </c>
      <c r="R83" s="782" t="str">
        <f>IF($C83=0,"",SUMIFS(INPUT_DATA!BH:BH,INPUT_DATA!$A:$A,$C83,INPUT_DATA!$C:$C,"S"))</f>
        <v/>
      </c>
      <c r="S83" s="782" t="str">
        <f>IF($C83=0,"",SUMIFS(INPUT_DATA!BI:BI,INPUT_DATA!$A:$A,$C83,INPUT_DATA!$C:$C,"S"))</f>
        <v/>
      </c>
      <c r="T83" s="780" t="str">
        <f t="shared" si="16"/>
        <v/>
      </c>
      <c r="U83" s="785" t="str">
        <f>IF($C83=0,"",SUMIFS(INPUT_DATA!BL:BL,INPUT_DATA!$A:$A,$C83,INPUT_DATA!$C:$C,"S"))</f>
        <v/>
      </c>
      <c r="V83" s="155" t="str">
        <f t="shared" si="11"/>
        <v/>
      </c>
      <c r="W83" s="149"/>
      <c r="X83" s="762" t="str">
        <f>IF($C83=0,"",SUMIFS(INPUT_DATA!AU:AU,INPUT_DATA!$A:$A,$C83,INPUT_DATA!$C:$C,"D"))</f>
        <v/>
      </c>
      <c r="Y83" s="774" t="str">
        <f>IF($C83=0,"",SUMIFS(INPUT_DATA!AV:AV,INPUT_DATA!$A:$A,$C83,INPUT_DATA!$C:$C,"D"))</f>
        <v/>
      </c>
      <c r="Z83" s="774" t="str">
        <f>IF($C83=0,"",SUMIFS(INPUT_DATA!AW:AW,INPUT_DATA!$A:$A,$C83,INPUT_DATA!$C:$C,"D"))</f>
        <v/>
      </c>
      <c r="AA83" s="775" t="str">
        <f t="shared" si="12"/>
        <v/>
      </c>
      <c r="AB83" s="774" t="str">
        <f>IF($C83=0,"",SUMIFS(INPUT_DATA!AX:AX,INPUT_DATA!$A:$A,$C83,INPUT_DATA!$C:$C,"D"))</f>
        <v/>
      </c>
      <c r="AC83" s="774" t="str">
        <f>IF($C83=0,"",SUMIFS(INPUT_DATA!AY:AY,INPUT_DATA!$A:$A,$C83,INPUT_DATA!$C:$C,"D"))</f>
        <v/>
      </c>
      <c r="AD83" s="774" t="str">
        <f>IF($C83=0,"",SUMIFS(INPUT_DATA!AZ:AZ,INPUT_DATA!$A:$A,$C83,INPUT_DATA!$C:$C,"D"))</f>
        <v/>
      </c>
      <c r="AE83" s="774" t="str">
        <f>IF($C83=0,"",SUMIFS(INPUT_DATA!BA:BA,INPUT_DATA!$A:$A,$C83,INPUT_DATA!$C:$C,"D"))</f>
        <v/>
      </c>
      <c r="AF83" s="774" t="str">
        <f>IF($C83=0,"",SUMIFS(INPUT_DATA!BB:BB,INPUT_DATA!$A:$A,$C83,INPUT_DATA!$C:$C,"D"))</f>
        <v/>
      </c>
      <c r="AG83" s="774" t="str">
        <f>IF($C83=0,"",SUMIFS(INPUT_DATA!BC:BC,INPUT_DATA!$A:$A,$C83,INPUT_DATA!$C:$C,"D"))</f>
        <v/>
      </c>
      <c r="AH83" s="774" t="str">
        <f>IF($C83=0,"",SUMIFS(INPUT_DATA!BD:BD,INPUT_DATA!$A:$A,$C83,INPUT_DATA!$C:$C,"D"))</f>
        <v/>
      </c>
      <c r="AI83" s="774" t="str">
        <f>IF($C83=0,"",SUMIFS(INPUT_DATA!BE:BE,INPUT_DATA!$A:$A,$C83,INPUT_DATA!$C:$C,"D"))</f>
        <v/>
      </c>
      <c r="AJ83" s="315" t="str">
        <f t="shared" si="13"/>
        <v/>
      </c>
      <c r="AK83" s="782" t="str">
        <f>IF($C83=0,"",SUMIFS(INPUT_DATA!BG:BG,INPUT_DATA!$A:$A,$C83,INPUT_DATA!$C:$C,"D"))</f>
        <v/>
      </c>
      <c r="AL83" s="782" t="str">
        <f>IF($C83=0,"",SUMIFS(INPUT_DATA!BH:BH,INPUT_DATA!$A:$A,$C83,INPUT_DATA!$C:$C,"D"))</f>
        <v/>
      </c>
      <c r="AM83" s="782" t="str">
        <f>IF($C83=0,"",SUMIFS(INPUT_DATA!BI:BI,INPUT_DATA!$A:$A,$C83,INPUT_DATA!$C:$C,"D"))</f>
        <v/>
      </c>
      <c r="AN83" s="780" t="str">
        <f t="shared" si="17"/>
        <v/>
      </c>
      <c r="AO83" s="785" t="str">
        <f>IF($C83=0,"",SUMIFS(INPUT_DATA!BK:BK,INPUT_DATA!$A:$A,$C83,INPUT_DATA!$C:$C,"D"))</f>
        <v/>
      </c>
      <c r="AP83" s="355" t="str">
        <f t="shared" si="18"/>
        <v/>
      </c>
      <c r="AQ83" s="149"/>
      <c r="AS83" s="355" t="str">
        <f t="shared" si="19"/>
        <v/>
      </c>
      <c r="AU83" s="391" t="str">
        <f>IF($C83=0,"",'03 - Monthly Asset Follow up'!E87+'03 - Monthly Asset Follow up'!F87-'03 - Monthly Asset Follow up'!U87+'03 - Monthly Asset Follow up'!X87-H83)</f>
        <v/>
      </c>
      <c r="AV83" s="391" t="str">
        <f>IF($C83=0,"",'03 - Monthly Asset Follow up'!BD87+'03 - Monthly Asset Follow up'!BE87-'03 - Monthly Asset Follow up'!BT87+'03 - Monthly Asset Follow up'!BW87)</f>
        <v/>
      </c>
      <c r="AX83" s="154"/>
    </row>
    <row r="84" spans="2:50" ht="13" x14ac:dyDescent="0.3">
      <c r="B84" s="766" t="str">
        <f t="shared" si="14"/>
        <v/>
      </c>
      <c r="C84" s="769">
        <f>'03 - Monthly Asset Follow up'!B88</f>
        <v>0</v>
      </c>
      <c r="D84" s="149"/>
      <c r="E84" s="762" t="str">
        <f>IF($C84=0,"",SUMIFS(INPUT_DATA!AU:AU,INPUT_DATA!$A:$A,$C84,INPUT_DATA!$C:$C,"S"))</f>
        <v/>
      </c>
      <c r="F84" s="774" t="str">
        <f>IF($C84=0,"",SUMIFS(INPUT_DATA!AV:AV,INPUT_DATA!$A:$A,$C84,INPUT_DATA!$C:$C,"S"))</f>
        <v/>
      </c>
      <c r="G84" s="774" t="str">
        <f>IF($C84=0,"",SUMIFS(INPUT_DATA!AW:AW,INPUT_DATA!$A:$A,$C84,INPUT_DATA!$C:$C,"S"))</f>
        <v/>
      </c>
      <c r="H84" s="776" t="str">
        <f t="shared" si="10"/>
        <v/>
      </c>
      <c r="I84" s="774" t="str">
        <f>IF($C84=0,"",SUMIFS(INPUT_DATA!AY:AY,INPUT_DATA!$A:$A,$C84,INPUT_DATA!$C:$C,"S"))</f>
        <v/>
      </c>
      <c r="J84" s="774" t="str">
        <f>IF($C84=0,"",SUMIFS(INPUT_DATA!AZ:AZ,INPUT_DATA!$A:$A,$C84,INPUT_DATA!$C:$C,"S"))</f>
        <v/>
      </c>
      <c r="K84" s="774" t="str">
        <f>IF($C84=0,"",SUMIFS(INPUT_DATA!BA:BA,INPUT_DATA!$A:$A,$C84,INPUT_DATA!$C:$C,"S"))</f>
        <v/>
      </c>
      <c r="L84" s="774" t="str">
        <f>IF($C84=0,"",SUMIFS(INPUT_DATA!BB:BB,INPUT_DATA!$A:$A,$C84,INPUT_DATA!$C:$C,"S"))</f>
        <v/>
      </c>
      <c r="M84" s="774" t="str">
        <f>IF($C84=0,"",SUMIFS(INPUT_DATA!BC:BC,INPUT_DATA!$A:$A,$C84,INPUT_DATA!$C:$C,"S"))</f>
        <v/>
      </c>
      <c r="N84" s="774" t="str">
        <f>IF($C84=0,"",SUMIFS(INPUT_DATA!BD:BD,INPUT_DATA!$A:$A,$C84,INPUT_DATA!$C:$C,"S"))</f>
        <v/>
      </c>
      <c r="O84" s="774" t="str">
        <f>IF($C84=0,"",SUMIFS(INPUT_DATA!BE:BE,INPUT_DATA!$A:$A,$C84,INPUT_DATA!$C:$C,"S"))</f>
        <v/>
      </c>
      <c r="P84" s="774" t="str">
        <f>IF($C84=0,"",SUMIFS(INPUT_DATA!BF:BF,INPUT_DATA!$A:$A,$C84,INPUT_DATA!$C:$C,"S"))</f>
        <v/>
      </c>
      <c r="Q84" s="780" t="str">
        <f t="shared" si="15"/>
        <v/>
      </c>
      <c r="R84" s="782" t="str">
        <f>IF($C84=0,"",SUMIFS(INPUT_DATA!BH:BH,INPUT_DATA!$A:$A,$C84,INPUT_DATA!$C:$C,"S"))</f>
        <v/>
      </c>
      <c r="S84" s="782" t="str">
        <f>IF($C84=0,"",SUMIFS(INPUT_DATA!BI:BI,INPUT_DATA!$A:$A,$C84,INPUT_DATA!$C:$C,"S"))</f>
        <v/>
      </c>
      <c r="T84" s="780" t="str">
        <f t="shared" si="16"/>
        <v/>
      </c>
      <c r="U84" s="785" t="str">
        <f>IF($C84=0,"",SUMIFS(INPUT_DATA!BL:BL,INPUT_DATA!$A:$A,$C84,INPUT_DATA!$C:$C,"S"))</f>
        <v/>
      </c>
      <c r="V84" s="155" t="str">
        <f t="shared" si="11"/>
        <v/>
      </c>
      <c r="W84" s="149"/>
      <c r="X84" s="762" t="str">
        <f>IF($C84=0,"",SUMIFS(INPUT_DATA!AU:AU,INPUT_DATA!$A:$A,$C84,INPUT_DATA!$C:$C,"D"))</f>
        <v/>
      </c>
      <c r="Y84" s="774" t="str">
        <f>IF($C84=0,"",SUMIFS(INPUT_DATA!AV:AV,INPUT_DATA!$A:$A,$C84,INPUT_DATA!$C:$C,"D"))</f>
        <v/>
      </c>
      <c r="Z84" s="774" t="str">
        <f>IF($C84=0,"",SUMIFS(INPUT_DATA!AW:AW,INPUT_DATA!$A:$A,$C84,INPUT_DATA!$C:$C,"D"))</f>
        <v/>
      </c>
      <c r="AA84" s="775" t="str">
        <f t="shared" si="12"/>
        <v/>
      </c>
      <c r="AB84" s="774" t="str">
        <f>IF($C84=0,"",SUMIFS(INPUT_DATA!AX:AX,INPUT_DATA!$A:$A,$C84,INPUT_DATA!$C:$C,"D"))</f>
        <v/>
      </c>
      <c r="AC84" s="774" t="str">
        <f>IF($C84=0,"",SUMIFS(INPUT_DATA!AY:AY,INPUT_DATA!$A:$A,$C84,INPUT_DATA!$C:$C,"D"))</f>
        <v/>
      </c>
      <c r="AD84" s="774" t="str">
        <f>IF($C84=0,"",SUMIFS(INPUT_DATA!AZ:AZ,INPUT_DATA!$A:$A,$C84,INPUT_DATA!$C:$C,"D"))</f>
        <v/>
      </c>
      <c r="AE84" s="774" t="str">
        <f>IF($C84=0,"",SUMIFS(INPUT_DATA!BA:BA,INPUT_DATA!$A:$A,$C84,INPUT_DATA!$C:$C,"D"))</f>
        <v/>
      </c>
      <c r="AF84" s="774" t="str">
        <f>IF($C84=0,"",SUMIFS(INPUT_DATA!BB:BB,INPUT_DATA!$A:$A,$C84,INPUT_DATA!$C:$C,"D"))</f>
        <v/>
      </c>
      <c r="AG84" s="774" t="str">
        <f>IF($C84=0,"",SUMIFS(INPUT_DATA!BC:BC,INPUT_DATA!$A:$A,$C84,INPUT_DATA!$C:$C,"D"))</f>
        <v/>
      </c>
      <c r="AH84" s="774" t="str">
        <f>IF($C84=0,"",SUMIFS(INPUT_DATA!BD:BD,INPUT_DATA!$A:$A,$C84,INPUT_DATA!$C:$C,"D"))</f>
        <v/>
      </c>
      <c r="AI84" s="774" t="str">
        <f>IF($C84=0,"",SUMIFS(INPUT_DATA!BE:BE,INPUT_DATA!$A:$A,$C84,INPUT_DATA!$C:$C,"D"))</f>
        <v/>
      </c>
      <c r="AJ84" s="315" t="str">
        <f t="shared" si="13"/>
        <v/>
      </c>
      <c r="AK84" s="782" t="str">
        <f>IF($C84=0,"",SUMIFS(INPUT_DATA!BG:BG,INPUT_DATA!$A:$A,$C84,INPUT_DATA!$C:$C,"D"))</f>
        <v/>
      </c>
      <c r="AL84" s="782" t="str">
        <f>IF($C84=0,"",SUMIFS(INPUT_DATA!BH:BH,INPUT_DATA!$A:$A,$C84,INPUT_DATA!$C:$C,"D"))</f>
        <v/>
      </c>
      <c r="AM84" s="782" t="str">
        <f>IF($C84=0,"",SUMIFS(INPUT_DATA!BI:BI,INPUT_DATA!$A:$A,$C84,INPUT_DATA!$C:$C,"D"))</f>
        <v/>
      </c>
      <c r="AN84" s="780" t="str">
        <f t="shared" si="17"/>
        <v/>
      </c>
      <c r="AO84" s="785" t="str">
        <f>IF($C84=0,"",SUMIFS(INPUT_DATA!BK:BK,INPUT_DATA!$A:$A,$C84,INPUT_DATA!$C:$C,"D"))</f>
        <v/>
      </c>
      <c r="AP84" s="355" t="str">
        <f t="shared" si="18"/>
        <v/>
      </c>
      <c r="AQ84" s="149"/>
      <c r="AS84" s="355" t="str">
        <f t="shared" si="19"/>
        <v/>
      </c>
      <c r="AU84" s="391" t="str">
        <f>IF($C84=0,"",'03 - Monthly Asset Follow up'!E88+'03 - Monthly Asset Follow up'!F88-'03 - Monthly Asset Follow up'!U88+'03 - Monthly Asset Follow up'!X88-H84)</f>
        <v/>
      </c>
      <c r="AV84" s="391" t="str">
        <f>IF($C84=0,"",'03 - Monthly Asset Follow up'!BD88+'03 - Monthly Asset Follow up'!BE88-'03 - Monthly Asset Follow up'!BT88+'03 - Monthly Asset Follow up'!BW88)</f>
        <v/>
      </c>
      <c r="AX84" s="154"/>
    </row>
    <row r="85" spans="2:50" ht="13" x14ac:dyDescent="0.3">
      <c r="B85" s="766" t="str">
        <f t="shared" si="14"/>
        <v/>
      </c>
      <c r="C85" s="769">
        <f>'03 - Monthly Asset Follow up'!B89</f>
        <v>0</v>
      </c>
      <c r="D85" s="149"/>
      <c r="E85" s="762" t="str">
        <f>IF($C85=0,"",SUMIFS(INPUT_DATA!AU:AU,INPUT_DATA!$A:$A,$C85,INPUT_DATA!$C:$C,"S"))</f>
        <v/>
      </c>
      <c r="F85" s="774" t="str">
        <f>IF($C85=0,"",SUMIFS(INPUT_DATA!AV:AV,INPUT_DATA!$A:$A,$C85,INPUT_DATA!$C:$C,"S"))</f>
        <v/>
      </c>
      <c r="G85" s="774" t="str">
        <f>IF($C85=0,"",SUMIFS(INPUT_DATA!AW:AW,INPUT_DATA!$A:$A,$C85,INPUT_DATA!$C:$C,"S"))</f>
        <v/>
      </c>
      <c r="H85" s="776" t="str">
        <f t="shared" si="10"/>
        <v/>
      </c>
      <c r="I85" s="774" t="str">
        <f>IF($C85=0,"",SUMIFS(INPUT_DATA!AY:AY,INPUT_DATA!$A:$A,$C85,INPUT_DATA!$C:$C,"S"))</f>
        <v/>
      </c>
      <c r="J85" s="774" t="str">
        <f>IF($C85=0,"",SUMIFS(INPUT_DATA!AZ:AZ,INPUT_DATA!$A:$A,$C85,INPUT_DATA!$C:$C,"S"))</f>
        <v/>
      </c>
      <c r="K85" s="774" t="str">
        <f>IF($C85=0,"",SUMIFS(INPUT_DATA!BA:BA,INPUT_DATA!$A:$A,$C85,INPUT_DATA!$C:$C,"S"))</f>
        <v/>
      </c>
      <c r="L85" s="774" t="str">
        <f>IF($C85=0,"",SUMIFS(INPUT_DATA!BB:BB,INPUT_DATA!$A:$A,$C85,INPUT_DATA!$C:$C,"S"))</f>
        <v/>
      </c>
      <c r="M85" s="774" t="str">
        <f>IF($C85=0,"",SUMIFS(INPUT_DATA!BC:BC,INPUT_DATA!$A:$A,$C85,INPUT_DATA!$C:$C,"S"))</f>
        <v/>
      </c>
      <c r="N85" s="774" t="str">
        <f>IF($C85=0,"",SUMIFS(INPUT_DATA!BD:BD,INPUT_DATA!$A:$A,$C85,INPUT_DATA!$C:$C,"S"))</f>
        <v/>
      </c>
      <c r="O85" s="774" t="str">
        <f>IF($C85=0,"",SUMIFS(INPUT_DATA!BE:BE,INPUT_DATA!$A:$A,$C85,INPUT_DATA!$C:$C,"S"))</f>
        <v/>
      </c>
      <c r="P85" s="774" t="str">
        <f>IF($C85=0,"",SUMIFS(INPUT_DATA!BF:BF,INPUT_DATA!$A:$A,$C85,INPUT_DATA!$C:$C,"S"))</f>
        <v/>
      </c>
      <c r="Q85" s="780" t="str">
        <f t="shared" si="15"/>
        <v/>
      </c>
      <c r="R85" s="782" t="str">
        <f>IF($C85=0,"",SUMIFS(INPUT_DATA!BH:BH,INPUT_DATA!$A:$A,$C85,INPUT_DATA!$C:$C,"S"))</f>
        <v/>
      </c>
      <c r="S85" s="782" t="str">
        <f>IF($C85=0,"",SUMIFS(INPUT_DATA!BI:BI,INPUT_DATA!$A:$A,$C85,INPUT_DATA!$C:$C,"S"))</f>
        <v/>
      </c>
      <c r="T85" s="780" t="str">
        <f t="shared" si="16"/>
        <v/>
      </c>
      <c r="U85" s="785" t="str">
        <f>IF($C85=0,"",SUMIFS(INPUT_DATA!BL:BL,INPUT_DATA!$A:$A,$C85,INPUT_DATA!$C:$C,"S"))</f>
        <v/>
      </c>
      <c r="V85" s="155" t="str">
        <f t="shared" si="11"/>
        <v/>
      </c>
      <c r="W85" s="149"/>
      <c r="X85" s="762" t="str">
        <f>IF($C85=0,"",SUMIFS(INPUT_DATA!AU:AU,INPUT_DATA!$A:$A,$C85,INPUT_DATA!$C:$C,"D"))</f>
        <v/>
      </c>
      <c r="Y85" s="774" t="str">
        <f>IF($C85=0,"",SUMIFS(INPUT_DATA!AV:AV,INPUT_DATA!$A:$A,$C85,INPUT_DATA!$C:$C,"D"))</f>
        <v/>
      </c>
      <c r="Z85" s="774" t="str">
        <f>IF($C85=0,"",SUMIFS(INPUT_DATA!AW:AW,INPUT_DATA!$A:$A,$C85,INPUT_DATA!$C:$C,"D"))</f>
        <v/>
      </c>
      <c r="AA85" s="775" t="str">
        <f t="shared" si="12"/>
        <v/>
      </c>
      <c r="AB85" s="774" t="str">
        <f>IF($C85=0,"",SUMIFS(INPUT_DATA!AX:AX,INPUT_DATA!$A:$A,$C85,INPUT_DATA!$C:$C,"D"))</f>
        <v/>
      </c>
      <c r="AC85" s="774" t="str">
        <f>IF($C85=0,"",SUMIFS(INPUT_DATA!AY:AY,INPUT_DATA!$A:$A,$C85,INPUT_DATA!$C:$C,"D"))</f>
        <v/>
      </c>
      <c r="AD85" s="774" t="str">
        <f>IF($C85=0,"",SUMIFS(INPUT_DATA!AZ:AZ,INPUT_DATA!$A:$A,$C85,INPUT_DATA!$C:$C,"D"))</f>
        <v/>
      </c>
      <c r="AE85" s="774" t="str">
        <f>IF($C85=0,"",SUMIFS(INPUT_DATA!BA:BA,INPUT_DATA!$A:$A,$C85,INPUT_DATA!$C:$C,"D"))</f>
        <v/>
      </c>
      <c r="AF85" s="774" t="str">
        <f>IF($C85=0,"",SUMIFS(INPUT_DATA!BB:BB,INPUT_DATA!$A:$A,$C85,INPUT_DATA!$C:$C,"D"))</f>
        <v/>
      </c>
      <c r="AG85" s="774" t="str">
        <f>IF($C85=0,"",SUMIFS(INPUT_DATA!BC:BC,INPUT_DATA!$A:$A,$C85,INPUT_DATA!$C:$C,"D"))</f>
        <v/>
      </c>
      <c r="AH85" s="774" t="str">
        <f>IF($C85=0,"",SUMIFS(INPUT_DATA!BD:BD,INPUT_DATA!$A:$A,$C85,INPUT_DATA!$C:$C,"D"))</f>
        <v/>
      </c>
      <c r="AI85" s="774" t="str">
        <f>IF($C85=0,"",SUMIFS(INPUT_DATA!BE:BE,INPUT_DATA!$A:$A,$C85,INPUT_DATA!$C:$C,"D"))</f>
        <v/>
      </c>
      <c r="AJ85" s="315" t="str">
        <f t="shared" si="13"/>
        <v/>
      </c>
      <c r="AK85" s="782" t="str">
        <f>IF($C85=0,"",SUMIFS(INPUT_DATA!BG:BG,INPUT_DATA!$A:$A,$C85,INPUT_DATA!$C:$C,"D"))</f>
        <v/>
      </c>
      <c r="AL85" s="782" t="str">
        <f>IF($C85=0,"",SUMIFS(INPUT_DATA!BH:BH,INPUT_DATA!$A:$A,$C85,INPUT_DATA!$C:$C,"D"))</f>
        <v/>
      </c>
      <c r="AM85" s="782" t="str">
        <f>IF($C85=0,"",SUMIFS(INPUT_DATA!BI:BI,INPUT_DATA!$A:$A,$C85,INPUT_DATA!$C:$C,"D"))</f>
        <v/>
      </c>
      <c r="AN85" s="780" t="str">
        <f t="shared" si="17"/>
        <v/>
      </c>
      <c r="AO85" s="785" t="str">
        <f>IF($C85=0,"",SUMIFS(INPUT_DATA!BK:BK,INPUT_DATA!$A:$A,$C85,INPUT_DATA!$C:$C,"D"))</f>
        <v/>
      </c>
      <c r="AP85" s="355" t="str">
        <f t="shared" si="18"/>
        <v/>
      </c>
      <c r="AQ85" s="149"/>
      <c r="AS85" s="355" t="str">
        <f t="shared" si="19"/>
        <v/>
      </c>
      <c r="AU85" s="391" t="str">
        <f>IF($C85=0,"",'03 - Monthly Asset Follow up'!E89+'03 - Monthly Asset Follow up'!F89-'03 - Monthly Asset Follow up'!U89+'03 - Monthly Asset Follow up'!X89-H85)</f>
        <v/>
      </c>
      <c r="AV85" s="391" t="str">
        <f>IF($C85=0,"",'03 - Monthly Asset Follow up'!BD89+'03 - Monthly Asset Follow up'!BE89-'03 - Monthly Asset Follow up'!BT89+'03 - Monthly Asset Follow up'!BW89)</f>
        <v/>
      </c>
      <c r="AX85" s="154"/>
    </row>
    <row r="86" spans="2:50" ht="13" x14ac:dyDescent="0.3">
      <c r="B86" s="766" t="str">
        <f t="shared" si="14"/>
        <v/>
      </c>
      <c r="C86" s="769">
        <f>'03 - Monthly Asset Follow up'!B90</f>
        <v>0</v>
      </c>
      <c r="D86" s="149"/>
      <c r="E86" s="762" t="str">
        <f>IF($C86=0,"",SUMIFS(INPUT_DATA!AU:AU,INPUT_DATA!$A:$A,$C86,INPUT_DATA!$C:$C,"S"))</f>
        <v/>
      </c>
      <c r="F86" s="774" t="str">
        <f>IF($C86=0,"",SUMIFS(INPUT_DATA!AV:AV,INPUT_DATA!$A:$A,$C86,INPUT_DATA!$C:$C,"S"))</f>
        <v/>
      </c>
      <c r="G86" s="774" t="str">
        <f>IF($C86=0,"",SUMIFS(INPUT_DATA!AW:AW,INPUT_DATA!$A:$A,$C86,INPUT_DATA!$C:$C,"S"))</f>
        <v/>
      </c>
      <c r="H86" s="776" t="str">
        <f t="shared" si="10"/>
        <v/>
      </c>
      <c r="I86" s="774" t="str">
        <f>IF($C86=0,"",SUMIFS(INPUT_DATA!AY:AY,INPUT_DATA!$A:$A,$C86,INPUT_DATA!$C:$C,"S"))</f>
        <v/>
      </c>
      <c r="J86" s="774" t="str">
        <f>IF($C86=0,"",SUMIFS(INPUT_DATA!AZ:AZ,INPUT_DATA!$A:$A,$C86,INPUT_DATA!$C:$C,"S"))</f>
        <v/>
      </c>
      <c r="K86" s="774" t="str">
        <f>IF($C86=0,"",SUMIFS(INPUT_DATA!BA:BA,INPUT_DATA!$A:$A,$C86,INPUT_DATA!$C:$C,"S"))</f>
        <v/>
      </c>
      <c r="L86" s="774" t="str">
        <f>IF($C86=0,"",SUMIFS(INPUT_DATA!BB:BB,INPUT_DATA!$A:$A,$C86,INPUT_DATA!$C:$C,"S"))</f>
        <v/>
      </c>
      <c r="M86" s="774" t="str">
        <f>IF($C86=0,"",SUMIFS(INPUT_DATA!BC:BC,INPUT_DATA!$A:$A,$C86,INPUT_DATA!$C:$C,"S"))</f>
        <v/>
      </c>
      <c r="N86" s="774" t="str">
        <f>IF($C86=0,"",SUMIFS(INPUT_DATA!BD:BD,INPUT_DATA!$A:$A,$C86,INPUT_DATA!$C:$C,"S"))</f>
        <v/>
      </c>
      <c r="O86" s="774" t="str">
        <f>IF($C86=0,"",SUMIFS(INPUT_DATA!BE:BE,INPUT_DATA!$A:$A,$C86,INPUT_DATA!$C:$C,"S"))</f>
        <v/>
      </c>
      <c r="P86" s="774" t="str">
        <f>IF($C86=0,"",SUMIFS(INPUT_DATA!BF:BF,INPUT_DATA!$A:$A,$C86,INPUT_DATA!$C:$C,"S"))</f>
        <v/>
      </c>
      <c r="Q86" s="780" t="str">
        <f t="shared" si="15"/>
        <v/>
      </c>
      <c r="R86" s="782" t="str">
        <f>IF($C86=0,"",SUMIFS(INPUT_DATA!BH:BH,INPUT_DATA!$A:$A,$C86,INPUT_DATA!$C:$C,"S"))</f>
        <v/>
      </c>
      <c r="S86" s="782" t="str">
        <f>IF($C86=0,"",SUMIFS(INPUT_DATA!BI:BI,INPUT_DATA!$A:$A,$C86,INPUT_DATA!$C:$C,"S"))</f>
        <v/>
      </c>
      <c r="T86" s="780" t="str">
        <f t="shared" si="16"/>
        <v/>
      </c>
      <c r="U86" s="785" t="str">
        <f>IF($C86=0,"",SUMIFS(INPUT_DATA!BL:BL,INPUT_DATA!$A:$A,$C86,INPUT_DATA!$C:$C,"S"))</f>
        <v/>
      </c>
      <c r="V86" s="155" t="str">
        <f t="shared" si="11"/>
        <v/>
      </c>
      <c r="W86" s="149"/>
      <c r="X86" s="762" t="str">
        <f>IF($C86=0,"",SUMIFS(INPUT_DATA!AU:AU,INPUT_DATA!$A:$A,$C86,INPUT_DATA!$C:$C,"D"))</f>
        <v/>
      </c>
      <c r="Y86" s="774" t="str">
        <f>IF($C86=0,"",SUMIFS(INPUT_DATA!AV:AV,INPUT_DATA!$A:$A,$C86,INPUT_DATA!$C:$C,"D"))</f>
        <v/>
      </c>
      <c r="Z86" s="774" t="str">
        <f>IF($C86=0,"",SUMIFS(INPUT_DATA!AW:AW,INPUT_DATA!$A:$A,$C86,INPUT_DATA!$C:$C,"D"))</f>
        <v/>
      </c>
      <c r="AA86" s="775" t="str">
        <f t="shared" si="12"/>
        <v/>
      </c>
      <c r="AB86" s="774" t="str">
        <f>IF($C86=0,"",SUMIFS(INPUT_DATA!AX:AX,INPUT_DATA!$A:$A,$C86,INPUT_DATA!$C:$C,"D"))</f>
        <v/>
      </c>
      <c r="AC86" s="774" t="str">
        <f>IF($C86=0,"",SUMIFS(INPUT_DATA!AY:AY,INPUT_DATA!$A:$A,$C86,INPUT_DATA!$C:$C,"D"))</f>
        <v/>
      </c>
      <c r="AD86" s="774" t="str">
        <f>IF($C86=0,"",SUMIFS(INPUT_DATA!AZ:AZ,INPUT_DATA!$A:$A,$C86,INPUT_DATA!$C:$C,"D"))</f>
        <v/>
      </c>
      <c r="AE86" s="774" t="str">
        <f>IF($C86=0,"",SUMIFS(INPUT_DATA!BA:BA,INPUT_DATA!$A:$A,$C86,INPUT_DATA!$C:$C,"D"))</f>
        <v/>
      </c>
      <c r="AF86" s="774" t="str">
        <f>IF($C86=0,"",SUMIFS(INPUT_DATA!BB:BB,INPUT_DATA!$A:$A,$C86,INPUT_DATA!$C:$C,"D"))</f>
        <v/>
      </c>
      <c r="AG86" s="774" t="str">
        <f>IF($C86=0,"",SUMIFS(INPUT_DATA!BC:BC,INPUT_DATA!$A:$A,$C86,INPUT_DATA!$C:$C,"D"))</f>
        <v/>
      </c>
      <c r="AH86" s="774" t="str">
        <f>IF($C86=0,"",SUMIFS(INPUT_DATA!BD:BD,INPUT_DATA!$A:$A,$C86,INPUT_DATA!$C:$C,"D"))</f>
        <v/>
      </c>
      <c r="AI86" s="774" t="str">
        <f>IF($C86=0,"",SUMIFS(INPUT_DATA!BE:BE,INPUT_DATA!$A:$A,$C86,INPUT_DATA!$C:$C,"D"))</f>
        <v/>
      </c>
      <c r="AJ86" s="315" t="str">
        <f t="shared" si="13"/>
        <v/>
      </c>
      <c r="AK86" s="782" t="str">
        <f>IF($C86=0,"",SUMIFS(INPUT_DATA!BG:BG,INPUT_DATA!$A:$A,$C86,INPUT_DATA!$C:$C,"D"))</f>
        <v/>
      </c>
      <c r="AL86" s="782" t="str">
        <f>IF($C86=0,"",SUMIFS(INPUT_DATA!BH:BH,INPUT_DATA!$A:$A,$C86,INPUT_DATA!$C:$C,"D"))</f>
        <v/>
      </c>
      <c r="AM86" s="782" t="str">
        <f>IF($C86=0,"",SUMIFS(INPUT_DATA!BI:BI,INPUT_DATA!$A:$A,$C86,INPUT_DATA!$C:$C,"D"))</f>
        <v/>
      </c>
      <c r="AN86" s="780" t="str">
        <f t="shared" si="17"/>
        <v/>
      </c>
      <c r="AO86" s="785" t="str">
        <f>IF($C86=0,"",SUMIFS(INPUT_DATA!BK:BK,INPUT_DATA!$A:$A,$C86,INPUT_DATA!$C:$C,"D"))</f>
        <v/>
      </c>
      <c r="AP86" s="355" t="str">
        <f t="shared" si="18"/>
        <v/>
      </c>
      <c r="AQ86" s="149"/>
      <c r="AS86" s="355" t="str">
        <f t="shared" si="19"/>
        <v/>
      </c>
      <c r="AU86" s="391" t="str">
        <f>IF($C86=0,"",'03 - Monthly Asset Follow up'!E90+'03 - Monthly Asset Follow up'!F90-'03 - Monthly Asset Follow up'!U90+'03 - Monthly Asset Follow up'!X90-H86)</f>
        <v/>
      </c>
      <c r="AV86" s="391" t="str">
        <f>IF($C86=0,"",'03 - Monthly Asset Follow up'!BD90+'03 - Monthly Asset Follow up'!BE90-'03 - Monthly Asset Follow up'!BT90+'03 - Monthly Asset Follow up'!BW90)</f>
        <v/>
      </c>
      <c r="AX86" s="154"/>
    </row>
    <row r="87" spans="2:50" ht="13" x14ac:dyDescent="0.3">
      <c r="B87" s="766" t="str">
        <f t="shared" si="14"/>
        <v/>
      </c>
      <c r="C87" s="769">
        <f>'03 - Monthly Asset Follow up'!B91</f>
        <v>0</v>
      </c>
      <c r="D87" s="149"/>
      <c r="E87" s="762" t="str">
        <f>IF($C87=0,"",SUMIFS(INPUT_DATA!AU:AU,INPUT_DATA!$A:$A,$C87,INPUT_DATA!$C:$C,"S"))</f>
        <v/>
      </c>
      <c r="F87" s="774" t="str">
        <f>IF($C87=0,"",SUMIFS(INPUT_DATA!AV:AV,INPUT_DATA!$A:$A,$C87,INPUT_DATA!$C:$C,"S"))</f>
        <v/>
      </c>
      <c r="G87" s="774" t="str">
        <f>IF($C87=0,"",SUMIFS(INPUT_DATA!AW:AW,INPUT_DATA!$A:$A,$C87,INPUT_DATA!$C:$C,"S"))</f>
        <v/>
      </c>
      <c r="H87" s="776" t="str">
        <f t="shared" si="10"/>
        <v/>
      </c>
      <c r="I87" s="774" t="str">
        <f>IF($C87=0,"",SUMIFS(INPUT_DATA!AY:AY,INPUT_DATA!$A:$A,$C87,INPUT_DATA!$C:$C,"S"))</f>
        <v/>
      </c>
      <c r="J87" s="774" t="str">
        <f>IF($C87=0,"",SUMIFS(INPUT_DATA!AZ:AZ,INPUT_DATA!$A:$A,$C87,INPUT_DATA!$C:$C,"S"))</f>
        <v/>
      </c>
      <c r="K87" s="774" t="str">
        <f>IF($C87=0,"",SUMIFS(INPUT_DATA!BA:BA,INPUT_DATA!$A:$A,$C87,INPUT_DATA!$C:$C,"S"))</f>
        <v/>
      </c>
      <c r="L87" s="774" t="str">
        <f>IF($C87=0,"",SUMIFS(INPUT_DATA!BB:BB,INPUT_DATA!$A:$A,$C87,INPUT_DATA!$C:$C,"S"))</f>
        <v/>
      </c>
      <c r="M87" s="774" t="str">
        <f>IF($C87=0,"",SUMIFS(INPUT_DATA!BC:BC,INPUT_DATA!$A:$A,$C87,INPUT_DATA!$C:$C,"S"))</f>
        <v/>
      </c>
      <c r="N87" s="774" t="str">
        <f>IF($C87=0,"",SUMIFS(INPUT_DATA!BD:BD,INPUT_DATA!$A:$A,$C87,INPUT_DATA!$C:$C,"S"))</f>
        <v/>
      </c>
      <c r="O87" s="774" t="str">
        <f>IF($C87=0,"",SUMIFS(INPUT_DATA!BE:BE,INPUT_DATA!$A:$A,$C87,INPUT_DATA!$C:$C,"S"))</f>
        <v/>
      </c>
      <c r="P87" s="774" t="str">
        <f>IF($C87=0,"",SUMIFS(INPUT_DATA!BF:BF,INPUT_DATA!$A:$A,$C87,INPUT_DATA!$C:$C,"S"))</f>
        <v/>
      </c>
      <c r="Q87" s="780" t="str">
        <f t="shared" si="15"/>
        <v/>
      </c>
      <c r="R87" s="782" t="str">
        <f>IF($C87=0,"",SUMIFS(INPUT_DATA!BH:BH,INPUT_DATA!$A:$A,$C87,INPUT_DATA!$C:$C,"S"))</f>
        <v/>
      </c>
      <c r="S87" s="782" t="str">
        <f>IF($C87=0,"",SUMIFS(INPUT_DATA!BI:BI,INPUT_DATA!$A:$A,$C87,INPUT_DATA!$C:$C,"S"))</f>
        <v/>
      </c>
      <c r="T87" s="780" t="str">
        <f t="shared" si="16"/>
        <v/>
      </c>
      <c r="U87" s="785" t="str">
        <f>IF($C87=0,"",SUMIFS(INPUT_DATA!BL:BL,INPUT_DATA!$A:$A,$C87,INPUT_DATA!$C:$C,"S"))</f>
        <v/>
      </c>
      <c r="V87" s="155" t="str">
        <f t="shared" si="11"/>
        <v/>
      </c>
      <c r="W87" s="149"/>
      <c r="X87" s="762" t="str">
        <f>IF($C87=0,"",SUMIFS(INPUT_DATA!AU:AU,INPUT_DATA!$A:$A,$C87,INPUT_DATA!$C:$C,"D"))</f>
        <v/>
      </c>
      <c r="Y87" s="774" t="str">
        <f>IF($C87=0,"",SUMIFS(INPUT_DATA!AV:AV,INPUT_DATA!$A:$A,$C87,INPUT_DATA!$C:$C,"D"))</f>
        <v/>
      </c>
      <c r="Z87" s="774" t="str">
        <f>IF($C87=0,"",SUMIFS(INPUT_DATA!AW:AW,INPUT_DATA!$A:$A,$C87,INPUT_DATA!$C:$C,"D"))</f>
        <v/>
      </c>
      <c r="AA87" s="775" t="str">
        <f t="shared" si="12"/>
        <v/>
      </c>
      <c r="AB87" s="774" t="str">
        <f>IF($C87=0,"",SUMIFS(INPUT_DATA!AX:AX,INPUT_DATA!$A:$A,$C87,INPUT_DATA!$C:$C,"D"))</f>
        <v/>
      </c>
      <c r="AC87" s="774" t="str">
        <f>IF($C87=0,"",SUMIFS(INPUT_DATA!AY:AY,INPUT_DATA!$A:$A,$C87,INPUT_DATA!$C:$C,"D"))</f>
        <v/>
      </c>
      <c r="AD87" s="774" t="str">
        <f>IF($C87=0,"",SUMIFS(INPUT_DATA!AZ:AZ,INPUT_DATA!$A:$A,$C87,INPUT_DATA!$C:$C,"D"))</f>
        <v/>
      </c>
      <c r="AE87" s="774" t="str">
        <f>IF($C87=0,"",SUMIFS(INPUT_DATA!BA:BA,INPUT_DATA!$A:$A,$C87,INPUT_DATA!$C:$C,"D"))</f>
        <v/>
      </c>
      <c r="AF87" s="774" t="str">
        <f>IF($C87=0,"",SUMIFS(INPUT_DATA!BB:BB,INPUT_DATA!$A:$A,$C87,INPUT_DATA!$C:$C,"D"))</f>
        <v/>
      </c>
      <c r="AG87" s="774" t="str">
        <f>IF($C87=0,"",SUMIFS(INPUT_DATA!BC:BC,INPUT_DATA!$A:$A,$C87,INPUT_DATA!$C:$C,"D"))</f>
        <v/>
      </c>
      <c r="AH87" s="774" t="str">
        <f>IF($C87=0,"",SUMIFS(INPUT_DATA!BD:BD,INPUT_DATA!$A:$A,$C87,INPUT_DATA!$C:$C,"D"))</f>
        <v/>
      </c>
      <c r="AI87" s="774" t="str">
        <f>IF($C87=0,"",SUMIFS(INPUT_DATA!BE:BE,INPUT_DATA!$A:$A,$C87,INPUT_DATA!$C:$C,"D"))</f>
        <v/>
      </c>
      <c r="AJ87" s="315" t="str">
        <f t="shared" si="13"/>
        <v/>
      </c>
      <c r="AK87" s="782" t="str">
        <f>IF($C87=0,"",SUMIFS(INPUT_DATA!BG:BG,INPUT_DATA!$A:$A,$C87,INPUT_DATA!$C:$C,"D"))</f>
        <v/>
      </c>
      <c r="AL87" s="782" t="str">
        <f>IF($C87=0,"",SUMIFS(INPUT_DATA!BH:BH,INPUT_DATA!$A:$A,$C87,INPUT_DATA!$C:$C,"D"))</f>
        <v/>
      </c>
      <c r="AM87" s="782" t="str">
        <f>IF($C87=0,"",SUMIFS(INPUT_DATA!BI:BI,INPUT_DATA!$A:$A,$C87,INPUT_DATA!$C:$C,"D"))</f>
        <v/>
      </c>
      <c r="AN87" s="780" t="str">
        <f t="shared" si="17"/>
        <v/>
      </c>
      <c r="AO87" s="785" t="str">
        <f>IF($C87=0,"",SUMIFS(INPUT_DATA!BK:BK,INPUT_DATA!$A:$A,$C87,INPUT_DATA!$C:$C,"D"))</f>
        <v/>
      </c>
      <c r="AP87" s="355" t="str">
        <f t="shared" si="18"/>
        <v/>
      </c>
      <c r="AQ87" s="149"/>
      <c r="AS87" s="355" t="str">
        <f t="shared" si="19"/>
        <v/>
      </c>
      <c r="AU87" s="391" t="str">
        <f>IF($C87=0,"",'03 - Monthly Asset Follow up'!E91+'03 - Monthly Asset Follow up'!F91-'03 - Monthly Asset Follow up'!U91+'03 - Monthly Asset Follow up'!X91-H87)</f>
        <v/>
      </c>
      <c r="AV87" s="391" t="str">
        <f>IF($C87=0,"",'03 - Monthly Asset Follow up'!BD91+'03 - Monthly Asset Follow up'!BE91-'03 - Monthly Asset Follow up'!BT91+'03 - Monthly Asset Follow up'!BW91)</f>
        <v/>
      </c>
      <c r="AX87" s="154"/>
    </row>
    <row r="88" spans="2:50" ht="13" x14ac:dyDescent="0.3">
      <c r="B88" s="766" t="str">
        <f t="shared" si="14"/>
        <v/>
      </c>
      <c r="C88" s="769">
        <f>'03 - Monthly Asset Follow up'!B92</f>
        <v>0</v>
      </c>
      <c r="D88" s="149"/>
      <c r="E88" s="762" t="str">
        <f>IF($C88=0,"",SUMIFS(INPUT_DATA!AU:AU,INPUT_DATA!$A:$A,$C88,INPUT_DATA!$C:$C,"S"))</f>
        <v/>
      </c>
      <c r="F88" s="774" t="str">
        <f>IF($C88=0,"",SUMIFS(INPUT_DATA!AV:AV,INPUT_DATA!$A:$A,$C88,INPUT_DATA!$C:$C,"S"))</f>
        <v/>
      </c>
      <c r="G88" s="774" t="str">
        <f>IF($C88=0,"",SUMIFS(INPUT_DATA!AW:AW,INPUT_DATA!$A:$A,$C88,INPUT_DATA!$C:$C,"S"))</f>
        <v/>
      </c>
      <c r="H88" s="776" t="str">
        <f t="shared" si="10"/>
        <v/>
      </c>
      <c r="I88" s="774" t="str">
        <f>IF($C88=0,"",SUMIFS(INPUT_DATA!AY:AY,INPUT_DATA!$A:$A,$C88,INPUT_DATA!$C:$C,"S"))</f>
        <v/>
      </c>
      <c r="J88" s="774" t="str">
        <f>IF($C88=0,"",SUMIFS(INPUT_DATA!AZ:AZ,INPUT_DATA!$A:$A,$C88,INPUT_DATA!$C:$C,"S"))</f>
        <v/>
      </c>
      <c r="K88" s="774" t="str">
        <f>IF($C88=0,"",SUMIFS(INPUT_DATA!BA:BA,INPUT_DATA!$A:$A,$C88,INPUT_DATA!$C:$C,"S"))</f>
        <v/>
      </c>
      <c r="L88" s="774" t="str">
        <f>IF($C88=0,"",SUMIFS(INPUT_DATA!BB:BB,INPUT_DATA!$A:$A,$C88,INPUT_DATA!$C:$C,"S"))</f>
        <v/>
      </c>
      <c r="M88" s="774" t="str">
        <f>IF($C88=0,"",SUMIFS(INPUT_DATA!BC:BC,INPUT_DATA!$A:$A,$C88,INPUT_DATA!$C:$C,"S"))</f>
        <v/>
      </c>
      <c r="N88" s="774" t="str">
        <f>IF($C88=0,"",SUMIFS(INPUT_DATA!BD:BD,INPUT_DATA!$A:$A,$C88,INPUT_DATA!$C:$C,"S"))</f>
        <v/>
      </c>
      <c r="O88" s="774" t="str">
        <f>IF($C88=0,"",SUMIFS(INPUT_DATA!BE:BE,INPUT_DATA!$A:$A,$C88,INPUT_DATA!$C:$C,"S"))</f>
        <v/>
      </c>
      <c r="P88" s="774" t="str">
        <f>IF($C88=0,"",SUMIFS(INPUT_DATA!BF:BF,INPUT_DATA!$A:$A,$C88,INPUT_DATA!$C:$C,"S"))</f>
        <v/>
      </c>
      <c r="Q88" s="780" t="str">
        <f t="shared" si="15"/>
        <v/>
      </c>
      <c r="R88" s="782" t="str">
        <f>IF($C88=0,"",SUMIFS(INPUT_DATA!BH:BH,INPUT_DATA!$A:$A,$C88,INPUT_DATA!$C:$C,"S"))</f>
        <v/>
      </c>
      <c r="S88" s="782" t="str">
        <f>IF($C88=0,"",SUMIFS(INPUT_DATA!BI:BI,INPUT_DATA!$A:$A,$C88,INPUT_DATA!$C:$C,"S"))</f>
        <v/>
      </c>
      <c r="T88" s="780" t="str">
        <f t="shared" si="16"/>
        <v/>
      </c>
      <c r="U88" s="785" t="str">
        <f>IF($C88=0,"",SUMIFS(INPUT_DATA!BL:BL,INPUT_DATA!$A:$A,$C88,INPUT_DATA!$C:$C,"S"))</f>
        <v/>
      </c>
      <c r="V88" s="155" t="str">
        <f t="shared" si="11"/>
        <v/>
      </c>
      <c r="W88" s="149"/>
      <c r="X88" s="762" t="str">
        <f>IF($C88=0,"",SUMIFS(INPUT_DATA!AU:AU,INPUT_DATA!$A:$A,$C88,INPUT_DATA!$C:$C,"D"))</f>
        <v/>
      </c>
      <c r="Y88" s="774" t="str">
        <f>IF($C88=0,"",SUMIFS(INPUT_DATA!AV:AV,INPUT_DATA!$A:$A,$C88,INPUT_DATA!$C:$C,"D"))</f>
        <v/>
      </c>
      <c r="Z88" s="774" t="str">
        <f>IF($C88=0,"",SUMIFS(INPUT_DATA!AW:AW,INPUT_DATA!$A:$A,$C88,INPUT_DATA!$C:$C,"D"))</f>
        <v/>
      </c>
      <c r="AA88" s="775" t="str">
        <f t="shared" si="12"/>
        <v/>
      </c>
      <c r="AB88" s="774" t="str">
        <f>IF($C88=0,"",SUMIFS(INPUT_DATA!AX:AX,INPUT_DATA!$A:$A,$C88,INPUT_DATA!$C:$C,"D"))</f>
        <v/>
      </c>
      <c r="AC88" s="774" t="str">
        <f>IF($C88=0,"",SUMIFS(INPUT_DATA!AY:AY,INPUT_DATA!$A:$A,$C88,INPUT_DATA!$C:$C,"D"))</f>
        <v/>
      </c>
      <c r="AD88" s="774" t="str">
        <f>IF($C88=0,"",SUMIFS(INPUT_DATA!AZ:AZ,INPUT_DATA!$A:$A,$C88,INPUT_DATA!$C:$C,"D"))</f>
        <v/>
      </c>
      <c r="AE88" s="774" t="str">
        <f>IF($C88=0,"",SUMIFS(INPUT_DATA!BA:BA,INPUT_DATA!$A:$A,$C88,INPUT_DATA!$C:$C,"D"))</f>
        <v/>
      </c>
      <c r="AF88" s="774" t="str">
        <f>IF($C88=0,"",SUMIFS(INPUT_DATA!BB:BB,INPUT_DATA!$A:$A,$C88,INPUT_DATA!$C:$C,"D"))</f>
        <v/>
      </c>
      <c r="AG88" s="774" t="str">
        <f>IF($C88=0,"",SUMIFS(INPUT_DATA!BC:BC,INPUT_DATA!$A:$A,$C88,INPUT_DATA!$C:$C,"D"))</f>
        <v/>
      </c>
      <c r="AH88" s="774" t="str">
        <f>IF($C88=0,"",SUMIFS(INPUT_DATA!BD:BD,INPUT_DATA!$A:$A,$C88,INPUT_DATA!$C:$C,"D"))</f>
        <v/>
      </c>
      <c r="AI88" s="774" t="str">
        <f>IF($C88=0,"",SUMIFS(INPUT_DATA!BE:BE,INPUT_DATA!$A:$A,$C88,INPUT_DATA!$C:$C,"D"))</f>
        <v/>
      </c>
      <c r="AJ88" s="315" t="str">
        <f t="shared" si="13"/>
        <v/>
      </c>
      <c r="AK88" s="782" t="str">
        <f>IF($C88=0,"",SUMIFS(INPUT_DATA!BG:BG,INPUT_DATA!$A:$A,$C88,INPUT_DATA!$C:$C,"D"))</f>
        <v/>
      </c>
      <c r="AL88" s="782" t="str">
        <f>IF($C88=0,"",SUMIFS(INPUT_DATA!BH:BH,INPUT_DATA!$A:$A,$C88,INPUT_DATA!$C:$C,"D"))</f>
        <v/>
      </c>
      <c r="AM88" s="782" t="str">
        <f>IF($C88=0,"",SUMIFS(INPUT_DATA!BI:BI,INPUT_DATA!$A:$A,$C88,INPUT_DATA!$C:$C,"D"))</f>
        <v/>
      </c>
      <c r="AN88" s="780" t="str">
        <f t="shared" si="17"/>
        <v/>
      </c>
      <c r="AO88" s="785" t="str">
        <f>IF($C88=0,"",SUMIFS(INPUT_DATA!BK:BK,INPUT_DATA!$A:$A,$C88,INPUT_DATA!$C:$C,"D"))</f>
        <v/>
      </c>
      <c r="AP88" s="355" t="str">
        <f t="shared" si="18"/>
        <v/>
      </c>
      <c r="AQ88" s="149"/>
      <c r="AS88" s="355" t="str">
        <f t="shared" si="19"/>
        <v/>
      </c>
      <c r="AU88" s="391" t="str">
        <f>IF($C88=0,"",'03 - Monthly Asset Follow up'!E92+'03 - Monthly Asset Follow up'!F92-'03 - Monthly Asset Follow up'!U92+'03 - Monthly Asset Follow up'!X92-H88)</f>
        <v/>
      </c>
      <c r="AV88" s="391" t="str">
        <f>IF($C88=0,"",'03 - Monthly Asset Follow up'!BD92+'03 - Monthly Asset Follow up'!BE92-'03 - Monthly Asset Follow up'!BT92+'03 - Monthly Asset Follow up'!BW92)</f>
        <v/>
      </c>
      <c r="AX88" s="154"/>
    </row>
    <row r="89" spans="2:50" ht="13" x14ac:dyDescent="0.3">
      <c r="B89" s="766" t="str">
        <f t="shared" si="14"/>
        <v/>
      </c>
      <c r="C89" s="769">
        <f>'03 - Monthly Asset Follow up'!B93</f>
        <v>0</v>
      </c>
      <c r="D89" s="149"/>
      <c r="E89" s="762" t="str">
        <f>IF($C89=0,"",SUMIFS(INPUT_DATA!AU:AU,INPUT_DATA!$A:$A,$C89,INPUT_DATA!$C:$C,"S"))</f>
        <v/>
      </c>
      <c r="F89" s="774" t="str">
        <f>IF($C89=0,"",SUMIFS(INPUT_DATA!AV:AV,INPUT_DATA!$A:$A,$C89,INPUT_DATA!$C:$C,"S"))</f>
        <v/>
      </c>
      <c r="G89" s="774" t="str">
        <f>IF($C89=0,"",SUMIFS(INPUT_DATA!AW:AW,INPUT_DATA!$A:$A,$C89,INPUT_DATA!$C:$C,"S"))</f>
        <v/>
      </c>
      <c r="H89" s="776" t="str">
        <f t="shared" si="10"/>
        <v/>
      </c>
      <c r="I89" s="774" t="str">
        <f>IF($C89=0,"",SUMIFS(INPUT_DATA!AY:AY,INPUT_DATA!$A:$A,$C89,INPUT_DATA!$C:$C,"S"))</f>
        <v/>
      </c>
      <c r="J89" s="774" t="str">
        <f>IF($C89=0,"",SUMIFS(INPUT_DATA!AZ:AZ,INPUT_DATA!$A:$A,$C89,INPUT_DATA!$C:$C,"S"))</f>
        <v/>
      </c>
      <c r="K89" s="774" t="str">
        <f>IF($C89=0,"",SUMIFS(INPUT_DATA!BA:BA,INPUT_DATA!$A:$A,$C89,INPUT_DATA!$C:$C,"S"))</f>
        <v/>
      </c>
      <c r="L89" s="774" t="str">
        <f>IF($C89=0,"",SUMIFS(INPUT_DATA!BB:BB,INPUT_DATA!$A:$A,$C89,INPUT_DATA!$C:$C,"S"))</f>
        <v/>
      </c>
      <c r="M89" s="774" t="str">
        <f>IF($C89=0,"",SUMIFS(INPUT_DATA!BC:BC,INPUT_DATA!$A:$A,$C89,INPUT_DATA!$C:$C,"S"))</f>
        <v/>
      </c>
      <c r="N89" s="774" t="str">
        <f>IF($C89=0,"",SUMIFS(INPUT_DATA!BD:BD,INPUT_DATA!$A:$A,$C89,INPUT_DATA!$C:$C,"S"))</f>
        <v/>
      </c>
      <c r="O89" s="774" t="str">
        <f>IF($C89=0,"",SUMIFS(INPUT_DATA!BE:BE,INPUT_DATA!$A:$A,$C89,INPUT_DATA!$C:$C,"S"))</f>
        <v/>
      </c>
      <c r="P89" s="774" t="str">
        <f>IF($C89=0,"",SUMIFS(INPUT_DATA!BF:BF,INPUT_DATA!$A:$A,$C89,INPUT_DATA!$C:$C,"S"))</f>
        <v/>
      </c>
      <c r="Q89" s="780" t="str">
        <f t="shared" si="15"/>
        <v/>
      </c>
      <c r="R89" s="782" t="str">
        <f>IF($C89=0,"",SUMIFS(INPUT_DATA!BH:BH,INPUT_DATA!$A:$A,$C89,INPUT_DATA!$C:$C,"S"))</f>
        <v/>
      </c>
      <c r="S89" s="782" t="str">
        <f>IF($C89=0,"",SUMIFS(INPUT_DATA!BI:BI,INPUT_DATA!$A:$A,$C89,INPUT_DATA!$C:$C,"S"))</f>
        <v/>
      </c>
      <c r="T89" s="780" t="str">
        <f t="shared" si="16"/>
        <v/>
      </c>
      <c r="U89" s="785" t="str">
        <f>IF($C89=0,"",SUMIFS(INPUT_DATA!BL:BL,INPUT_DATA!$A:$A,$C89,INPUT_DATA!$C:$C,"S"))</f>
        <v/>
      </c>
      <c r="V89" s="155" t="str">
        <f t="shared" si="11"/>
        <v/>
      </c>
      <c r="W89" s="149"/>
      <c r="X89" s="762" t="str">
        <f>IF($C89=0,"",SUMIFS(INPUT_DATA!AU:AU,INPUT_DATA!$A:$A,$C89,INPUT_DATA!$C:$C,"D"))</f>
        <v/>
      </c>
      <c r="Y89" s="774" t="str">
        <f>IF($C89=0,"",SUMIFS(INPUT_DATA!AV:AV,INPUT_DATA!$A:$A,$C89,INPUT_DATA!$C:$C,"D"))</f>
        <v/>
      </c>
      <c r="Z89" s="774" t="str">
        <f>IF($C89=0,"",SUMIFS(INPUT_DATA!AW:AW,INPUT_DATA!$A:$A,$C89,INPUT_DATA!$C:$C,"D"))</f>
        <v/>
      </c>
      <c r="AA89" s="775" t="str">
        <f t="shared" si="12"/>
        <v/>
      </c>
      <c r="AB89" s="774" t="str">
        <f>IF($C89=0,"",SUMIFS(INPUT_DATA!AX:AX,INPUT_DATA!$A:$A,$C89,INPUT_DATA!$C:$C,"D"))</f>
        <v/>
      </c>
      <c r="AC89" s="774" t="str">
        <f>IF($C89=0,"",SUMIFS(INPUT_DATA!AY:AY,INPUT_DATA!$A:$A,$C89,INPUT_DATA!$C:$C,"D"))</f>
        <v/>
      </c>
      <c r="AD89" s="774" t="str">
        <f>IF($C89=0,"",SUMIFS(INPUT_DATA!AZ:AZ,INPUT_DATA!$A:$A,$C89,INPUT_DATA!$C:$C,"D"))</f>
        <v/>
      </c>
      <c r="AE89" s="774" t="str">
        <f>IF($C89=0,"",SUMIFS(INPUT_DATA!BA:BA,INPUT_DATA!$A:$A,$C89,INPUT_DATA!$C:$C,"D"))</f>
        <v/>
      </c>
      <c r="AF89" s="774" t="str">
        <f>IF($C89=0,"",SUMIFS(INPUT_DATA!BB:BB,INPUT_DATA!$A:$A,$C89,INPUT_DATA!$C:$C,"D"))</f>
        <v/>
      </c>
      <c r="AG89" s="774" t="str">
        <f>IF($C89=0,"",SUMIFS(INPUT_DATA!BC:BC,INPUT_DATA!$A:$A,$C89,INPUT_DATA!$C:$C,"D"))</f>
        <v/>
      </c>
      <c r="AH89" s="774" t="str">
        <f>IF($C89=0,"",SUMIFS(INPUT_DATA!BD:BD,INPUT_DATA!$A:$A,$C89,INPUT_DATA!$C:$C,"D"))</f>
        <v/>
      </c>
      <c r="AI89" s="774" t="str">
        <f>IF($C89=0,"",SUMIFS(INPUT_DATA!BE:BE,INPUT_DATA!$A:$A,$C89,INPUT_DATA!$C:$C,"D"))</f>
        <v/>
      </c>
      <c r="AJ89" s="315" t="str">
        <f t="shared" si="13"/>
        <v/>
      </c>
      <c r="AK89" s="782" t="str">
        <f>IF($C89=0,"",SUMIFS(INPUT_DATA!BG:BG,INPUT_DATA!$A:$A,$C89,INPUT_DATA!$C:$C,"D"))</f>
        <v/>
      </c>
      <c r="AL89" s="782" t="str">
        <f>IF($C89=0,"",SUMIFS(INPUT_DATA!BH:BH,INPUT_DATA!$A:$A,$C89,INPUT_DATA!$C:$C,"D"))</f>
        <v/>
      </c>
      <c r="AM89" s="782" t="str">
        <f>IF($C89=0,"",SUMIFS(INPUT_DATA!BI:BI,INPUT_DATA!$A:$A,$C89,INPUT_DATA!$C:$C,"D"))</f>
        <v/>
      </c>
      <c r="AN89" s="780" t="str">
        <f t="shared" si="17"/>
        <v/>
      </c>
      <c r="AO89" s="785" t="str">
        <f>IF($C89=0,"",SUMIFS(INPUT_DATA!BK:BK,INPUT_DATA!$A:$A,$C89,INPUT_DATA!$C:$C,"D"))</f>
        <v/>
      </c>
      <c r="AP89" s="355" t="str">
        <f t="shared" si="18"/>
        <v/>
      </c>
      <c r="AQ89" s="149"/>
      <c r="AS89" s="355" t="str">
        <f t="shared" si="19"/>
        <v/>
      </c>
      <c r="AU89" s="391" t="str">
        <f>IF($C89=0,"",'03 - Monthly Asset Follow up'!E93+'03 - Monthly Asset Follow up'!F93-'03 - Monthly Asset Follow up'!U93+'03 - Monthly Asset Follow up'!X93-H89)</f>
        <v/>
      </c>
      <c r="AV89" s="391" t="str">
        <f>IF($C89=0,"",'03 - Monthly Asset Follow up'!BD93+'03 - Monthly Asset Follow up'!BE93-'03 - Monthly Asset Follow up'!BT93+'03 - Monthly Asset Follow up'!BW93)</f>
        <v/>
      </c>
      <c r="AX89" s="154"/>
    </row>
    <row r="90" spans="2:50" ht="13" x14ac:dyDescent="0.3">
      <c r="B90" s="766" t="str">
        <f t="shared" si="14"/>
        <v/>
      </c>
      <c r="C90" s="769">
        <f>'03 - Monthly Asset Follow up'!B94</f>
        <v>0</v>
      </c>
      <c r="D90" s="149"/>
      <c r="E90" s="762" t="str">
        <f>IF($C90=0,"",SUMIFS(INPUT_DATA!AU:AU,INPUT_DATA!$A:$A,$C90,INPUT_DATA!$C:$C,"S"))</f>
        <v/>
      </c>
      <c r="F90" s="774" t="str">
        <f>IF($C90=0,"",SUMIFS(INPUT_DATA!AV:AV,INPUT_DATA!$A:$A,$C90,INPUT_DATA!$C:$C,"S"))</f>
        <v/>
      </c>
      <c r="G90" s="774" t="str">
        <f>IF($C90=0,"",SUMIFS(INPUT_DATA!AW:AW,INPUT_DATA!$A:$A,$C90,INPUT_DATA!$C:$C,"S"))</f>
        <v/>
      </c>
      <c r="H90" s="776" t="str">
        <f t="shared" si="10"/>
        <v/>
      </c>
      <c r="I90" s="774" t="str">
        <f>IF($C90=0,"",SUMIFS(INPUT_DATA!AY:AY,INPUT_DATA!$A:$A,$C90,INPUT_DATA!$C:$C,"S"))</f>
        <v/>
      </c>
      <c r="J90" s="774" t="str">
        <f>IF($C90=0,"",SUMIFS(INPUT_DATA!AZ:AZ,INPUT_DATA!$A:$A,$C90,INPUT_DATA!$C:$C,"S"))</f>
        <v/>
      </c>
      <c r="K90" s="774" t="str">
        <f>IF($C90=0,"",SUMIFS(INPUT_DATA!BA:BA,INPUT_DATA!$A:$A,$C90,INPUT_DATA!$C:$C,"S"))</f>
        <v/>
      </c>
      <c r="L90" s="774" t="str">
        <f>IF($C90=0,"",SUMIFS(INPUT_DATA!BB:BB,INPUT_DATA!$A:$A,$C90,INPUT_DATA!$C:$C,"S"))</f>
        <v/>
      </c>
      <c r="M90" s="774" t="str">
        <f>IF($C90=0,"",SUMIFS(INPUT_DATA!BC:BC,INPUT_DATA!$A:$A,$C90,INPUT_DATA!$C:$C,"S"))</f>
        <v/>
      </c>
      <c r="N90" s="774" t="str">
        <f>IF($C90=0,"",SUMIFS(INPUT_DATA!BD:BD,INPUT_DATA!$A:$A,$C90,INPUT_DATA!$C:$C,"S"))</f>
        <v/>
      </c>
      <c r="O90" s="774" t="str">
        <f>IF($C90=0,"",SUMIFS(INPUT_DATA!BE:BE,INPUT_DATA!$A:$A,$C90,INPUT_DATA!$C:$C,"S"))</f>
        <v/>
      </c>
      <c r="P90" s="774" t="str">
        <f>IF($C90=0,"",SUMIFS(INPUT_DATA!BF:BF,INPUT_DATA!$A:$A,$C90,INPUT_DATA!$C:$C,"S"))</f>
        <v/>
      </c>
      <c r="Q90" s="780" t="str">
        <f t="shared" si="15"/>
        <v/>
      </c>
      <c r="R90" s="782" t="str">
        <f>IF($C90=0,"",SUMIFS(INPUT_DATA!BH:BH,INPUT_DATA!$A:$A,$C90,INPUT_DATA!$C:$C,"S"))</f>
        <v/>
      </c>
      <c r="S90" s="782" t="str">
        <f>IF($C90=0,"",SUMIFS(INPUT_DATA!BI:BI,INPUT_DATA!$A:$A,$C90,INPUT_DATA!$C:$C,"S"))</f>
        <v/>
      </c>
      <c r="T90" s="780" t="str">
        <f t="shared" si="16"/>
        <v/>
      </c>
      <c r="U90" s="785" t="str">
        <f>IF($C90=0,"",SUMIFS(INPUT_DATA!BL:BL,INPUT_DATA!$A:$A,$C90,INPUT_DATA!$C:$C,"S"))</f>
        <v/>
      </c>
      <c r="V90" s="155" t="str">
        <f t="shared" si="11"/>
        <v/>
      </c>
      <c r="W90" s="149"/>
      <c r="X90" s="762" t="str">
        <f>IF($C90=0,"",SUMIFS(INPUT_DATA!AU:AU,INPUT_DATA!$A:$A,$C90,INPUT_DATA!$C:$C,"D"))</f>
        <v/>
      </c>
      <c r="Y90" s="774" t="str">
        <f>IF($C90=0,"",SUMIFS(INPUT_DATA!AV:AV,INPUT_DATA!$A:$A,$C90,INPUT_DATA!$C:$C,"D"))</f>
        <v/>
      </c>
      <c r="Z90" s="774" t="str">
        <f>IF($C90=0,"",SUMIFS(INPUT_DATA!AW:AW,INPUT_DATA!$A:$A,$C90,INPUT_DATA!$C:$C,"D"))</f>
        <v/>
      </c>
      <c r="AA90" s="775" t="str">
        <f t="shared" si="12"/>
        <v/>
      </c>
      <c r="AB90" s="774" t="str">
        <f>IF($C90=0,"",SUMIFS(INPUT_DATA!AX:AX,INPUT_DATA!$A:$A,$C90,INPUT_DATA!$C:$C,"D"))</f>
        <v/>
      </c>
      <c r="AC90" s="774" t="str">
        <f>IF($C90=0,"",SUMIFS(INPUT_DATA!AY:AY,INPUT_DATA!$A:$A,$C90,INPUT_DATA!$C:$C,"D"))</f>
        <v/>
      </c>
      <c r="AD90" s="774" t="str">
        <f>IF($C90=0,"",SUMIFS(INPUT_DATA!AZ:AZ,INPUT_DATA!$A:$A,$C90,INPUT_DATA!$C:$C,"D"))</f>
        <v/>
      </c>
      <c r="AE90" s="774" t="str">
        <f>IF($C90=0,"",SUMIFS(INPUT_DATA!BA:BA,INPUT_DATA!$A:$A,$C90,INPUT_DATA!$C:$C,"D"))</f>
        <v/>
      </c>
      <c r="AF90" s="774" t="str">
        <f>IF($C90=0,"",SUMIFS(INPUT_DATA!BB:BB,INPUT_DATA!$A:$A,$C90,INPUT_DATA!$C:$C,"D"))</f>
        <v/>
      </c>
      <c r="AG90" s="774" t="str">
        <f>IF($C90=0,"",SUMIFS(INPUT_DATA!BC:BC,INPUT_DATA!$A:$A,$C90,INPUT_DATA!$C:$C,"D"))</f>
        <v/>
      </c>
      <c r="AH90" s="774" t="str">
        <f>IF($C90=0,"",SUMIFS(INPUT_DATA!BD:BD,INPUT_DATA!$A:$A,$C90,INPUT_DATA!$C:$C,"D"))</f>
        <v/>
      </c>
      <c r="AI90" s="774" t="str">
        <f>IF($C90=0,"",SUMIFS(INPUT_DATA!BE:BE,INPUT_DATA!$A:$A,$C90,INPUT_DATA!$C:$C,"D"))</f>
        <v/>
      </c>
      <c r="AJ90" s="315" t="str">
        <f t="shared" si="13"/>
        <v/>
      </c>
      <c r="AK90" s="782" t="str">
        <f>IF($C90=0,"",SUMIFS(INPUT_DATA!BG:BG,INPUT_DATA!$A:$A,$C90,INPUT_DATA!$C:$C,"D"))</f>
        <v/>
      </c>
      <c r="AL90" s="782" t="str">
        <f>IF($C90=0,"",SUMIFS(INPUT_DATA!BH:BH,INPUT_DATA!$A:$A,$C90,INPUT_DATA!$C:$C,"D"))</f>
        <v/>
      </c>
      <c r="AM90" s="782" t="str">
        <f>IF($C90=0,"",SUMIFS(INPUT_DATA!BI:BI,INPUT_DATA!$A:$A,$C90,INPUT_DATA!$C:$C,"D"))</f>
        <v/>
      </c>
      <c r="AN90" s="780" t="str">
        <f t="shared" si="17"/>
        <v/>
      </c>
      <c r="AO90" s="785" t="str">
        <f>IF($C90=0,"",SUMIFS(INPUT_DATA!BK:BK,INPUT_DATA!$A:$A,$C90,INPUT_DATA!$C:$C,"D"))</f>
        <v/>
      </c>
      <c r="AP90" s="355" t="str">
        <f t="shared" si="18"/>
        <v/>
      </c>
      <c r="AQ90" s="149"/>
      <c r="AS90" s="355" t="str">
        <f t="shared" si="19"/>
        <v/>
      </c>
      <c r="AU90" s="391" t="str">
        <f>IF($C90=0,"",'03 - Monthly Asset Follow up'!E94+'03 - Monthly Asset Follow up'!F94-'03 - Monthly Asset Follow up'!U94+'03 - Monthly Asset Follow up'!X94-H90)</f>
        <v/>
      </c>
      <c r="AV90" s="391" t="str">
        <f>IF($C90=0,"",'03 - Monthly Asset Follow up'!BD94+'03 - Monthly Asset Follow up'!BE94-'03 - Monthly Asset Follow up'!BT94+'03 - Monthly Asset Follow up'!BW94)</f>
        <v/>
      </c>
      <c r="AX90" s="154"/>
    </row>
    <row r="91" spans="2:50" ht="13" x14ac:dyDescent="0.3">
      <c r="B91" s="766" t="str">
        <f t="shared" si="14"/>
        <v/>
      </c>
      <c r="C91" s="769">
        <f>'03 - Monthly Asset Follow up'!B95</f>
        <v>0</v>
      </c>
      <c r="D91" s="149"/>
      <c r="E91" s="762" t="str">
        <f>IF($C91=0,"",SUMIFS(INPUT_DATA!AU:AU,INPUT_DATA!$A:$A,$C91,INPUT_DATA!$C:$C,"S"))</f>
        <v/>
      </c>
      <c r="F91" s="774" t="str">
        <f>IF($C91=0,"",SUMIFS(INPUT_DATA!AV:AV,INPUT_DATA!$A:$A,$C91,INPUT_DATA!$C:$C,"S"))</f>
        <v/>
      </c>
      <c r="G91" s="774" t="str">
        <f>IF($C91=0,"",SUMIFS(INPUT_DATA!AW:AW,INPUT_DATA!$A:$A,$C91,INPUT_DATA!$C:$C,"S"))</f>
        <v/>
      </c>
      <c r="H91" s="776" t="str">
        <f t="shared" si="10"/>
        <v/>
      </c>
      <c r="I91" s="774" t="str">
        <f>IF($C91=0,"",SUMIFS(INPUT_DATA!AY:AY,INPUT_DATA!$A:$A,$C91,INPUT_DATA!$C:$C,"S"))</f>
        <v/>
      </c>
      <c r="J91" s="774" t="str">
        <f>IF($C91=0,"",SUMIFS(INPUT_DATA!AZ:AZ,INPUT_DATA!$A:$A,$C91,INPUT_DATA!$C:$C,"S"))</f>
        <v/>
      </c>
      <c r="K91" s="774" t="str">
        <f>IF($C91=0,"",SUMIFS(INPUT_DATA!BA:BA,INPUT_DATA!$A:$A,$C91,INPUT_DATA!$C:$C,"S"))</f>
        <v/>
      </c>
      <c r="L91" s="774" t="str">
        <f>IF($C91=0,"",SUMIFS(INPUT_DATA!BB:BB,INPUT_DATA!$A:$A,$C91,INPUT_DATA!$C:$C,"S"))</f>
        <v/>
      </c>
      <c r="M91" s="774" t="str">
        <f>IF($C91=0,"",SUMIFS(INPUT_DATA!BC:BC,INPUT_DATA!$A:$A,$C91,INPUT_DATA!$C:$C,"S"))</f>
        <v/>
      </c>
      <c r="N91" s="774" t="str">
        <f>IF($C91=0,"",SUMIFS(INPUT_DATA!BD:BD,INPUT_DATA!$A:$A,$C91,INPUT_DATA!$C:$C,"S"))</f>
        <v/>
      </c>
      <c r="O91" s="774" t="str">
        <f>IF($C91=0,"",SUMIFS(INPUT_DATA!BE:BE,INPUT_DATA!$A:$A,$C91,INPUT_DATA!$C:$C,"S"))</f>
        <v/>
      </c>
      <c r="P91" s="774" t="str">
        <f>IF($C91=0,"",SUMIFS(INPUT_DATA!BF:BF,INPUT_DATA!$A:$A,$C91,INPUT_DATA!$C:$C,"S"))</f>
        <v/>
      </c>
      <c r="Q91" s="780" t="str">
        <f t="shared" si="15"/>
        <v/>
      </c>
      <c r="R91" s="782" t="str">
        <f>IF($C91=0,"",SUMIFS(INPUT_DATA!BH:BH,INPUT_DATA!$A:$A,$C91,INPUT_DATA!$C:$C,"S"))</f>
        <v/>
      </c>
      <c r="S91" s="782" t="str">
        <f>IF($C91=0,"",SUMIFS(INPUT_DATA!BI:BI,INPUT_DATA!$A:$A,$C91,INPUT_DATA!$C:$C,"S"))</f>
        <v/>
      </c>
      <c r="T91" s="780" t="str">
        <f t="shared" si="16"/>
        <v/>
      </c>
      <c r="U91" s="785" t="str">
        <f>IF($C91=0,"",SUMIFS(INPUT_DATA!BL:BL,INPUT_DATA!$A:$A,$C91,INPUT_DATA!$C:$C,"S"))</f>
        <v/>
      </c>
      <c r="V91" s="155" t="str">
        <f t="shared" si="11"/>
        <v/>
      </c>
      <c r="W91" s="149"/>
      <c r="X91" s="762" t="str">
        <f>IF($C91=0,"",SUMIFS(INPUT_DATA!AU:AU,INPUT_DATA!$A:$A,$C91,INPUT_DATA!$C:$C,"D"))</f>
        <v/>
      </c>
      <c r="Y91" s="774" t="str">
        <f>IF($C91=0,"",SUMIFS(INPUT_DATA!AV:AV,INPUT_DATA!$A:$A,$C91,INPUT_DATA!$C:$C,"D"))</f>
        <v/>
      </c>
      <c r="Z91" s="774" t="str">
        <f>IF($C91=0,"",SUMIFS(INPUT_DATA!AW:AW,INPUT_DATA!$A:$A,$C91,INPUT_DATA!$C:$C,"D"))</f>
        <v/>
      </c>
      <c r="AA91" s="775" t="str">
        <f t="shared" si="12"/>
        <v/>
      </c>
      <c r="AB91" s="774" t="str">
        <f>IF($C91=0,"",SUMIFS(INPUT_DATA!AX:AX,INPUT_DATA!$A:$A,$C91,INPUT_DATA!$C:$C,"D"))</f>
        <v/>
      </c>
      <c r="AC91" s="774" t="str">
        <f>IF($C91=0,"",SUMIFS(INPUT_DATA!AY:AY,INPUT_DATA!$A:$A,$C91,INPUT_DATA!$C:$C,"D"))</f>
        <v/>
      </c>
      <c r="AD91" s="774" t="str">
        <f>IF($C91=0,"",SUMIFS(INPUT_DATA!AZ:AZ,INPUT_DATA!$A:$A,$C91,INPUT_DATA!$C:$C,"D"))</f>
        <v/>
      </c>
      <c r="AE91" s="774" t="str">
        <f>IF($C91=0,"",SUMIFS(INPUT_DATA!BA:BA,INPUT_DATA!$A:$A,$C91,INPUT_DATA!$C:$C,"D"))</f>
        <v/>
      </c>
      <c r="AF91" s="774" t="str">
        <f>IF($C91=0,"",SUMIFS(INPUT_DATA!BB:BB,INPUT_DATA!$A:$A,$C91,INPUT_DATA!$C:$C,"D"))</f>
        <v/>
      </c>
      <c r="AG91" s="774" t="str">
        <f>IF($C91=0,"",SUMIFS(INPUT_DATA!BC:BC,INPUT_DATA!$A:$A,$C91,INPUT_DATA!$C:$C,"D"))</f>
        <v/>
      </c>
      <c r="AH91" s="774" t="str">
        <f>IF($C91=0,"",SUMIFS(INPUT_DATA!BD:BD,INPUT_DATA!$A:$A,$C91,INPUT_DATA!$C:$C,"D"))</f>
        <v/>
      </c>
      <c r="AI91" s="774" t="str">
        <f>IF($C91=0,"",SUMIFS(INPUT_DATA!BE:BE,INPUT_DATA!$A:$A,$C91,INPUT_DATA!$C:$C,"D"))</f>
        <v/>
      </c>
      <c r="AJ91" s="315" t="str">
        <f t="shared" si="13"/>
        <v/>
      </c>
      <c r="AK91" s="782" t="str">
        <f>IF($C91=0,"",SUMIFS(INPUT_DATA!BG:BG,INPUT_DATA!$A:$A,$C91,INPUT_DATA!$C:$C,"D"))</f>
        <v/>
      </c>
      <c r="AL91" s="782" t="str">
        <f>IF($C91=0,"",SUMIFS(INPUT_DATA!BH:BH,INPUT_DATA!$A:$A,$C91,INPUT_DATA!$C:$C,"D"))</f>
        <v/>
      </c>
      <c r="AM91" s="782" t="str">
        <f>IF($C91=0,"",SUMIFS(INPUT_DATA!BI:BI,INPUT_DATA!$A:$A,$C91,INPUT_DATA!$C:$C,"D"))</f>
        <v/>
      </c>
      <c r="AN91" s="780" t="str">
        <f t="shared" si="17"/>
        <v/>
      </c>
      <c r="AO91" s="785" t="str">
        <f>IF($C91=0,"",SUMIFS(INPUT_DATA!BK:BK,INPUT_DATA!$A:$A,$C91,INPUT_DATA!$C:$C,"D"))</f>
        <v/>
      </c>
      <c r="AP91" s="355" t="str">
        <f t="shared" si="18"/>
        <v/>
      </c>
      <c r="AQ91" s="149"/>
      <c r="AS91" s="355" t="str">
        <f t="shared" si="19"/>
        <v/>
      </c>
      <c r="AU91" s="391" t="str">
        <f>IF($C91=0,"",'03 - Monthly Asset Follow up'!E95+'03 - Monthly Asset Follow up'!F95-'03 - Monthly Asset Follow up'!U95+'03 - Monthly Asset Follow up'!X95-H91)</f>
        <v/>
      </c>
      <c r="AV91" s="391" t="str">
        <f>IF($C91=0,"",'03 - Monthly Asset Follow up'!BD95+'03 - Monthly Asset Follow up'!BE95-'03 - Monthly Asset Follow up'!BT95+'03 - Monthly Asset Follow up'!BW95)</f>
        <v/>
      </c>
      <c r="AX91" s="154"/>
    </row>
    <row r="92" spans="2:50" ht="13" x14ac:dyDescent="0.3">
      <c r="B92" s="766" t="str">
        <f t="shared" si="14"/>
        <v/>
      </c>
      <c r="C92" s="769">
        <f>'03 - Monthly Asset Follow up'!B96</f>
        <v>0</v>
      </c>
      <c r="D92" s="149"/>
      <c r="E92" s="762" t="str">
        <f>IF($C92=0,"",SUMIFS(INPUT_DATA!AU:AU,INPUT_DATA!$A:$A,$C92,INPUT_DATA!$C:$C,"S"))</f>
        <v/>
      </c>
      <c r="F92" s="774" t="str">
        <f>IF($C92=0,"",SUMIFS(INPUT_DATA!AV:AV,INPUT_DATA!$A:$A,$C92,INPUT_DATA!$C:$C,"S"))</f>
        <v/>
      </c>
      <c r="G92" s="774" t="str">
        <f>IF($C92=0,"",SUMIFS(INPUT_DATA!AW:AW,INPUT_DATA!$A:$A,$C92,INPUT_DATA!$C:$C,"S"))</f>
        <v/>
      </c>
      <c r="H92" s="776" t="str">
        <f t="shared" si="10"/>
        <v/>
      </c>
      <c r="I92" s="774" t="str">
        <f>IF($C92=0,"",SUMIFS(INPUT_DATA!AY:AY,INPUT_DATA!$A:$A,$C92,INPUT_DATA!$C:$C,"S"))</f>
        <v/>
      </c>
      <c r="J92" s="774" t="str">
        <f>IF($C92=0,"",SUMIFS(INPUT_DATA!AZ:AZ,INPUT_DATA!$A:$A,$C92,INPUT_DATA!$C:$C,"S"))</f>
        <v/>
      </c>
      <c r="K92" s="774" t="str">
        <f>IF($C92=0,"",SUMIFS(INPUT_DATA!BA:BA,INPUT_DATA!$A:$A,$C92,INPUT_DATA!$C:$C,"S"))</f>
        <v/>
      </c>
      <c r="L92" s="774" t="str">
        <f>IF($C92=0,"",SUMIFS(INPUT_DATA!BB:BB,INPUT_DATA!$A:$A,$C92,INPUT_DATA!$C:$C,"S"))</f>
        <v/>
      </c>
      <c r="M92" s="774" t="str">
        <f>IF($C92=0,"",SUMIFS(INPUT_DATA!BC:BC,INPUT_DATA!$A:$A,$C92,INPUT_DATA!$C:$C,"S"))</f>
        <v/>
      </c>
      <c r="N92" s="774" t="str">
        <f>IF($C92=0,"",SUMIFS(INPUT_DATA!BD:BD,INPUT_DATA!$A:$A,$C92,INPUT_DATA!$C:$C,"S"))</f>
        <v/>
      </c>
      <c r="O92" s="774" t="str">
        <f>IF($C92=0,"",SUMIFS(INPUT_DATA!BE:BE,INPUT_DATA!$A:$A,$C92,INPUT_DATA!$C:$C,"S"))</f>
        <v/>
      </c>
      <c r="P92" s="774" t="str">
        <f>IF($C92=0,"",SUMIFS(INPUT_DATA!BF:BF,INPUT_DATA!$A:$A,$C92,INPUT_DATA!$C:$C,"S"))</f>
        <v/>
      </c>
      <c r="Q92" s="780" t="str">
        <f t="shared" si="15"/>
        <v/>
      </c>
      <c r="R92" s="782" t="str">
        <f>IF($C92=0,"",SUMIFS(INPUT_DATA!BH:BH,INPUT_DATA!$A:$A,$C92,INPUT_DATA!$C:$C,"S"))</f>
        <v/>
      </c>
      <c r="S92" s="782" t="str">
        <f>IF($C92=0,"",SUMIFS(INPUT_DATA!BI:BI,INPUT_DATA!$A:$A,$C92,INPUT_DATA!$C:$C,"S"))</f>
        <v/>
      </c>
      <c r="T92" s="780" t="str">
        <f t="shared" si="16"/>
        <v/>
      </c>
      <c r="U92" s="785" t="str">
        <f>IF($C92=0,"",SUMIFS(INPUT_DATA!BL:BL,INPUT_DATA!$A:$A,$C92,INPUT_DATA!$C:$C,"S"))</f>
        <v/>
      </c>
      <c r="V92" s="155" t="str">
        <f t="shared" si="11"/>
        <v/>
      </c>
      <c r="W92" s="149"/>
      <c r="X92" s="762" t="str">
        <f>IF($C92=0,"",SUMIFS(INPUT_DATA!AU:AU,INPUT_DATA!$A:$A,$C92,INPUT_DATA!$C:$C,"D"))</f>
        <v/>
      </c>
      <c r="Y92" s="774" t="str">
        <f>IF($C92=0,"",SUMIFS(INPUT_DATA!AV:AV,INPUT_DATA!$A:$A,$C92,INPUT_DATA!$C:$C,"D"))</f>
        <v/>
      </c>
      <c r="Z92" s="774" t="str">
        <f>IF($C92=0,"",SUMIFS(INPUT_DATA!AW:AW,INPUT_DATA!$A:$A,$C92,INPUT_DATA!$C:$C,"D"))</f>
        <v/>
      </c>
      <c r="AA92" s="775" t="str">
        <f t="shared" si="12"/>
        <v/>
      </c>
      <c r="AB92" s="774" t="str">
        <f>IF($C92=0,"",SUMIFS(INPUT_DATA!AX:AX,INPUT_DATA!$A:$A,$C92,INPUT_DATA!$C:$C,"D"))</f>
        <v/>
      </c>
      <c r="AC92" s="774" t="str">
        <f>IF($C92=0,"",SUMIFS(INPUT_DATA!AY:AY,INPUT_DATA!$A:$A,$C92,INPUT_DATA!$C:$C,"D"))</f>
        <v/>
      </c>
      <c r="AD92" s="774" t="str">
        <f>IF($C92=0,"",SUMIFS(INPUT_DATA!AZ:AZ,INPUT_DATA!$A:$A,$C92,INPUT_DATA!$C:$C,"D"))</f>
        <v/>
      </c>
      <c r="AE92" s="774" t="str">
        <f>IF($C92=0,"",SUMIFS(INPUT_DATA!BA:BA,INPUT_DATA!$A:$A,$C92,INPUT_DATA!$C:$C,"D"))</f>
        <v/>
      </c>
      <c r="AF92" s="774" t="str">
        <f>IF($C92=0,"",SUMIFS(INPUT_DATA!BB:BB,INPUT_DATA!$A:$A,$C92,INPUT_DATA!$C:$C,"D"))</f>
        <v/>
      </c>
      <c r="AG92" s="774" t="str">
        <f>IF($C92=0,"",SUMIFS(INPUT_DATA!BC:BC,INPUT_DATA!$A:$A,$C92,INPUT_DATA!$C:$C,"D"))</f>
        <v/>
      </c>
      <c r="AH92" s="774" t="str">
        <f>IF($C92=0,"",SUMIFS(INPUT_DATA!BD:BD,INPUT_DATA!$A:$A,$C92,INPUT_DATA!$C:$C,"D"))</f>
        <v/>
      </c>
      <c r="AI92" s="774" t="str">
        <f>IF($C92=0,"",SUMIFS(INPUT_DATA!BE:BE,INPUT_DATA!$A:$A,$C92,INPUT_DATA!$C:$C,"D"))</f>
        <v/>
      </c>
      <c r="AJ92" s="315" t="str">
        <f t="shared" si="13"/>
        <v/>
      </c>
      <c r="AK92" s="782" t="str">
        <f>IF($C92=0,"",SUMIFS(INPUT_DATA!BG:BG,INPUT_DATA!$A:$A,$C92,INPUT_DATA!$C:$C,"D"))</f>
        <v/>
      </c>
      <c r="AL92" s="782" t="str">
        <f>IF($C92=0,"",SUMIFS(INPUT_DATA!BH:BH,INPUT_DATA!$A:$A,$C92,INPUT_DATA!$C:$C,"D"))</f>
        <v/>
      </c>
      <c r="AM92" s="782" t="str">
        <f>IF($C92=0,"",SUMIFS(INPUT_DATA!BI:BI,INPUT_DATA!$A:$A,$C92,INPUT_DATA!$C:$C,"D"))</f>
        <v/>
      </c>
      <c r="AN92" s="780" t="str">
        <f t="shared" si="17"/>
        <v/>
      </c>
      <c r="AO92" s="785" t="str">
        <f>IF($C92=0,"",SUMIFS(INPUT_DATA!BK:BK,INPUT_DATA!$A:$A,$C92,INPUT_DATA!$C:$C,"D"))</f>
        <v/>
      </c>
      <c r="AP92" s="355" t="str">
        <f t="shared" si="18"/>
        <v/>
      </c>
      <c r="AQ92" s="149"/>
      <c r="AS92" s="355" t="str">
        <f t="shared" si="19"/>
        <v/>
      </c>
      <c r="AU92" s="391" t="str">
        <f>IF($C92=0,"",'03 - Monthly Asset Follow up'!E96+'03 - Monthly Asset Follow up'!F96-'03 - Monthly Asset Follow up'!U96+'03 - Monthly Asset Follow up'!X96-H92)</f>
        <v/>
      </c>
      <c r="AV92" s="391" t="str">
        <f>IF($C92=0,"",'03 - Monthly Asset Follow up'!BD96+'03 - Monthly Asset Follow up'!BE96-'03 - Monthly Asset Follow up'!BT96+'03 - Monthly Asset Follow up'!BW96)</f>
        <v/>
      </c>
      <c r="AX92" s="154"/>
    </row>
    <row r="93" spans="2:50" ht="13" x14ac:dyDescent="0.3">
      <c r="B93" s="766" t="str">
        <f t="shared" si="14"/>
        <v/>
      </c>
      <c r="C93" s="769">
        <f>'03 - Monthly Asset Follow up'!B97</f>
        <v>0</v>
      </c>
      <c r="D93" s="149"/>
      <c r="E93" s="762" t="str">
        <f>IF($C93=0,"",SUMIFS(INPUT_DATA!AU:AU,INPUT_DATA!$A:$A,$C93,INPUT_DATA!$C:$C,"S"))</f>
        <v/>
      </c>
      <c r="F93" s="774" t="str">
        <f>IF($C93=0,"",SUMIFS(INPUT_DATA!AV:AV,INPUT_DATA!$A:$A,$C93,INPUT_DATA!$C:$C,"S"))</f>
        <v/>
      </c>
      <c r="G93" s="774" t="str">
        <f>IF($C93=0,"",SUMIFS(INPUT_DATA!AW:AW,INPUT_DATA!$A:$A,$C93,INPUT_DATA!$C:$C,"S"))</f>
        <v/>
      </c>
      <c r="H93" s="776" t="str">
        <f t="shared" si="10"/>
        <v/>
      </c>
      <c r="I93" s="774" t="str">
        <f>IF($C93=0,"",SUMIFS(INPUT_DATA!AY:AY,INPUT_DATA!$A:$A,$C93,INPUT_DATA!$C:$C,"S"))</f>
        <v/>
      </c>
      <c r="J93" s="774" t="str">
        <f>IF($C93=0,"",SUMIFS(INPUT_DATA!AZ:AZ,INPUT_DATA!$A:$A,$C93,INPUT_DATA!$C:$C,"S"))</f>
        <v/>
      </c>
      <c r="K93" s="774" t="str">
        <f>IF($C93=0,"",SUMIFS(INPUT_DATA!BA:BA,INPUT_DATA!$A:$A,$C93,INPUT_DATA!$C:$C,"S"))</f>
        <v/>
      </c>
      <c r="L93" s="774" t="str">
        <f>IF($C93=0,"",SUMIFS(INPUT_DATA!BB:BB,INPUT_DATA!$A:$A,$C93,INPUT_DATA!$C:$C,"S"))</f>
        <v/>
      </c>
      <c r="M93" s="774" t="str">
        <f>IF($C93=0,"",SUMIFS(INPUT_DATA!BC:BC,INPUT_DATA!$A:$A,$C93,INPUT_DATA!$C:$C,"S"))</f>
        <v/>
      </c>
      <c r="N93" s="774" t="str">
        <f>IF($C93=0,"",SUMIFS(INPUT_DATA!BD:BD,INPUT_DATA!$A:$A,$C93,INPUT_DATA!$C:$C,"S"))</f>
        <v/>
      </c>
      <c r="O93" s="774" t="str">
        <f>IF($C93=0,"",SUMIFS(INPUT_DATA!BE:BE,INPUT_DATA!$A:$A,$C93,INPUT_DATA!$C:$C,"S"))</f>
        <v/>
      </c>
      <c r="P93" s="774" t="str">
        <f>IF($C93=0,"",SUMIFS(INPUT_DATA!BF:BF,INPUT_DATA!$A:$A,$C93,INPUT_DATA!$C:$C,"S"))</f>
        <v/>
      </c>
      <c r="Q93" s="780" t="str">
        <f t="shared" si="15"/>
        <v/>
      </c>
      <c r="R93" s="782" t="str">
        <f>IF($C93=0,"",SUMIFS(INPUT_DATA!BH:BH,INPUT_DATA!$A:$A,$C93,INPUT_DATA!$C:$C,"S"))</f>
        <v/>
      </c>
      <c r="S93" s="782" t="str">
        <f>IF($C93=0,"",SUMIFS(INPUT_DATA!BI:BI,INPUT_DATA!$A:$A,$C93,INPUT_DATA!$C:$C,"S"))</f>
        <v/>
      </c>
      <c r="T93" s="780" t="str">
        <f t="shared" si="16"/>
        <v/>
      </c>
      <c r="U93" s="785" t="str">
        <f>IF($C93=0,"",SUMIFS(INPUT_DATA!BL:BL,INPUT_DATA!$A:$A,$C93,INPUT_DATA!$C:$C,"S"))</f>
        <v/>
      </c>
      <c r="V93" s="155" t="str">
        <f t="shared" si="11"/>
        <v/>
      </c>
      <c r="W93" s="149"/>
      <c r="X93" s="762" t="str">
        <f>IF($C93=0,"",SUMIFS(INPUT_DATA!AU:AU,INPUT_DATA!$A:$A,$C93,INPUT_DATA!$C:$C,"D"))</f>
        <v/>
      </c>
      <c r="Y93" s="774" t="str">
        <f>IF($C93=0,"",SUMIFS(INPUT_DATA!AV:AV,INPUT_DATA!$A:$A,$C93,INPUT_DATA!$C:$C,"D"))</f>
        <v/>
      </c>
      <c r="Z93" s="774" t="str">
        <f>IF($C93=0,"",SUMIFS(INPUT_DATA!AW:AW,INPUT_DATA!$A:$A,$C93,INPUT_DATA!$C:$C,"D"))</f>
        <v/>
      </c>
      <c r="AA93" s="775" t="str">
        <f t="shared" si="12"/>
        <v/>
      </c>
      <c r="AB93" s="774" t="str">
        <f>IF($C93=0,"",SUMIFS(INPUT_DATA!AX:AX,INPUT_DATA!$A:$A,$C93,INPUT_DATA!$C:$C,"D"))</f>
        <v/>
      </c>
      <c r="AC93" s="774" t="str">
        <f>IF($C93=0,"",SUMIFS(INPUT_DATA!AY:AY,INPUT_DATA!$A:$A,$C93,INPUT_DATA!$C:$C,"D"))</f>
        <v/>
      </c>
      <c r="AD93" s="774" t="str">
        <f>IF($C93=0,"",SUMIFS(INPUT_DATA!AZ:AZ,INPUT_DATA!$A:$A,$C93,INPUT_DATA!$C:$C,"D"))</f>
        <v/>
      </c>
      <c r="AE93" s="774" t="str">
        <f>IF($C93=0,"",SUMIFS(INPUT_DATA!BA:BA,INPUT_DATA!$A:$A,$C93,INPUT_DATA!$C:$C,"D"))</f>
        <v/>
      </c>
      <c r="AF93" s="774" t="str">
        <f>IF($C93=0,"",SUMIFS(INPUT_DATA!BB:BB,INPUT_DATA!$A:$A,$C93,INPUT_DATA!$C:$C,"D"))</f>
        <v/>
      </c>
      <c r="AG93" s="774" t="str">
        <f>IF($C93=0,"",SUMIFS(INPUT_DATA!BC:BC,INPUT_DATA!$A:$A,$C93,INPUT_DATA!$C:$C,"D"))</f>
        <v/>
      </c>
      <c r="AH93" s="774" t="str">
        <f>IF($C93=0,"",SUMIFS(INPUT_DATA!BD:BD,INPUT_DATA!$A:$A,$C93,INPUT_DATA!$C:$C,"D"))</f>
        <v/>
      </c>
      <c r="AI93" s="774" t="str">
        <f>IF($C93=0,"",SUMIFS(INPUT_DATA!BE:BE,INPUT_DATA!$A:$A,$C93,INPUT_DATA!$C:$C,"D"))</f>
        <v/>
      </c>
      <c r="AJ93" s="315" t="str">
        <f t="shared" si="13"/>
        <v/>
      </c>
      <c r="AK93" s="782" t="str">
        <f>IF($C93=0,"",SUMIFS(INPUT_DATA!BG:BG,INPUT_DATA!$A:$A,$C93,INPUT_DATA!$C:$C,"D"))</f>
        <v/>
      </c>
      <c r="AL93" s="782" t="str">
        <f>IF($C93=0,"",SUMIFS(INPUT_DATA!BH:BH,INPUT_DATA!$A:$A,$C93,INPUT_DATA!$C:$C,"D"))</f>
        <v/>
      </c>
      <c r="AM93" s="782" t="str">
        <f>IF($C93=0,"",SUMIFS(INPUT_DATA!BI:BI,INPUT_DATA!$A:$A,$C93,INPUT_DATA!$C:$C,"D"))</f>
        <v/>
      </c>
      <c r="AN93" s="780" t="str">
        <f t="shared" si="17"/>
        <v/>
      </c>
      <c r="AO93" s="785" t="str">
        <f>IF($C93=0,"",SUMIFS(INPUT_DATA!BK:BK,INPUT_DATA!$A:$A,$C93,INPUT_DATA!$C:$C,"D"))</f>
        <v/>
      </c>
      <c r="AP93" s="355" t="str">
        <f t="shared" si="18"/>
        <v/>
      </c>
      <c r="AQ93" s="149"/>
      <c r="AS93" s="355" t="str">
        <f t="shared" si="19"/>
        <v/>
      </c>
      <c r="AU93" s="391" t="str">
        <f>IF($C93=0,"",'03 - Monthly Asset Follow up'!E97+'03 - Monthly Asset Follow up'!F97-'03 - Monthly Asset Follow up'!U97+'03 - Monthly Asset Follow up'!X97-H93)</f>
        <v/>
      </c>
      <c r="AV93" s="391" t="str">
        <f>IF($C93=0,"",'03 - Monthly Asset Follow up'!BD97+'03 - Monthly Asset Follow up'!BE97-'03 - Monthly Asset Follow up'!BT97+'03 - Monthly Asset Follow up'!BW97)</f>
        <v/>
      </c>
      <c r="AX93" s="154"/>
    </row>
    <row r="94" spans="2:50" ht="13" x14ac:dyDescent="0.3">
      <c r="B94" s="766" t="str">
        <f t="shared" si="14"/>
        <v/>
      </c>
      <c r="C94" s="769">
        <f>'03 - Monthly Asset Follow up'!B98</f>
        <v>0</v>
      </c>
      <c r="D94" s="149"/>
      <c r="E94" s="762" t="str">
        <f>IF($C94=0,"",SUMIFS(INPUT_DATA!AU:AU,INPUT_DATA!$A:$A,$C94,INPUT_DATA!$C:$C,"S"))</f>
        <v/>
      </c>
      <c r="F94" s="774" t="str">
        <f>IF($C94=0,"",SUMIFS(INPUT_DATA!AV:AV,INPUT_DATA!$A:$A,$C94,INPUT_DATA!$C:$C,"S"))</f>
        <v/>
      </c>
      <c r="G94" s="774" t="str">
        <f>IF($C94=0,"",SUMIFS(INPUT_DATA!AW:AW,INPUT_DATA!$A:$A,$C94,INPUT_DATA!$C:$C,"S"))</f>
        <v/>
      </c>
      <c r="H94" s="776" t="str">
        <f t="shared" si="10"/>
        <v/>
      </c>
      <c r="I94" s="774" t="str">
        <f>IF($C94=0,"",SUMIFS(INPUT_DATA!AY:AY,INPUT_DATA!$A:$A,$C94,INPUT_DATA!$C:$C,"S"))</f>
        <v/>
      </c>
      <c r="J94" s="774" t="str">
        <f>IF($C94=0,"",SUMIFS(INPUT_DATA!AZ:AZ,INPUT_DATA!$A:$A,$C94,INPUT_DATA!$C:$C,"S"))</f>
        <v/>
      </c>
      <c r="K94" s="774" t="str">
        <f>IF($C94=0,"",SUMIFS(INPUT_DATA!BA:BA,INPUT_DATA!$A:$A,$C94,INPUT_DATA!$C:$C,"S"))</f>
        <v/>
      </c>
      <c r="L94" s="774" t="str">
        <f>IF($C94=0,"",SUMIFS(INPUT_DATA!BB:BB,INPUT_DATA!$A:$A,$C94,INPUT_DATA!$C:$C,"S"))</f>
        <v/>
      </c>
      <c r="M94" s="774" t="str">
        <f>IF($C94=0,"",SUMIFS(INPUT_DATA!BC:BC,INPUT_DATA!$A:$A,$C94,INPUT_DATA!$C:$C,"S"))</f>
        <v/>
      </c>
      <c r="N94" s="774" t="str">
        <f>IF($C94=0,"",SUMIFS(INPUT_DATA!BD:BD,INPUT_DATA!$A:$A,$C94,INPUT_DATA!$C:$C,"S"))</f>
        <v/>
      </c>
      <c r="O94" s="774" t="str">
        <f>IF($C94=0,"",SUMIFS(INPUT_DATA!BE:BE,INPUT_DATA!$A:$A,$C94,INPUT_DATA!$C:$C,"S"))</f>
        <v/>
      </c>
      <c r="P94" s="774" t="str">
        <f>IF($C94=0,"",SUMIFS(INPUT_DATA!BF:BF,INPUT_DATA!$A:$A,$C94,INPUT_DATA!$C:$C,"S"))</f>
        <v/>
      </c>
      <c r="Q94" s="780" t="str">
        <f t="shared" si="15"/>
        <v/>
      </c>
      <c r="R94" s="782" t="str">
        <f>IF($C94=0,"",SUMIFS(INPUT_DATA!BH:BH,INPUT_DATA!$A:$A,$C94,INPUT_DATA!$C:$C,"S"))</f>
        <v/>
      </c>
      <c r="S94" s="782" t="str">
        <f>IF($C94=0,"",SUMIFS(INPUT_DATA!BI:BI,INPUT_DATA!$A:$A,$C94,INPUT_DATA!$C:$C,"S"))</f>
        <v/>
      </c>
      <c r="T94" s="780" t="str">
        <f t="shared" si="16"/>
        <v/>
      </c>
      <c r="U94" s="785" t="str">
        <f>IF($C94=0,"",SUMIFS(INPUT_DATA!BL:BL,INPUT_DATA!$A:$A,$C94,INPUT_DATA!$C:$C,"S"))</f>
        <v/>
      </c>
      <c r="V94" s="155" t="str">
        <f t="shared" si="11"/>
        <v/>
      </c>
      <c r="W94" s="149"/>
      <c r="X94" s="762" t="str">
        <f>IF($C94=0,"",SUMIFS(INPUT_DATA!AU:AU,INPUT_DATA!$A:$A,$C94,INPUT_DATA!$C:$C,"D"))</f>
        <v/>
      </c>
      <c r="Y94" s="774" t="str">
        <f>IF($C94=0,"",SUMIFS(INPUT_DATA!AV:AV,INPUT_DATA!$A:$A,$C94,INPUT_DATA!$C:$C,"D"))</f>
        <v/>
      </c>
      <c r="Z94" s="774" t="str">
        <f>IF($C94=0,"",SUMIFS(INPUT_DATA!AW:AW,INPUT_DATA!$A:$A,$C94,INPUT_DATA!$C:$C,"D"))</f>
        <v/>
      </c>
      <c r="AA94" s="775" t="str">
        <f t="shared" si="12"/>
        <v/>
      </c>
      <c r="AB94" s="774" t="str">
        <f>IF($C94=0,"",SUMIFS(INPUT_DATA!AX:AX,INPUT_DATA!$A:$A,$C94,INPUT_DATA!$C:$C,"D"))</f>
        <v/>
      </c>
      <c r="AC94" s="774" t="str">
        <f>IF($C94=0,"",SUMIFS(INPUT_DATA!AY:AY,INPUT_DATA!$A:$A,$C94,INPUT_DATA!$C:$C,"D"))</f>
        <v/>
      </c>
      <c r="AD94" s="774" t="str">
        <f>IF($C94=0,"",SUMIFS(INPUT_DATA!AZ:AZ,INPUT_DATA!$A:$A,$C94,INPUT_DATA!$C:$C,"D"))</f>
        <v/>
      </c>
      <c r="AE94" s="774" t="str">
        <f>IF($C94=0,"",SUMIFS(INPUT_DATA!BA:BA,INPUT_DATA!$A:$A,$C94,INPUT_DATA!$C:$C,"D"))</f>
        <v/>
      </c>
      <c r="AF94" s="774" t="str">
        <f>IF($C94=0,"",SUMIFS(INPUT_DATA!BB:BB,INPUT_DATA!$A:$A,$C94,INPUT_DATA!$C:$C,"D"))</f>
        <v/>
      </c>
      <c r="AG94" s="774" t="str">
        <f>IF($C94=0,"",SUMIFS(INPUT_DATA!BC:BC,INPUT_DATA!$A:$A,$C94,INPUT_DATA!$C:$C,"D"))</f>
        <v/>
      </c>
      <c r="AH94" s="774" t="str">
        <f>IF($C94=0,"",SUMIFS(INPUT_DATA!BD:BD,INPUT_DATA!$A:$A,$C94,INPUT_DATA!$C:$C,"D"))</f>
        <v/>
      </c>
      <c r="AI94" s="774" t="str">
        <f>IF($C94=0,"",SUMIFS(INPUT_DATA!BE:BE,INPUT_DATA!$A:$A,$C94,INPUT_DATA!$C:$C,"D"))</f>
        <v/>
      </c>
      <c r="AJ94" s="315" t="str">
        <f t="shared" si="13"/>
        <v/>
      </c>
      <c r="AK94" s="782" t="str">
        <f>IF($C94=0,"",SUMIFS(INPUT_DATA!BG:BG,INPUT_DATA!$A:$A,$C94,INPUT_DATA!$C:$C,"D"))</f>
        <v/>
      </c>
      <c r="AL94" s="782" t="str">
        <f>IF($C94=0,"",SUMIFS(INPUT_DATA!BH:BH,INPUT_DATA!$A:$A,$C94,INPUT_DATA!$C:$C,"D"))</f>
        <v/>
      </c>
      <c r="AM94" s="782" t="str">
        <f>IF($C94=0,"",SUMIFS(INPUT_DATA!BI:BI,INPUT_DATA!$A:$A,$C94,INPUT_DATA!$C:$C,"D"))</f>
        <v/>
      </c>
      <c r="AN94" s="780" t="str">
        <f t="shared" si="17"/>
        <v/>
      </c>
      <c r="AO94" s="785" t="str">
        <f>IF($C94=0,"",SUMIFS(INPUT_DATA!BK:BK,INPUT_DATA!$A:$A,$C94,INPUT_DATA!$C:$C,"D"))</f>
        <v/>
      </c>
      <c r="AP94" s="355" t="str">
        <f t="shared" si="18"/>
        <v/>
      </c>
      <c r="AQ94" s="149"/>
      <c r="AS94" s="355" t="str">
        <f t="shared" si="19"/>
        <v/>
      </c>
      <c r="AU94" s="391" t="str">
        <f>IF($C94=0,"",'03 - Monthly Asset Follow up'!E98+'03 - Monthly Asset Follow up'!F98-'03 - Monthly Asset Follow up'!U98+'03 - Monthly Asset Follow up'!X98-H94)</f>
        <v/>
      </c>
      <c r="AV94" s="391" t="str">
        <f>IF($C94=0,"",'03 - Monthly Asset Follow up'!BD98+'03 - Monthly Asset Follow up'!BE98-'03 - Monthly Asset Follow up'!BT98+'03 - Monthly Asset Follow up'!BW98)</f>
        <v/>
      </c>
      <c r="AX94" s="154"/>
    </row>
    <row r="95" spans="2:50" ht="13" x14ac:dyDescent="0.3">
      <c r="B95" s="766" t="str">
        <f t="shared" si="14"/>
        <v/>
      </c>
      <c r="C95" s="769">
        <f>'03 - Monthly Asset Follow up'!B99</f>
        <v>0</v>
      </c>
      <c r="D95" s="149"/>
      <c r="E95" s="762" t="str">
        <f>IF($C95=0,"",SUMIFS(INPUT_DATA!AU:AU,INPUT_DATA!$A:$A,$C95,INPUT_DATA!$C:$C,"S"))</f>
        <v/>
      </c>
      <c r="F95" s="774" t="str">
        <f>IF($C95=0,"",SUMIFS(INPUT_DATA!AV:AV,INPUT_DATA!$A:$A,$C95,INPUT_DATA!$C:$C,"S"))</f>
        <v/>
      </c>
      <c r="G95" s="774" t="str">
        <f>IF($C95=0,"",SUMIFS(INPUT_DATA!AW:AW,INPUT_DATA!$A:$A,$C95,INPUT_DATA!$C:$C,"S"))</f>
        <v/>
      </c>
      <c r="H95" s="776" t="str">
        <f t="shared" si="10"/>
        <v/>
      </c>
      <c r="I95" s="774" t="str">
        <f>IF($C95=0,"",SUMIFS(INPUT_DATA!AY:AY,INPUT_DATA!$A:$A,$C95,INPUT_DATA!$C:$C,"S"))</f>
        <v/>
      </c>
      <c r="J95" s="774" t="str">
        <f>IF($C95=0,"",SUMIFS(INPUT_DATA!AZ:AZ,INPUT_DATA!$A:$A,$C95,INPUT_DATA!$C:$C,"S"))</f>
        <v/>
      </c>
      <c r="K95" s="774" t="str">
        <f>IF($C95=0,"",SUMIFS(INPUT_DATA!BA:BA,INPUT_DATA!$A:$A,$C95,INPUT_DATA!$C:$C,"S"))</f>
        <v/>
      </c>
      <c r="L95" s="774" t="str">
        <f>IF($C95=0,"",SUMIFS(INPUT_DATA!BB:BB,INPUT_DATA!$A:$A,$C95,INPUT_DATA!$C:$C,"S"))</f>
        <v/>
      </c>
      <c r="M95" s="774" t="str">
        <f>IF($C95=0,"",SUMIFS(INPUT_DATA!BC:BC,INPUT_DATA!$A:$A,$C95,INPUT_DATA!$C:$C,"S"))</f>
        <v/>
      </c>
      <c r="N95" s="774" t="str">
        <f>IF($C95=0,"",SUMIFS(INPUT_DATA!BD:BD,INPUT_DATA!$A:$A,$C95,INPUT_DATA!$C:$C,"S"))</f>
        <v/>
      </c>
      <c r="O95" s="774" t="str">
        <f>IF($C95=0,"",SUMIFS(INPUT_DATA!BE:BE,INPUT_DATA!$A:$A,$C95,INPUT_DATA!$C:$C,"S"))</f>
        <v/>
      </c>
      <c r="P95" s="774" t="str">
        <f>IF($C95=0,"",SUMIFS(INPUT_DATA!BF:BF,INPUT_DATA!$A:$A,$C95,INPUT_DATA!$C:$C,"S"))</f>
        <v/>
      </c>
      <c r="Q95" s="780" t="str">
        <f t="shared" si="15"/>
        <v/>
      </c>
      <c r="R95" s="782" t="str">
        <f>IF($C95=0,"",SUMIFS(INPUT_DATA!BH:BH,INPUT_DATA!$A:$A,$C95,INPUT_DATA!$C:$C,"S"))</f>
        <v/>
      </c>
      <c r="S95" s="782" t="str">
        <f>IF($C95=0,"",SUMIFS(INPUT_DATA!BI:BI,INPUT_DATA!$A:$A,$C95,INPUT_DATA!$C:$C,"S"))</f>
        <v/>
      </c>
      <c r="T95" s="780" t="str">
        <f t="shared" si="16"/>
        <v/>
      </c>
      <c r="U95" s="785" t="str">
        <f>IF($C95=0,"",SUMIFS(INPUT_DATA!BL:BL,INPUT_DATA!$A:$A,$C95,INPUT_DATA!$C:$C,"S"))</f>
        <v/>
      </c>
      <c r="V95" s="155" t="str">
        <f t="shared" si="11"/>
        <v/>
      </c>
      <c r="W95" s="149"/>
      <c r="X95" s="762" t="str">
        <f>IF($C95=0,"",SUMIFS(INPUT_DATA!AU:AU,INPUT_DATA!$A:$A,$C95,INPUT_DATA!$C:$C,"D"))</f>
        <v/>
      </c>
      <c r="Y95" s="774" t="str">
        <f>IF($C95=0,"",SUMIFS(INPUT_DATA!AV:AV,INPUT_DATA!$A:$A,$C95,INPUT_DATA!$C:$C,"D"))</f>
        <v/>
      </c>
      <c r="Z95" s="774" t="str">
        <f>IF($C95=0,"",SUMIFS(INPUT_DATA!AW:AW,INPUT_DATA!$A:$A,$C95,INPUT_DATA!$C:$C,"D"))</f>
        <v/>
      </c>
      <c r="AA95" s="775" t="str">
        <f t="shared" si="12"/>
        <v/>
      </c>
      <c r="AB95" s="774" t="str">
        <f>IF($C95=0,"",SUMIFS(INPUT_DATA!AX:AX,INPUT_DATA!$A:$A,$C95,INPUT_DATA!$C:$C,"D"))</f>
        <v/>
      </c>
      <c r="AC95" s="774" t="str">
        <f>IF($C95=0,"",SUMIFS(INPUT_DATA!AY:AY,INPUT_DATA!$A:$A,$C95,INPUT_DATA!$C:$C,"D"))</f>
        <v/>
      </c>
      <c r="AD95" s="774" t="str">
        <f>IF($C95=0,"",SUMIFS(INPUT_DATA!AZ:AZ,INPUT_DATA!$A:$A,$C95,INPUT_DATA!$C:$C,"D"))</f>
        <v/>
      </c>
      <c r="AE95" s="774" t="str">
        <f>IF($C95=0,"",SUMIFS(INPUT_DATA!BA:BA,INPUT_DATA!$A:$A,$C95,INPUT_DATA!$C:$C,"D"))</f>
        <v/>
      </c>
      <c r="AF95" s="774" t="str">
        <f>IF($C95=0,"",SUMIFS(INPUT_DATA!BB:BB,INPUT_DATA!$A:$A,$C95,INPUT_DATA!$C:$C,"D"))</f>
        <v/>
      </c>
      <c r="AG95" s="774" t="str">
        <f>IF($C95=0,"",SUMIFS(INPUT_DATA!BC:BC,INPUT_DATA!$A:$A,$C95,INPUT_DATA!$C:$C,"D"))</f>
        <v/>
      </c>
      <c r="AH95" s="774" t="str">
        <f>IF($C95=0,"",SUMIFS(INPUT_DATA!BD:BD,INPUT_DATA!$A:$A,$C95,INPUT_DATA!$C:$C,"D"))</f>
        <v/>
      </c>
      <c r="AI95" s="774" t="str">
        <f>IF($C95=0,"",SUMIFS(INPUT_DATA!BE:BE,INPUT_DATA!$A:$A,$C95,INPUT_DATA!$C:$C,"D"))</f>
        <v/>
      </c>
      <c r="AJ95" s="315" t="str">
        <f t="shared" si="13"/>
        <v/>
      </c>
      <c r="AK95" s="782" t="str">
        <f>IF($C95=0,"",SUMIFS(INPUT_DATA!BG:BG,INPUT_DATA!$A:$A,$C95,INPUT_DATA!$C:$C,"D"))</f>
        <v/>
      </c>
      <c r="AL95" s="782" t="str">
        <f>IF($C95=0,"",SUMIFS(INPUT_DATA!BH:BH,INPUT_DATA!$A:$A,$C95,INPUT_DATA!$C:$C,"D"))</f>
        <v/>
      </c>
      <c r="AM95" s="782" t="str">
        <f>IF($C95=0,"",SUMIFS(INPUT_DATA!BI:BI,INPUT_DATA!$A:$A,$C95,INPUT_DATA!$C:$C,"D"))</f>
        <v/>
      </c>
      <c r="AN95" s="780" t="str">
        <f t="shared" si="17"/>
        <v/>
      </c>
      <c r="AO95" s="785" t="str">
        <f>IF($C95=0,"",SUMIFS(INPUT_DATA!BK:BK,INPUT_DATA!$A:$A,$C95,INPUT_DATA!$C:$C,"D"))</f>
        <v/>
      </c>
      <c r="AP95" s="355" t="str">
        <f t="shared" si="18"/>
        <v/>
      </c>
      <c r="AQ95" s="149"/>
      <c r="AS95" s="355" t="str">
        <f t="shared" si="19"/>
        <v/>
      </c>
      <c r="AU95" s="391" t="str">
        <f>IF($C95=0,"",'03 - Monthly Asset Follow up'!E99+'03 - Monthly Asset Follow up'!F99-'03 - Monthly Asset Follow up'!U99+'03 - Monthly Asset Follow up'!X99-H95)</f>
        <v/>
      </c>
      <c r="AV95" s="391" t="str">
        <f>IF($C95=0,"",'03 - Monthly Asset Follow up'!BD99+'03 - Monthly Asset Follow up'!BE99-'03 - Monthly Asset Follow up'!BT99+'03 - Monthly Asset Follow up'!BW99)</f>
        <v/>
      </c>
      <c r="AX95" s="154"/>
    </row>
    <row r="96" spans="2:50" ht="13" x14ac:dyDescent="0.3">
      <c r="B96" s="766" t="str">
        <f t="shared" si="14"/>
        <v/>
      </c>
      <c r="C96" s="769">
        <f>'03 - Monthly Asset Follow up'!B100</f>
        <v>0</v>
      </c>
      <c r="D96" s="149"/>
      <c r="E96" s="762" t="str">
        <f>IF($C96=0,"",SUMIFS(INPUT_DATA!AU:AU,INPUT_DATA!$A:$A,$C96,INPUT_DATA!$C:$C,"S"))</f>
        <v/>
      </c>
      <c r="F96" s="774" t="str">
        <f>IF($C96=0,"",SUMIFS(INPUT_DATA!AV:AV,INPUT_DATA!$A:$A,$C96,INPUT_DATA!$C:$C,"S"))</f>
        <v/>
      </c>
      <c r="G96" s="774" t="str">
        <f>IF($C96=0,"",SUMIFS(INPUT_DATA!AW:AW,INPUT_DATA!$A:$A,$C96,INPUT_DATA!$C:$C,"S"))</f>
        <v/>
      </c>
      <c r="H96" s="776" t="str">
        <f t="shared" si="10"/>
        <v/>
      </c>
      <c r="I96" s="774" t="str">
        <f>IF($C96=0,"",SUMIFS(INPUT_DATA!AY:AY,INPUT_DATA!$A:$A,$C96,INPUT_DATA!$C:$C,"S"))</f>
        <v/>
      </c>
      <c r="J96" s="774" t="str">
        <f>IF($C96=0,"",SUMIFS(INPUT_DATA!AZ:AZ,INPUT_DATA!$A:$A,$C96,INPUT_DATA!$C:$C,"S"))</f>
        <v/>
      </c>
      <c r="K96" s="774" t="str">
        <f>IF($C96=0,"",SUMIFS(INPUT_DATA!BA:BA,INPUT_DATA!$A:$A,$C96,INPUT_DATA!$C:$C,"S"))</f>
        <v/>
      </c>
      <c r="L96" s="774" t="str">
        <f>IF($C96=0,"",SUMIFS(INPUT_DATA!BB:BB,INPUT_DATA!$A:$A,$C96,INPUT_DATA!$C:$C,"S"))</f>
        <v/>
      </c>
      <c r="M96" s="774" t="str">
        <f>IF($C96=0,"",SUMIFS(INPUT_DATA!BC:BC,INPUT_DATA!$A:$A,$C96,INPUT_DATA!$C:$C,"S"))</f>
        <v/>
      </c>
      <c r="N96" s="774" t="str">
        <f>IF($C96=0,"",SUMIFS(INPUT_DATA!BD:BD,INPUT_DATA!$A:$A,$C96,INPUT_DATA!$C:$C,"S"))</f>
        <v/>
      </c>
      <c r="O96" s="774" t="str">
        <f>IF($C96=0,"",SUMIFS(INPUT_DATA!BE:BE,INPUT_DATA!$A:$A,$C96,INPUT_DATA!$C:$C,"S"))</f>
        <v/>
      </c>
      <c r="P96" s="774" t="str">
        <f>IF($C96=0,"",SUMIFS(INPUT_DATA!BF:BF,INPUT_DATA!$A:$A,$C96,INPUT_DATA!$C:$C,"S"))</f>
        <v/>
      </c>
      <c r="Q96" s="780" t="str">
        <f t="shared" si="15"/>
        <v/>
      </c>
      <c r="R96" s="782" t="str">
        <f>IF($C96=0,"",SUMIFS(INPUT_DATA!BH:BH,INPUT_DATA!$A:$A,$C96,INPUT_DATA!$C:$C,"S"))</f>
        <v/>
      </c>
      <c r="S96" s="782" t="str">
        <f>IF($C96=0,"",SUMIFS(INPUT_DATA!BI:BI,INPUT_DATA!$A:$A,$C96,INPUT_DATA!$C:$C,"S"))</f>
        <v/>
      </c>
      <c r="T96" s="780" t="str">
        <f t="shared" si="16"/>
        <v/>
      </c>
      <c r="U96" s="785" t="str">
        <f>IF($C96=0,"",SUMIFS(INPUT_DATA!BL:BL,INPUT_DATA!$A:$A,$C96,INPUT_DATA!$C:$C,"S"))</f>
        <v/>
      </c>
      <c r="V96" s="155" t="str">
        <f t="shared" si="11"/>
        <v/>
      </c>
      <c r="W96" s="149"/>
      <c r="X96" s="762" t="str">
        <f>IF($C96=0,"",SUMIFS(INPUT_DATA!AU:AU,INPUT_DATA!$A:$A,$C96,INPUT_DATA!$C:$C,"D"))</f>
        <v/>
      </c>
      <c r="Y96" s="774" t="str">
        <f>IF($C96=0,"",SUMIFS(INPUT_DATA!AV:AV,INPUT_DATA!$A:$A,$C96,INPUT_DATA!$C:$C,"D"))</f>
        <v/>
      </c>
      <c r="Z96" s="774" t="str">
        <f>IF($C96=0,"",SUMIFS(INPUT_DATA!AW:AW,INPUT_DATA!$A:$A,$C96,INPUT_DATA!$C:$C,"D"))</f>
        <v/>
      </c>
      <c r="AA96" s="775" t="str">
        <f t="shared" si="12"/>
        <v/>
      </c>
      <c r="AB96" s="774" t="str">
        <f>IF($C96=0,"",SUMIFS(INPUT_DATA!AX:AX,INPUT_DATA!$A:$A,$C96,INPUT_DATA!$C:$C,"D"))</f>
        <v/>
      </c>
      <c r="AC96" s="774" t="str">
        <f>IF($C96=0,"",SUMIFS(INPUT_DATA!AY:AY,INPUT_DATA!$A:$A,$C96,INPUT_DATA!$C:$C,"D"))</f>
        <v/>
      </c>
      <c r="AD96" s="774" t="str">
        <f>IF($C96=0,"",SUMIFS(INPUT_DATA!AZ:AZ,INPUT_DATA!$A:$A,$C96,INPUT_DATA!$C:$C,"D"))</f>
        <v/>
      </c>
      <c r="AE96" s="774" t="str">
        <f>IF($C96=0,"",SUMIFS(INPUT_DATA!BA:BA,INPUT_DATA!$A:$A,$C96,INPUT_DATA!$C:$C,"D"))</f>
        <v/>
      </c>
      <c r="AF96" s="774" t="str">
        <f>IF($C96=0,"",SUMIFS(INPUT_DATA!BB:BB,INPUT_DATA!$A:$A,$C96,INPUT_DATA!$C:$C,"D"))</f>
        <v/>
      </c>
      <c r="AG96" s="774" t="str">
        <f>IF($C96=0,"",SUMIFS(INPUT_DATA!BC:BC,INPUT_DATA!$A:$A,$C96,INPUT_DATA!$C:$C,"D"))</f>
        <v/>
      </c>
      <c r="AH96" s="774" t="str">
        <f>IF($C96=0,"",SUMIFS(INPUT_DATA!BD:BD,INPUT_DATA!$A:$A,$C96,INPUT_DATA!$C:$C,"D"))</f>
        <v/>
      </c>
      <c r="AI96" s="774" t="str">
        <f>IF($C96=0,"",SUMIFS(INPUT_DATA!BE:BE,INPUT_DATA!$A:$A,$C96,INPUT_DATA!$C:$C,"D"))</f>
        <v/>
      </c>
      <c r="AJ96" s="315" t="str">
        <f t="shared" si="13"/>
        <v/>
      </c>
      <c r="AK96" s="782" t="str">
        <f>IF($C96=0,"",SUMIFS(INPUT_DATA!BG:BG,INPUT_DATA!$A:$A,$C96,INPUT_DATA!$C:$C,"D"))</f>
        <v/>
      </c>
      <c r="AL96" s="782" t="str">
        <f>IF($C96=0,"",SUMIFS(INPUT_DATA!BH:BH,INPUT_DATA!$A:$A,$C96,INPUT_DATA!$C:$C,"D"))</f>
        <v/>
      </c>
      <c r="AM96" s="782" t="str">
        <f>IF($C96=0,"",SUMIFS(INPUT_DATA!BI:BI,INPUT_DATA!$A:$A,$C96,INPUT_DATA!$C:$C,"D"))</f>
        <v/>
      </c>
      <c r="AN96" s="780" t="str">
        <f t="shared" si="17"/>
        <v/>
      </c>
      <c r="AO96" s="785" t="str">
        <f>IF($C96=0,"",SUMIFS(INPUT_DATA!BK:BK,INPUT_DATA!$A:$A,$C96,INPUT_DATA!$C:$C,"D"))</f>
        <v/>
      </c>
      <c r="AP96" s="355" t="str">
        <f t="shared" si="18"/>
        <v/>
      </c>
      <c r="AQ96" s="149"/>
      <c r="AS96" s="355" t="str">
        <f t="shared" si="19"/>
        <v/>
      </c>
      <c r="AU96" s="391" t="str">
        <f>IF($C96=0,"",'03 - Monthly Asset Follow up'!E100+'03 - Monthly Asset Follow up'!F100-'03 - Monthly Asset Follow up'!U100+'03 - Monthly Asset Follow up'!X100-H96)</f>
        <v/>
      </c>
      <c r="AV96" s="391" t="str">
        <f>IF($C96=0,"",'03 - Monthly Asset Follow up'!BD100+'03 - Monthly Asset Follow up'!BE100-'03 - Monthly Asset Follow up'!BT100+'03 - Monthly Asset Follow up'!BW100)</f>
        <v/>
      </c>
      <c r="AX96" s="154"/>
    </row>
    <row r="97" spans="2:50" ht="13" x14ac:dyDescent="0.3">
      <c r="B97" s="766" t="str">
        <f t="shared" si="14"/>
        <v/>
      </c>
      <c r="C97" s="769">
        <f>'03 - Monthly Asset Follow up'!B101</f>
        <v>0</v>
      </c>
      <c r="D97" s="149"/>
      <c r="E97" s="762" t="str">
        <f>IF($C97=0,"",SUMIFS(INPUT_DATA!AU:AU,INPUT_DATA!$A:$A,$C97,INPUT_DATA!$C:$C,"S"))</f>
        <v/>
      </c>
      <c r="F97" s="774" t="str">
        <f>IF($C97=0,"",SUMIFS(INPUT_DATA!AV:AV,INPUT_DATA!$A:$A,$C97,INPUT_DATA!$C:$C,"S"))</f>
        <v/>
      </c>
      <c r="G97" s="774" t="str">
        <f>IF($C97=0,"",SUMIFS(INPUT_DATA!AW:AW,INPUT_DATA!$A:$A,$C97,INPUT_DATA!$C:$C,"S"))</f>
        <v/>
      </c>
      <c r="H97" s="776" t="str">
        <f t="shared" si="10"/>
        <v/>
      </c>
      <c r="I97" s="774" t="str">
        <f>IF($C97=0,"",SUMIFS(INPUT_DATA!AY:AY,INPUT_DATA!$A:$A,$C97,INPUT_DATA!$C:$C,"S"))</f>
        <v/>
      </c>
      <c r="J97" s="774" t="str">
        <f>IF($C97=0,"",SUMIFS(INPUT_DATA!AZ:AZ,INPUT_DATA!$A:$A,$C97,INPUT_DATA!$C:$C,"S"))</f>
        <v/>
      </c>
      <c r="K97" s="774" t="str">
        <f>IF($C97=0,"",SUMIFS(INPUT_DATA!BA:BA,INPUT_DATA!$A:$A,$C97,INPUT_DATA!$C:$C,"S"))</f>
        <v/>
      </c>
      <c r="L97" s="774" t="str">
        <f>IF($C97=0,"",SUMIFS(INPUT_DATA!BB:BB,INPUT_DATA!$A:$A,$C97,INPUT_DATA!$C:$C,"S"))</f>
        <v/>
      </c>
      <c r="M97" s="774" t="str">
        <f>IF($C97=0,"",SUMIFS(INPUT_DATA!BC:BC,INPUT_DATA!$A:$A,$C97,INPUT_DATA!$C:$C,"S"))</f>
        <v/>
      </c>
      <c r="N97" s="774" t="str">
        <f>IF($C97=0,"",SUMIFS(INPUT_DATA!BD:BD,INPUT_DATA!$A:$A,$C97,INPUT_DATA!$C:$C,"S"))</f>
        <v/>
      </c>
      <c r="O97" s="774" t="str">
        <f>IF($C97=0,"",SUMIFS(INPUT_DATA!BE:BE,INPUT_DATA!$A:$A,$C97,INPUT_DATA!$C:$C,"S"))</f>
        <v/>
      </c>
      <c r="P97" s="774" t="str">
        <f>IF($C97=0,"",SUMIFS(INPUT_DATA!BF:BF,INPUT_DATA!$A:$A,$C97,INPUT_DATA!$C:$C,"S"))</f>
        <v/>
      </c>
      <c r="Q97" s="780" t="str">
        <f t="shared" si="15"/>
        <v/>
      </c>
      <c r="R97" s="782" t="str">
        <f>IF($C97=0,"",SUMIFS(INPUT_DATA!BH:BH,INPUT_DATA!$A:$A,$C97,INPUT_DATA!$C:$C,"S"))</f>
        <v/>
      </c>
      <c r="S97" s="782" t="str">
        <f>IF($C97=0,"",SUMIFS(INPUT_DATA!BI:BI,INPUT_DATA!$A:$A,$C97,INPUT_DATA!$C:$C,"S"))</f>
        <v/>
      </c>
      <c r="T97" s="780" t="str">
        <f t="shared" si="16"/>
        <v/>
      </c>
      <c r="U97" s="785" t="str">
        <f>IF($C97=0,"",SUMIFS(INPUT_DATA!BL:BL,INPUT_DATA!$A:$A,$C97,INPUT_DATA!$C:$C,"S"))</f>
        <v/>
      </c>
      <c r="V97" s="155" t="str">
        <f t="shared" si="11"/>
        <v/>
      </c>
      <c r="W97" s="149"/>
      <c r="X97" s="762" t="str">
        <f>IF($C97=0,"",SUMIFS(INPUT_DATA!AU:AU,INPUT_DATA!$A:$A,$C97,INPUT_DATA!$C:$C,"D"))</f>
        <v/>
      </c>
      <c r="Y97" s="774" t="str">
        <f>IF($C97=0,"",SUMIFS(INPUT_DATA!AV:AV,INPUT_DATA!$A:$A,$C97,INPUT_DATA!$C:$C,"D"))</f>
        <v/>
      </c>
      <c r="Z97" s="774" t="str">
        <f>IF($C97=0,"",SUMIFS(INPUT_DATA!AW:AW,INPUT_DATA!$A:$A,$C97,INPUT_DATA!$C:$C,"D"))</f>
        <v/>
      </c>
      <c r="AA97" s="775" t="str">
        <f t="shared" si="12"/>
        <v/>
      </c>
      <c r="AB97" s="774" t="str">
        <f>IF($C97=0,"",SUMIFS(INPUT_DATA!AX:AX,INPUT_DATA!$A:$A,$C97,INPUT_DATA!$C:$C,"D"))</f>
        <v/>
      </c>
      <c r="AC97" s="774" t="str">
        <f>IF($C97=0,"",SUMIFS(INPUT_DATA!AY:AY,INPUT_DATA!$A:$A,$C97,INPUT_DATA!$C:$C,"D"))</f>
        <v/>
      </c>
      <c r="AD97" s="774" t="str">
        <f>IF($C97=0,"",SUMIFS(INPUT_DATA!AZ:AZ,INPUT_DATA!$A:$A,$C97,INPUT_DATA!$C:$C,"D"))</f>
        <v/>
      </c>
      <c r="AE97" s="774" t="str">
        <f>IF($C97=0,"",SUMIFS(INPUT_DATA!BA:BA,INPUT_DATA!$A:$A,$C97,INPUT_DATA!$C:$C,"D"))</f>
        <v/>
      </c>
      <c r="AF97" s="774" t="str">
        <f>IF($C97=0,"",SUMIFS(INPUT_DATA!BB:BB,INPUT_DATA!$A:$A,$C97,INPUT_DATA!$C:$C,"D"))</f>
        <v/>
      </c>
      <c r="AG97" s="774" t="str">
        <f>IF($C97=0,"",SUMIFS(INPUT_DATA!BC:BC,INPUT_DATA!$A:$A,$C97,INPUT_DATA!$C:$C,"D"))</f>
        <v/>
      </c>
      <c r="AH97" s="774" t="str">
        <f>IF($C97=0,"",SUMIFS(INPUT_DATA!BD:BD,INPUT_DATA!$A:$A,$C97,INPUT_DATA!$C:$C,"D"))</f>
        <v/>
      </c>
      <c r="AI97" s="774" t="str">
        <f>IF($C97=0,"",SUMIFS(INPUT_DATA!BE:BE,INPUT_DATA!$A:$A,$C97,INPUT_DATA!$C:$C,"D"))</f>
        <v/>
      </c>
      <c r="AJ97" s="315" t="str">
        <f t="shared" si="13"/>
        <v/>
      </c>
      <c r="AK97" s="782" t="str">
        <f>IF($C97=0,"",SUMIFS(INPUT_DATA!BG:BG,INPUT_DATA!$A:$A,$C97,INPUT_DATA!$C:$C,"D"))</f>
        <v/>
      </c>
      <c r="AL97" s="782" t="str">
        <f>IF($C97=0,"",SUMIFS(INPUT_DATA!BH:BH,INPUT_DATA!$A:$A,$C97,INPUT_DATA!$C:$C,"D"))</f>
        <v/>
      </c>
      <c r="AM97" s="782" t="str">
        <f>IF($C97=0,"",SUMIFS(INPUT_DATA!BI:BI,INPUT_DATA!$A:$A,$C97,INPUT_DATA!$C:$C,"D"))</f>
        <v/>
      </c>
      <c r="AN97" s="780" t="str">
        <f t="shared" si="17"/>
        <v/>
      </c>
      <c r="AO97" s="785" t="str">
        <f>IF($C97=0,"",SUMIFS(INPUT_DATA!BK:BK,INPUT_DATA!$A:$A,$C97,INPUT_DATA!$C:$C,"D"))</f>
        <v/>
      </c>
      <c r="AP97" s="355" t="str">
        <f t="shared" si="18"/>
        <v/>
      </c>
      <c r="AQ97" s="149"/>
      <c r="AS97" s="355" t="str">
        <f t="shared" si="19"/>
        <v/>
      </c>
      <c r="AU97" s="391" t="str">
        <f>IF($C97=0,"",'03 - Monthly Asset Follow up'!E101+'03 - Monthly Asset Follow up'!F101-'03 - Monthly Asset Follow up'!U101+'03 - Monthly Asset Follow up'!X101-H97)</f>
        <v/>
      </c>
      <c r="AV97" s="391" t="str">
        <f>IF($C97=0,"",'03 - Monthly Asset Follow up'!BD101+'03 - Monthly Asset Follow up'!BE101-'03 - Monthly Asset Follow up'!BT101+'03 - Monthly Asset Follow up'!BW101)</f>
        <v/>
      </c>
      <c r="AX97" s="154"/>
    </row>
    <row r="98" spans="2:50" ht="13" x14ac:dyDescent="0.3">
      <c r="B98" s="766" t="str">
        <f t="shared" si="14"/>
        <v/>
      </c>
      <c r="C98" s="769">
        <f>'03 - Monthly Asset Follow up'!B102</f>
        <v>0</v>
      </c>
      <c r="D98" s="149"/>
      <c r="E98" s="762" t="str">
        <f>IF($C98=0,"",SUMIFS(INPUT_DATA!AU:AU,INPUT_DATA!$A:$A,$C98,INPUT_DATA!$C:$C,"S"))</f>
        <v/>
      </c>
      <c r="F98" s="774" t="str">
        <f>IF($C98=0,"",SUMIFS(INPUT_DATA!AV:AV,INPUT_DATA!$A:$A,$C98,INPUT_DATA!$C:$C,"S"))</f>
        <v/>
      </c>
      <c r="G98" s="774" t="str">
        <f>IF($C98=0,"",SUMIFS(INPUT_DATA!AW:AW,INPUT_DATA!$A:$A,$C98,INPUT_DATA!$C:$C,"S"))</f>
        <v/>
      </c>
      <c r="H98" s="776" t="str">
        <f t="shared" si="10"/>
        <v/>
      </c>
      <c r="I98" s="774" t="str">
        <f>IF($C98=0,"",SUMIFS(INPUT_DATA!AY:AY,INPUT_DATA!$A:$A,$C98,INPUT_DATA!$C:$C,"S"))</f>
        <v/>
      </c>
      <c r="J98" s="774" t="str">
        <f>IF($C98=0,"",SUMIFS(INPUT_DATA!AZ:AZ,INPUT_DATA!$A:$A,$C98,INPUT_DATA!$C:$C,"S"))</f>
        <v/>
      </c>
      <c r="K98" s="774" t="str">
        <f>IF($C98=0,"",SUMIFS(INPUT_DATA!BA:BA,INPUT_DATA!$A:$A,$C98,INPUT_DATA!$C:$C,"S"))</f>
        <v/>
      </c>
      <c r="L98" s="774" t="str">
        <f>IF($C98=0,"",SUMIFS(INPUT_DATA!BB:BB,INPUT_DATA!$A:$A,$C98,INPUT_DATA!$C:$C,"S"))</f>
        <v/>
      </c>
      <c r="M98" s="774" t="str">
        <f>IF($C98=0,"",SUMIFS(INPUT_DATA!BC:BC,INPUT_DATA!$A:$A,$C98,INPUT_DATA!$C:$C,"S"))</f>
        <v/>
      </c>
      <c r="N98" s="774" t="str">
        <f>IF($C98=0,"",SUMIFS(INPUT_DATA!BD:BD,INPUT_DATA!$A:$A,$C98,INPUT_DATA!$C:$C,"S"))</f>
        <v/>
      </c>
      <c r="O98" s="774" t="str">
        <f>IF($C98=0,"",SUMIFS(INPUT_DATA!BE:BE,INPUT_DATA!$A:$A,$C98,INPUT_DATA!$C:$C,"S"))</f>
        <v/>
      </c>
      <c r="P98" s="774" t="str">
        <f>IF($C98=0,"",SUMIFS(INPUT_DATA!BF:BF,INPUT_DATA!$A:$A,$C98,INPUT_DATA!$C:$C,"S"))</f>
        <v/>
      </c>
      <c r="Q98" s="780" t="str">
        <f t="shared" si="15"/>
        <v/>
      </c>
      <c r="R98" s="782" t="str">
        <f>IF($C98=0,"",SUMIFS(INPUT_DATA!BH:BH,INPUT_DATA!$A:$A,$C98,INPUT_DATA!$C:$C,"S"))</f>
        <v/>
      </c>
      <c r="S98" s="782" t="str">
        <f>IF($C98=0,"",SUMIFS(INPUT_DATA!BI:BI,INPUT_DATA!$A:$A,$C98,INPUT_DATA!$C:$C,"S"))</f>
        <v/>
      </c>
      <c r="T98" s="780" t="str">
        <f t="shared" si="16"/>
        <v/>
      </c>
      <c r="U98" s="785" t="str">
        <f>IF($C98=0,"",SUMIFS(INPUT_DATA!BL:BL,INPUT_DATA!$A:$A,$C98,INPUT_DATA!$C:$C,"S"))</f>
        <v/>
      </c>
      <c r="V98" s="155" t="str">
        <f t="shared" si="11"/>
        <v/>
      </c>
      <c r="W98" s="149"/>
      <c r="X98" s="762" t="str">
        <f>IF($C98=0,"",SUMIFS(INPUT_DATA!AU:AU,INPUT_DATA!$A:$A,$C98,INPUT_DATA!$C:$C,"D"))</f>
        <v/>
      </c>
      <c r="Y98" s="774" t="str">
        <f>IF($C98=0,"",SUMIFS(INPUT_DATA!AV:AV,INPUT_DATA!$A:$A,$C98,INPUT_DATA!$C:$C,"D"))</f>
        <v/>
      </c>
      <c r="Z98" s="774" t="str">
        <f>IF($C98=0,"",SUMIFS(INPUT_DATA!AW:AW,INPUT_DATA!$A:$A,$C98,INPUT_DATA!$C:$C,"D"))</f>
        <v/>
      </c>
      <c r="AA98" s="775" t="str">
        <f t="shared" si="12"/>
        <v/>
      </c>
      <c r="AB98" s="774" t="str">
        <f>IF($C98=0,"",SUMIFS(INPUT_DATA!AX:AX,INPUT_DATA!$A:$A,$C98,INPUT_DATA!$C:$C,"D"))</f>
        <v/>
      </c>
      <c r="AC98" s="774" t="str">
        <f>IF($C98=0,"",SUMIFS(INPUT_DATA!AY:AY,INPUT_DATA!$A:$A,$C98,INPUT_DATA!$C:$C,"D"))</f>
        <v/>
      </c>
      <c r="AD98" s="774" t="str">
        <f>IF($C98=0,"",SUMIFS(INPUT_DATA!AZ:AZ,INPUT_DATA!$A:$A,$C98,INPUT_DATA!$C:$C,"D"))</f>
        <v/>
      </c>
      <c r="AE98" s="774" t="str">
        <f>IF($C98=0,"",SUMIFS(INPUT_DATA!BA:BA,INPUT_DATA!$A:$A,$C98,INPUT_DATA!$C:$C,"D"))</f>
        <v/>
      </c>
      <c r="AF98" s="774" t="str">
        <f>IF($C98=0,"",SUMIFS(INPUT_DATA!BB:BB,INPUT_DATA!$A:$A,$C98,INPUT_DATA!$C:$C,"D"))</f>
        <v/>
      </c>
      <c r="AG98" s="774" t="str">
        <f>IF($C98=0,"",SUMIFS(INPUT_DATA!BC:BC,INPUT_DATA!$A:$A,$C98,INPUT_DATA!$C:$C,"D"))</f>
        <v/>
      </c>
      <c r="AH98" s="774" t="str">
        <f>IF($C98=0,"",SUMIFS(INPUT_DATA!BD:BD,INPUT_DATA!$A:$A,$C98,INPUT_DATA!$C:$C,"D"))</f>
        <v/>
      </c>
      <c r="AI98" s="774" t="str">
        <f>IF($C98=0,"",SUMIFS(INPUT_DATA!BE:BE,INPUT_DATA!$A:$A,$C98,INPUT_DATA!$C:$C,"D"))</f>
        <v/>
      </c>
      <c r="AJ98" s="315" t="str">
        <f t="shared" si="13"/>
        <v/>
      </c>
      <c r="AK98" s="782" t="str">
        <f>IF($C98=0,"",SUMIFS(INPUT_DATA!BG:BG,INPUT_DATA!$A:$A,$C98,INPUT_DATA!$C:$C,"D"))</f>
        <v/>
      </c>
      <c r="AL98" s="782" t="str">
        <f>IF($C98=0,"",SUMIFS(INPUT_DATA!BH:BH,INPUT_DATA!$A:$A,$C98,INPUT_DATA!$C:$C,"D"))</f>
        <v/>
      </c>
      <c r="AM98" s="782" t="str">
        <f>IF($C98=0,"",SUMIFS(INPUT_DATA!BI:BI,INPUT_DATA!$A:$A,$C98,INPUT_DATA!$C:$C,"D"))</f>
        <v/>
      </c>
      <c r="AN98" s="780" t="str">
        <f t="shared" si="17"/>
        <v/>
      </c>
      <c r="AO98" s="785" t="str">
        <f>IF($C98=0,"",SUMIFS(INPUT_DATA!BK:BK,INPUT_DATA!$A:$A,$C98,INPUT_DATA!$C:$C,"D"))</f>
        <v/>
      </c>
      <c r="AP98" s="355" t="str">
        <f t="shared" si="18"/>
        <v/>
      </c>
      <c r="AQ98" s="149"/>
      <c r="AS98" s="355" t="str">
        <f t="shared" si="19"/>
        <v/>
      </c>
      <c r="AU98" s="391" t="str">
        <f>IF($C98=0,"",'03 - Monthly Asset Follow up'!E102+'03 - Monthly Asset Follow up'!F102-'03 - Monthly Asset Follow up'!U102+'03 - Monthly Asset Follow up'!X102-H98)</f>
        <v/>
      </c>
      <c r="AV98" s="391" t="str">
        <f>IF($C98=0,"",'03 - Monthly Asset Follow up'!BD102+'03 - Monthly Asset Follow up'!BE102-'03 - Monthly Asset Follow up'!BT102+'03 - Monthly Asset Follow up'!BW102)</f>
        <v/>
      </c>
      <c r="AX98" s="154"/>
    </row>
    <row r="99" spans="2:50" ht="13" x14ac:dyDescent="0.3">
      <c r="B99" s="766" t="str">
        <f t="shared" si="14"/>
        <v/>
      </c>
      <c r="C99" s="769">
        <f>'03 - Monthly Asset Follow up'!B103</f>
        <v>0</v>
      </c>
      <c r="D99" s="149"/>
      <c r="E99" s="762" t="str">
        <f>IF($C99=0,"",SUMIFS(INPUT_DATA!AU:AU,INPUT_DATA!$A:$A,$C99,INPUT_DATA!$C:$C,"S"))</f>
        <v/>
      </c>
      <c r="F99" s="774" t="str">
        <f>IF($C99=0,"",SUMIFS(INPUT_DATA!AV:AV,INPUT_DATA!$A:$A,$C99,INPUT_DATA!$C:$C,"S"))</f>
        <v/>
      </c>
      <c r="G99" s="774" t="str">
        <f>IF($C99=0,"",SUMIFS(INPUT_DATA!AW:AW,INPUT_DATA!$A:$A,$C99,INPUT_DATA!$C:$C,"S"))</f>
        <v/>
      </c>
      <c r="H99" s="776" t="str">
        <f t="shared" si="10"/>
        <v/>
      </c>
      <c r="I99" s="774" t="str">
        <f>IF($C99=0,"",SUMIFS(INPUT_DATA!AY:AY,INPUT_DATA!$A:$A,$C99,INPUT_DATA!$C:$C,"S"))</f>
        <v/>
      </c>
      <c r="J99" s="774" t="str">
        <f>IF($C99=0,"",SUMIFS(INPUT_DATA!AZ:AZ,INPUT_DATA!$A:$A,$C99,INPUT_DATA!$C:$C,"S"))</f>
        <v/>
      </c>
      <c r="K99" s="774" t="str">
        <f>IF($C99=0,"",SUMIFS(INPUT_DATA!BA:BA,INPUT_DATA!$A:$A,$C99,INPUT_DATA!$C:$C,"S"))</f>
        <v/>
      </c>
      <c r="L99" s="774" t="str">
        <f>IF($C99=0,"",SUMIFS(INPUT_DATA!BB:BB,INPUT_DATA!$A:$A,$C99,INPUT_DATA!$C:$C,"S"))</f>
        <v/>
      </c>
      <c r="M99" s="774" t="str">
        <f>IF($C99=0,"",SUMIFS(INPUT_DATA!BC:BC,INPUT_DATA!$A:$A,$C99,INPUT_DATA!$C:$C,"S"))</f>
        <v/>
      </c>
      <c r="N99" s="774" t="str">
        <f>IF($C99=0,"",SUMIFS(INPUT_DATA!BD:BD,INPUT_DATA!$A:$A,$C99,INPUT_DATA!$C:$C,"S"))</f>
        <v/>
      </c>
      <c r="O99" s="774" t="str">
        <f>IF($C99=0,"",SUMIFS(INPUT_DATA!BE:BE,INPUT_DATA!$A:$A,$C99,INPUT_DATA!$C:$C,"S"))</f>
        <v/>
      </c>
      <c r="P99" s="774" t="str">
        <f>IF($C99=0,"",SUMIFS(INPUT_DATA!BF:BF,INPUT_DATA!$A:$A,$C99,INPUT_DATA!$C:$C,"S"))</f>
        <v/>
      </c>
      <c r="Q99" s="780" t="str">
        <f t="shared" si="15"/>
        <v/>
      </c>
      <c r="R99" s="782" t="str">
        <f>IF($C99=0,"",SUMIFS(INPUT_DATA!BH:BH,INPUT_DATA!$A:$A,$C99,INPUT_DATA!$C:$C,"S"))</f>
        <v/>
      </c>
      <c r="S99" s="782" t="str">
        <f>IF($C99=0,"",SUMIFS(INPUT_DATA!BI:BI,INPUT_DATA!$A:$A,$C99,INPUT_DATA!$C:$C,"S"))</f>
        <v/>
      </c>
      <c r="T99" s="780" t="str">
        <f t="shared" si="16"/>
        <v/>
      </c>
      <c r="U99" s="785" t="str">
        <f>IF($C99=0,"",SUMIFS(INPUT_DATA!BL:BL,INPUT_DATA!$A:$A,$C99,INPUT_DATA!$C:$C,"S"))</f>
        <v/>
      </c>
      <c r="V99" s="155" t="str">
        <f t="shared" si="11"/>
        <v/>
      </c>
      <c r="W99" s="149"/>
      <c r="X99" s="762" t="str">
        <f>IF($C99=0,"",SUMIFS(INPUT_DATA!AU:AU,INPUT_DATA!$A:$A,$C99,INPUT_DATA!$C:$C,"D"))</f>
        <v/>
      </c>
      <c r="Y99" s="774" t="str">
        <f>IF($C99=0,"",SUMIFS(INPUT_DATA!AV:AV,INPUT_DATA!$A:$A,$C99,INPUT_DATA!$C:$C,"D"))</f>
        <v/>
      </c>
      <c r="Z99" s="774" t="str">
        <f>IF($C99=0,"",SUMIFS(INPUT_DATA!AW:AW,INPUT_DATA!$A:$A,$C99,INPUT_DATA!$C:$C,"D"))</f>
        <v/>
      </c>
      <c r="AA99" s="775" t="str">
        <f t="shared" si="12"/>
        <v/>
      </c>
      <c r="AB99" s="774" t="str">
        <f>IF($C99=0,"",SUMIFS(INPUT_DATA!AX:AX,INPUT_DATA!$A:$A,$C99,INPUT_DATA!$C:$C,"D"))</f>
        <v/>
      </c>
      <c r="AC99" s="774" t="str">
        <f>IF($C99=0,"",SUMIFS(INPUT_DATA!AY:AY,INPUT_DATA!$A:$A,$C99,INPUT_DATA!$C:$C,"D"))</f>
        <v/>
      </c>
      <c r="AD99" s="774" t="str">
        <f>IF($C99=0,"",SUMIFS(INPUT_DATA!AZ:AZ,INPUT_DATA!$A:$A,$C99,INPUT_DATA!$C:$C,"D"))</f>
        <v/>
      </c>
      <c r="AE99" s="774" t="str">
        <f>IF($C99=0,"",SUMIFS(INPUT_DATA!BA:BA,INPUT_DATA!$A:$A,$C99,INPUT_DATA!$C:$C,"D"))</f>
        <v/>
      </c>
      <c r="AF99" s="774" t="str">
        <f>IF($C99=0,"",SUMIFS(INPUT_DATA!BB:BB,INPUT_DATA!$A:$A,$C99,INPUT_DATA!$C:$C,"D"))</f>
        <v/>
      </c>
      <c r="AG99" s="774" t="str">
        <f>IF($C99=0,"",SUMIFS(INPUT_DATA!BC:BC,INPUT_DATA!$A:$A,$C99,INPUT_DATA!$C:$C,"D"))</f>
        <v/>
      </c>
      <c r="AH99" s="774" t="str">
        <f>IF($C99=0,"",SUMIFS(INPUT_DATA!BD:BD,INPUT_DATA!$A:$A,$C99,INPUT_DATA!$C:$C,"D"))</f>
        <v/>
      </c>
      <c r="AI99" s="774" t="str">
        <f>IF($C99=0,"",SUMIFS(INPUT_DATA!BE:BE,INPUT_DATA!$A:$A,$C99,INPUT_DATA!$C:$C,"D"))</f>
        <v/>
      </c>
      <c r="AJ99" s="315" t="str">
        <f t="shared" si="13"/>
        <v/>
      </c>
      <c r="AK99" s="782" t="str">
        <f>IF($C99=0,"",SUMIFS(INPUT_DATA!BG:BG,INPUT_DATA!$A:$A,$C99,INPUT_DATA!$C:$C,"D"))</f>
        <v/>
      </c>
      <c r="AL99" s="782" t="str">
        <f>IF($C99=0,"",SUMIFS(INPUT_DATA!BH:BH,INPUT_DATA!$A:$A,$C99,INPUT_DATA!$C:$C,"D"))</f>
        <v/>
      </c>
      <c r="AM99" s="782" t="str">
        <f>IF($C99=0,"",SUMIFS(INPUT_DATA!BI:BI,INPUT_DATA!$A:$A,$C99,INPUT_DATA!$C:$C,"D"))</f>
        <v/>
      </c>
      <c r="AN99" s="780" t="str">
        <f t="shared" si="17"/>
        <v/>
      </c>
      <c r="AO99" s="785" t="str">
        <f>IF($C99=0,"",SUMIFS(INPUT_DATA!BK:BK,INPUT_DATA!$A:$A,$C99,INPUT_DATA!$C:$C,"D"))</f>
        <v/>
      </c>
      <c r="AP99" s="355" t="str">
        <f t="shared" si="18"/>
        <v/>
      </c>
      <c r="AQ99" s="149"/>
      <c r="AS99" s="355" t="str">
        <f t="shared" si="19"/>
        <v/>
      </c>
      <c r="AU99" s="391" t="str">
        <f>IF($C99=0,"",'03 - Monthly Asset Follow up'!E103+'03 - Monthly Asset Follow up'!F103-'03 - Monthly Asset Follow up'!U103+'03 - Monthly Asset Follow up'!X103-H99)</f>
        <v/>
      </c>
      <c r="AV99" s="391" t="str">
        <f>IF($C99=0,"",'03 - Monthly Asset Follow up'!BD103+'03 - Monthly Asset Follow up'!BE103-'03 - Monthly Asset Follow up'!BT103+'03 - Monthly Asset Follow up'!BW103)</f>
        <v/>
      </c>
      <c r="AX99" s="154"/>
    </row>
    <row r="100" spans="2:50" ht="13" x14ac:dyDescent="0.3">
      <c r="B100" s="766" t="str">
        <f t="shared" si="14"/>
        <v/>
      </c>
      <c r="C100" s="769">
        <f>'03 - Monthly Asset Follow up'!B104</f>
        <v>0</v>
      </c>
      <c r="D100" s="149"/>
      <c r="E100" s="762" t="str">
        <f>IF($C100=0,"",SUMIFS(INPUT_DATA!AU:AU,INPUT_DATA!$A:$A,$C100,INPUT_DATA!$C:$C,"S"))</f>
        <v/>
      </c>
      <c r="F100" s="774" t="str">
        <f>IF($C100=0,"",SUMIFS(INPUT_DATA!AV:AV,INPUT_DATA!$A:$A,$C100,INPUT_DATA!$C:$C,"S"))</f>
        <v/>
      </c>
      <c r="G100" s="774" t="str">
        <f>IF($C100=0,"",SUMIFS(INPUT_DATA!AW:AW,INPUT_DATA!$A:$A,$C100,INPUT_DATA!$C:$C,"S"))</f>
        <v/>
      </c>
      <c r="H100" s="776" t="str">
        <f t="shared" si="10"/>
        <v/>
      </c>
      <c r="I100" s="774" t="str">
        <f>IF($C100=0,"",SUMIFS(INPUT_DATA!AY:AY,INPUT_DATA!$A:$A,$C100,INPUT_DATA!$C:$C,"S"))</f>
        <v/>
      </c>
      <c r="J100" s="774" t="str">
        <f>IF($C100=0,"",SUMIFS(INPUT_DATA!AZ:AZ,INPUT_DATA!$A:$A,$C100,INPUT_DATA!$C:$C,"S"))</f>
        <v/>
      </c>
      <c r="K100" s="774" t="str">
        <f>IF($C100=0,"",SUMIFS(INPUT_DATA!BA:BA,INPUT_DATA!$A:$A,$C100,INPUT_DATA!$C:$C,"S"))</f>
        <v/>
      </c>
      <c r="L100" s="774" t="str">
        <f>IF($C100=0,"",SUMIFS(INPUT_DATA!BB:BB,INPUT_DATA!$A:$A,$C100,INPUT_DATA!$C:$C,"S"))</f>
        <v/>
      </c>
      <c r="M100" s="774" t="str">
        <f>IF($C100=0,"",SUMIFS(INPUT_DATA!BC:BC,INPUT_DATA!$A:$A,$C100,INPUT_DATA!$C:$C,"S"))</f>
        <v/>
      </c>
      <c r="N100" s="774" t="str">
        <f>IF($C100=0,"",SUMIFS(INPUT_DATA!BD:BD,INPUT_DATA!$A:$A,$C100,INPUT_DATA!$C:$C,"S"))</f>
        <v/>
      </c>
      <c r="O100" s="774" t="str">
        <f>IF($C100=0,"",SUMIFS(INPUT_DATA!BE:BE,INPUT_DATA!$A:$A,$C100,INPUT_DATA!$C:$C,"S"))</f>
        <v/>
      </c>
      <c r="P100" s="774" t="str">
        <f>IF($C100=0,"",SUMIFS(INPUT_DATA!BF:BF,INPUT_DATA!$A:$A,$C100,INPUT_DATA!$C:$C,"S"))</f>
        <v/>
      </c>
      <c r="Q100" s="780" t="str">
        <f t="shared" si="15"/>
        <v/>
      </c>
      <c r="R100" s="782" t="str">
        <f>IF($C100=0,"",SUMIFS(INPUT_DATA!BH:BH,INPUT_DATA!$A:$A,$C100,INPUT_DATA!$C:$C,"S"))</f>
        <v/>
      </c>
      <c r="S100" s="782" t="str">
        <f>IF($C100=0,"",SUMIFS(INPUT_DATA!BI:BI,INPUT_DATA!$A:$A,$C100,INPUT_DATA!$C:$C,"S"))</f>
        <v/>
      </c>
      <c r="T100" s="780" t="str">
        <f t="shared" si="16"/>
        <v/>
      </c>
      <c r="U100" s="785" t="str">
        <f>IF($C100=0,"",SUMIFS(INPUT_DATA!BL:BL,INPUT_DATA!$A:$A,$C100,INPUT_DATA!$C:$C,"S"))</f>
        <v/>
      </c>
      <c r="V100" s="155" t="str">
        <f t="shared" si="11"/>
        <v/>
      </c>
      <c r="W100" s="149"/>
      <c r="X100" s="762" t="str">
        <f>IF($C100=0,"",SUMIFS(INPUT_DATA!AU:AU,INPUT_DATA!$A:$A,$C100,INPUT_DATA!$C:$C,"D"))</f>
        <v/>
      </c>
      <c r="Y100" s="774" t="str">
        <f>IF($C100=0,"",SUMIFS(INPUT_DATA!AV:AV,INPUT_DATA!$A:$A,$C100,INPUT_DATA!$C:$C,"D"))</f>
        <v/>
      </c>
      <c r="Z100" s="774" t="str">
        <f>IF($C100=0,"",SUMIFS(INPUT_DATA!AW:AW,INPUT_DATA!$A:$A,$C100,INPUT_DATA!$C:$C,"D"))</f>
        <v/>
      </c>
      <c r="AA100" s="775" t="str">
        <f t="shared" si="12"/>
        <v/>
      </c>
      <c r="AB100" s="774" t="str">
        <f>IF($C100=0,"",SUMIFS(INPUT_DATA!AX:AX,INPUT_DATA!$A:$A,$C100,INPUT_DATA!$C:$C,"D"))</f>
        <v/>
      </c>
      <c r="AC100" s="774" t="str">
        <f>IF($C100=0,"",SUMIFS(INPUT_DATA!AY:AY,INPUT_DATA!$A:$A,$C100,INPUT_DATA!$C:$C,"D"))</f>
        <v/>
      </c>
      <c r="AD100" s="774" t="str">
        <f>IF($C100=0,"",SUMIFS(INPUT_DATA!AZ:AZ,INPUT_DATA!$A:$A,$C100,INPUT_DATA!$C:$C,"D"))</f>
        <v/>
      </c>
      <c r="AE100" s="774" t="str">
        <f>IF($C100=0,"",SUMIFS(INPUT_DATA!BA:BA,INPUT_DATA!$A:$A,$C100,INPUT_DATA!$C:$C,"D"))</f>
        <v/>
      </c>
      <c r="AF100" s="774" t="str">
        <f>IF($C100=0,"",SUMIFS(INPUT_DATA!BB:BB,INPUT_DATA!$A:$A,$C100,INPUT_DATA!$C:$C,"D"))</f>
        <v/>
      </c>
      <c r="AG100" s="774" t="str">
        <f>IF($C100=0,"",SUMIFS(INPUT_DATA!BC:BC,INPUT_DATA!$A:$A,$C100,INPUT_DATA!$C:$C,"D"))</f>
        <v/>
      </c>
      <c r="AH100" s="774" t="str">
        <f>IF($C100=0,"",SUMIFS(INPUT_DATA!BD:BD,INPUT_DATA!$A:$A,$C100,INPUT_DATA!$C:$C,"D"))</f>
        <v/>
      </c>
      <c r="AI100" s="774" t="str">
        <f>IF($C100=0,"",SUMIFS(INPUT_DATA!BE:BE,INPUT_DATA!$A:$A,$C100,INPUT_DATA!$C:$C,"D"))</f>
        <v/>
      </c>
      <c r="AJ100" s="315" t="str">
        <f t="shared" si="13"/>
        <v/>
      </c>
      <c r="AK100" s="782" t="str">
        <f>IF($C100=0,"",SUMIFS(INPUT_DATA!BG:BG,INPUT_DATA!$A:$A,$C100,INPUT_DATA!$C:$C,"D"))</f>
        <v/>
      </c>
      <c r="AL100" s="782" t="str">
        <f>IF($C100=0,"",SUMIFS(INPUT_DATA!BH:BH,INPUT_DATA!$A:$A,$C100,INPUT_DATA!$C:$C,"D"))</f>
        <v/>
      </c>
      <c r="AM100" s="782" t="str">
        <f>IF($C100=0,"",SUMIFS(INPUT_DATA!BI:BI,INPUT_DATA!$A:$A,$C100,INPUT_DATA!$C:$C,"D"))</f>
        <v/>
      </c>
      <c r="AN100" s="780" t="str">
        <f t="shared" si="17"/>
        <v/>
      </c>
      <c r="AO100" s="785" t="str">
        <f>IF($C100=0,"",SUMIFS(INPUT_DATA!BK:BK,INPUT_DATA!$A:$A,$C100,INPUT_DATA!$C:$C,"D"))</f>
        <v/>
      </c>
      <c r="AP100" s="355" t="str">
        <f t="shared" si="18"/>
        <v/>
      </c>
      <c r="AQ100" s="149"/>
      <c r="AS100" s="355" t="str">
        <f t="shared" si="19"/>
        <v/>
      </c>
      <c r="AU100" s="391" t="str">
        <f>IF($C100=0,"",'03 - Monthly Asset Follow up'!E104+'03 - Monthly Asset Follow up'!F104-'03 - Monthly Asset Follow up'!U104+'03 - Monthly Asset Follow up'!X104-H100)</f>
        <v/>
      </c>
      <c r="AV100" s="391" t="str">
        <f>IF($C100=0,"",'03 - Monthly Asset Follow up'!BD104+'03 - Monthly Asset Follow up'!BE104-'03 - Monthly Asset Follow up'!BT104+'03 - Monthly Asset Follow up'!BW104)</f>
        <v/>
      </c>
      <c r="AX100" s="154"/>
    </row>
    <row r="101" spans="2:50" ht="13" x14ac:dyDescent="0.3">
      <c r="B101" s="766" t="str">
        <f t="shared" si="14"/>
        <v/>
      </c>
      <c r="C101" s="769">
        <f>'03 - Monthly Asset Follow up'!B105</f>
        <v>0</v>
      </c>
      <c r="D101" s="149"/>
      <c r="E101" s="762" t="str">
        <f>IF($C101=0,"",SUMIFS(INPUT_DATA!AU:AU,INPUT_DATA!$A:$A,$C101,INPUT_DATA!$C:$C,"S"))</f>
        <v/>
      </c>
      <c r="F101" s="774" t="str">
        <f>IF($C101=0,"",SUMIFS(INPUT_DATA!AV:AV,INPUT_DATA!$A:$A,$C101,INPUT_DATA!$C:$C,"S"))</f>
        <v/>
      </c>
      <c r="G101" s="774" t="str">
        <f>IF($C101=0,"",SUMIFS(INPUT_DATA!AW:AW,INPUT_DATA!$A:$A,$C101,INPUT_DATA!$C:$C,"S"))</f>
        <v/>
      </c>
      <c r="H101" s="776" t="str">
        <f t="shared" si="10"/>
        <v/>
      </c>
      <c r="I101" s="774" t="str">
        <f>IF($C101=0,"",SUMIFS(INPUT_DATA!AY:AY,INPUT_DATA!$A:$A,$C101,INPUT_DATA!$C:$C,"S"))</f>
        <v/>
      </c>
      <c r="J101" s="774" t="str">
        <f>IF($C101=0,"",SUMIFS(INPUT_DATA!AZ:AZ,INPUT_DATA!$A:$A,$C101,INPUT_DATA!$C:$C,"S"))</f>
        <v/>
      </c>
      <c r="K101" s="774" t="str">
        <f>IF($C101=0,"",SUMIFS(INPUT_DATA!BA:BA,INPUT_DATA!$A:$A,$C101,INPUT_DATA!$C:$C,"S"))</f>
        <v/>
      </c>
      <c r="L101" s="774" t="str">
        <f>IF($C101=0,"",SUMIFS(INPUT_DATA!BB:BB,INPUT_DATA!$A:$A,$C101,INPUT_DATA!$C:$C,"S"))</f>
        <v/>
      </c>
      <c r="M101" s="774" t="str">
        <f>IF($C101=0,"",SUMIFS(INPUT_DATA!BC:BC,INPUT_DATA!$A:$A,$C101,INPUT_DATA!$C:$C,"S"))</f>
        <v/>
      </c>
      <c r="N101" s="774" t="str">
        <f>IF($C101=0,"",SUMIFS(INPUT_DATA!BD:BD,INPUT_DATA!$A:$A,$C101,INPUT_DATA!$C:$C,"S"))</f>
        <v/>
      </c>
      <c r="O101" s="774" t="str">
        <f>IF($C101=0,"",SUMIFS(INPUT_DATA!BE:BE,INPUT_DATA!$A:$A,$C101,INPUT_DATA!$C:$C,"S"))</f>
        <v/>
      </c>
      <c r="P101" s="774" t="str">
        <f>IF($C101=0,"",SUMIFS(INPUT_DATA!BF:BF,INPUT_DATA!$A:$A,$C101,INPUT_DATA!$C:$C,"S"))</f>
        <v/>
      </c>
      <c r="Q101" s="780" t="str">
        <f t="shared" si="15"/>
        <v/>
      </c>
      <c r="R101" s="782" t="str">
        <f>IF($C101=0,"",SUMIFS(INPUT_DATA!BH:BH,INPUT_DATA!$A:$A,$C101,INPUT_DATA!$C:$C,"S"))</f>
        <v/>
      </c>
      <c r="S101" s="782" t="str">
        <f>IF($C101=0,"",SUMIFS(INPUT_DATA!BI:BI,INPUT_DATA!$A:$A,$C101,INPUT_DATA!$C:$C,"S"))</f>
        <v/>
      </c>
      <c r="T101" s="780" t="str">
        <f t="shared" si="16"/>
        <v/>
      </c>
      <c r="U101" s="785" t="str">
        <f>IF($C101=0,"",SUMIFS(INPUT_DATA!BL:BL,INPUT_DATA!$A:$A,$C101,INPUT_DATA!$C:$C,"S"))</f>
        <v/>
      </c>
      <c r="V101" s="155" t="str">
        <f t="shared" si="11"/>
        <v/>
      </c>
      <c r="W101" s="149"/>
      <c r="X101" s="762" t="str">
        <f>IF($C101=0,"",SUMIFS(INPUT_DATA!AU:AU,INPUT_DATA!$A:$A,$C101,INPUT_DATA!$C:$C,"D"))</f>
        <v/>
      </c>
      <c r="Y101" s="774" t="str">
        <f>IF($C101=0,"",SUMIFS(INPUT_DATA!AV:AV,INPUT_DATA!$A:$A,$C101,INPUT_DATA!$C:$C,"D"))</f>
        <v/>
      </c>
      <c r="Z101" s="774" t="str">
        <f>IF($C101=0,"",SUMIFS(INPUT_DATA!AW:AW,INPUT_DATA!$A:$A,$C101,INPUT_DATA!$C:$C,"D"))</f>
        <v/>
      </c>
      <c r="AA101" s="775" t="str">
        <f t="shared" si="12"/>
        <v/>
      </c>
      <c r="AB101" s="774" t="str">
        <f>IF($C101=0,"",SUMIFS(INPUT_DATA!AX:AX,INPUT_DATA!$A:$A,$C101,INPUT_DATA!$C:$C,"D"))</f>
        <v/>
      </c>
      <c r="AC101" s="774" t="str">
        <f>IF($C101=0,"",SUMIFS(INPUT_DATA!AY:AY,INPUT_DATA!$A:$A,$C101,INPUT_DATA!$C:$C,"D"))</f>
        <v/>
      </c>
      <c r="AD101" s="774" t="str">
        <f>IF($C101=0,"",SUMIFS(INPUT_DATA!AZ:AZ,INPUT_DATA!$A:$A,$C101,INPUT_DATA!$C:$C,"D"))</f>
        <v/>
      </c>
      <c r="AE101" s="774" t="str">
        <f>IF($C101=0,"",SUMIFS(INPUT_DATA!BA:BA,INPUT_DATA!$A:$A,$C101,INPUT_DATA!$C:$C,"D"))</f>
        <v/>
      </c>
      <c r="AF101" s="774" t="str">
        <f>IF($C101=0,"",SUMIFS(INPUT_DATA!BB:BB,INPUT_DATA!$A:$A,$C101,INPUT_DATA!$C:$C,"D"))</f>
        <v/>
      </c>
      <c r="AG101" s="774" t="str">
        <f>IF($C101=0,"",SUMIFS(INPUT_DATA!BC:BC,INPUT_DATA!$A:$A,$C101,INPUT_DATA!$C:$C,"D"))</f>
        <v/>
      </c>
      <c r="AH101" s="774" t="str">
        <f>IF($C101=0,"",SUMIFS(INPUT_DATA!BD:BD,INPUT_DATA!$A:$A,$C101,INPUT_DATA!$C:$C,"D"))</f>
        <v/>
      </c>
      <c r="AI101" s="774" t="str">
        <f>IF($C101=0,"",SUMIFS(INPUT_DATA!BE:BE,INPUT_DATA!$A:$A,$C101,INPUT_DATA!$C:$C,"D"))</f>
        <v/>
      </c>
      <c r="AJ101" s="315" t="str">
        <f t="shared" si="13"/>
        <v/>
      </c>
      <c r="AK101" s="782" t="str">
        <f>IF($C101=0,"",SUMIFS(INPUT_DATA!BG:BG,INPUT_DATA!$A:$A,$C101,INPUT_DATA!$C:$C,"D"))</f>
        <v/>
      </c>
      <c r="AL101" s="782" t="str">
        <f>IF($C101=0,"",SUMIFS(INPUT_DATA!BH:BH,INPUT_DATA!$A:$A,$C101,INPUT_DATA!$C:$C,"D"))</f>
        <v/>
      </c>
      <c r="AM101" s="782" t="str">
        <f>IF($C101=0,"",SUMIFS(INPUT_DATA!BI:BI,INPUT_DATA!$A:$A,$C101,INPUT_DATA!$C:$C,"D"))</f>
        <v/>
      </c>
      <c r="AN101" s="780" t="str">
        <f t="shared" si="17"/>
        <v/>
      </c>
      <c r="AO101" s="785" t="str">
        <f>IF($C101=0,"",SUMIFS(INPUT_DATA!BK:BK,INPUT_DATA!$A:$A,$C101,INPUT_DATA!$C:$C,"D"))</f>
        <v/>
      </c>
      <c r="AP101" s="355" t="str">
        <f t="shared" si="18"/>
        <v/>
      </c>
      <c r="AQ101" s="149"/>
      <c r="AS101" s="355" t="str">
        <f t="shared" si="19"/>
        <v/>
      </c>
      <c r="AU101" s="391" t="str">
        <f>IF($C101=0,"",'03 - Monthly Asset Follow up'!E105+'03 - Monthly Asset Follow up'!F105-'03 - Monthly Asset Follow up'!U105+'03 - Monthly Asset Follow up'!X105-H101)</f>
        <v/>
      </c>
      <c r="AV101" s="391" t="str">
        <f>IF($C101=0,"",'03 - Monthly Asset Follow up'!BD105+'03 - Monthly Asset Follow up'!BE105-'03 - Monthly Asset Follow up'!BT105+'03 - Monthly Asset Follow up'!BW105)</f>
        <v/>
      </c>
      <c r="AX101" s="154"/>
    </row>
    <row r="102" spans="2:50" ht="13" x14ac:dyDescent="0.3">
      <c r="B102" s="766" t="str">
        <f t="shared" si="14"/>
        <v/>
      </c>
      <c r="C102" s="769">
        <f>'03 - Monthly Asset Follow up'!B106</f>
        <v>0</v>
      </c>
      <c r="D102" s="149"/>
      <c r="E102" s="762" t="str">
        <f>IF($C102=0,"",SUMIFS(INPUT_DATA!AU:AU,INPUT_DATA!$A:$A,$C102,INPUT_DATA!$C:$C,"S"))</f>
        <v/>
      </c>
      <c r="F102" s="774" t="str">
        <f>IF($C102=0,"",SUMIFS(INPUT_DATA!AV:AV,INPUT_DATA!$A:$A,$C102,INPUT_DATA!$C:$C,"S"))</f>
        <v/>
      </c>
      <c r="G102" s="774" t="str">
        <f>IF($C102=0,"",SUMIFS(INPUT_DATA!AW:AW,INPUT_DATA!$A:$A,$C102,INPUT_DATA!$C:$C,"S"))</f>
        <v/>
      </c>
      <c r="H102" s="776" t="str">
        <f t="shared" si="10"/>
        <v/>
      </c>
      <c r="I102" s="774" t="str">
        <f>IF($C102=0,"",SUMIFS(INPUT_DATA!AY:AY,INPUT_DATA!$A:$A,$C102,INPUT_DATA!$C:$C,"S"))</f>
        <v/>
      </c>
      <c r="J102" s="774" t="str">
        <f>IF($C102=0,"",SUMIFS(INPUT_DATA!AZ:AZ,INPUT_DATA!$A:$A,$C102,INPUT_DATA!$C:$C,"S"))</f>
        <v/>
      </c>
      <c r="K102" s="774" t="str">
        <f>IF($C102=0,"",SUMIFS(INPUT_DATA!BA:BA,INPUT_DATA!$A:$A,$C102,INPUT_DATA!$C:$C,"S"))</f>
        <v/>
      </c>
      <c r="L102" s="774" t="str">
        <f>IF($C102=0,"",SUMIFS(INPUT_DATA!BB:BB,INPUT_DATA!$A:$A,$C102,INPUT_DATA!$C:$C,"S"))</f>
        <v/>
      </c>
      <c r="M102" s="774" t="str">
        <f>IF($C102=0,"",SUMIFS(INPUT_DATA!BC:BC,INPUT_DATA!$A:$A,$C102,INPUT_DATA!$C:$C,"S"))</f>
        <v/>
      </c>
      <c r="N102" s="774" t="str">
        <f>IF($C102=0,"",SUMIFS(INPUT_DATA!BD:BD,INPUT_DATA!$A:$A,$C102,INPUT_DATA!$C:$C,"S"))</f>
        <v/>
      </c>
      <c r="O102" s="774" t="str">
        <f>IF($C102=0,"",SUMIFS(INPUT_DATA!BE:BE,INPUT_DATA!$A:$A,$C102,INPUT_DATA!$C:$C,"S"))</f>
        <v/>
      </c>
      <c r="P102" s="774" t="str">
        <f>IF($C102=0,"",SUMIFS(INPUT_DATA!BF:BF,INPUT_DATA!$A:$A,$C102,INPUT_DATA!$C:$C,"S"))</f>
        <v/>
      </c>
      <c r="Q102" s="780" t="str">
        <f t="shared" si="15"/>
        <v/>
      </c>
      <c r="R102" s="782" t="str">
        <f>IF($C102=0,"",SUMIFS(INPUT_DATA!BH:BH,INPUT_DATA!$A:$A,$C102,INPUT_DATA!$C:$C,"S"))</f>
        <v/>
      </c>
      <c r="S102" s="782" t="str">
        <f>IF($C102=0,"",SUMIFS(INPUT_DATA!BI:BI,INPUT_DATA!$A:$A,$C102,INPUT_DATA!$C:$C,"S"))</f>
        <v/>
      </c>
      <c r="T102" s="780" t="str">
        <f t="shared" si="16"/>
        <v/>
      </c>
      <c r="U102" s="785" t="str">
        <f>IF($C102=0,"",SUMIFS(INPUT_DATA!BL:BL,INPUT_DATA!$A:$A,$C102,INPUT_DATA!$C:$C,"S"))</f>
        <v/>
      </c>
      <c r="V102" s="155" t="str">
        <f t="shared" si="11"/>
        <v/>
      </c>
      <c r="W102" s="149"/>
      <c r="X102" s="762" t="str">
        <f>IF($C102=0,"",SUMIFS(INPUT_DATA!AU:AU,INPUT_DATA!$A:$A,$C102,INPUT_DATA!$C:$C,"D"))</f>
        <v/>
      </c>
      <c r="Y102" s="774" t="str">
        <f>IF($C102=0,"",SUMIFS(INPUT_DATA!AV:AV,INPUT_DATA!$A:$A,$C102,INPUT_DATA!$C:$C,"D"))</f>
        <v/>
      </c>
      <c r="Z102" s="774" t="str">
        <f>IF($C102=0,"",SUMIFS(INPUT_DATA!AW:AW,INPUT_DATA!$A:$A,$C102,INPUT_DATA!$C:$C,"D"))</f>
        <v/>
      </c>
      <c r="AA102" s="775" t="str">
        <f t="shared" si="12"/>
        <v/>
      </c>
      <c r="AB102" s="774" t="str">
        <f>IF($C102=0,"",SUMIFS(INPUT_DATA!AX:AX,INPUT_DATA!$A:$A,$C102,INPUT_DATA!$C:$C,"D"))</f>
        <v/>
      </c>
      <c r="AC102" s="774" t="str">
        <f>IF($C102=0,"",SUMIFS(INPUT_DATA!AY:AY,INPUT_DATA!$A:$A,$C102,INPUT_DATA!$C:$C,"D"))</f>
        <v/>
      </c>
      <c r="AD102" s="774" t="str">
        <f>IF($C102=0,"",SUMIFS(INPUT_DATA!AZ:AZ,INPUT_DATA!$A:$A,$C102,INPUT_DATA!$C:$C,"D"))</f>
        <v/>
      </c>
      <c r="AE102" s="774" t="str">
        <f>IF($C102=0,"",SUMIFS(INPUT_DATA!BA:BA,INPUT_DATA!$A:$A,$C102,INPUT_DATA!$C:$C,"D"))</f>
        <v/>
      </c>
      <c r="AF102" s="774" t="str">
        <f>IF($C102=0,"",SUMIFS(INPUT_DATA!BB:BB,INPUT_DATA!$A:$A,$C102,INPUT_DATA!$C:$C,"D"))</f>
        <v/>
      </c>
      <c r="AG102" s="774" t="str">
        <f>IF($C102=0,"",SUMIFS(INPUT_DATA!BC:BC,INPUT_DATA!$A:$A,$C102,INPUT_DATA!$C:$C,"D"))</f>
        <v/>
      </c>
      <c r="AH102" s="774" t="str">
        <f>IF($C102=0,"",SUMIFS(INPUT_DATA!BD:BD,INPUT_DATA!$A:$A,$C102,INPUT_DATA!$C:$C,"D"))</f>
        <v/>
      </c>
      <c r="AI102" s="774" t="str">
        <f>IF($C102=0,"",SUMIFS(INPUT_DATA!BE:BE,INPUT_DATA!$A:$A,$C102,INPUT_DATA!$C:$C,"D"))</f>
        <v/>
      </c>
      <c r="AJ102" s="315" t="str">
        <f t="shared" si="13"/>
        <v/>
      </c>
      <c r="AK102" s="782" t="str">
        <f>IF($C102=0,"",SUMIFS(INPUT_DATA!BG:BG,INPUT_DATA!$A:$A,$C102,INPUT_DATA!$C:$C,"D"))</f>
        <v/>
      </c>
      <c r="AL102" s="782" t="str">
        <f>IF($C102=0,"",SUMIFS(INPUT_DATA!BH:BH,INPUT_DATA!$A:$A,$C102,INPUT_DATA!$C:$C,"D"))</f>
        <v/>
      </c>
      <c r="AM102" s="782" t="str">
        <f>IF($C102=0,"",SUMIFS(INPUT_DATA!BI:BI,INPUT_DATA!$A:$A,$C102,INPUT_DATA!$C:$C,"D"))</f>
        <v/>
      </c>
      <c r="AN102" s="780" t="str">
        <f t="shared" si="17"/>
        <v/>
      </c>
      <c r="AO102" s="785" t="str">
        <f>IF($C102=0,"",SUMIFS(INPUT_DATA!BK:BK,INPUT_DATA!$A:$A,$C102,INPUT_DATA!$C:$C,"D"))</f>
        <v/>
      </c>
      <c r="AP102" s="355" t="str">
        <f t="shared" si="18"/>
        <v/>
      </c>
      <c r="AQ102" s="149"/>
      <c r="AS102" s="355" t="str">
        <f t="shared" si="19"/>
        <v/>
      </c>
      <c r="AU102" s="391" t="str">
        <f>IF($C102=0,"",'03 - Monthly Asset Follow up'!E106+'03 - Monthly Asset Follow up'!F106-'03 - Monthly Asset Follow up'!U106+'03 - Monthly Asset Follow up'!X106-H102)</f>
        <v/>
      </c>
      <c r="AV102" s="391" t="str">
        <f>IF($C102=0,"",'03 - Monthly Asset Follow up'!BD106+'03 - Monthly Asset Follow up'!BE106-'03 - Monthly Asset Follow up'!BT106+'03 - Monthly Asset Follow up'!BW106)</f>
        <v/>
      </c>
      <c r="AX102" s="154"/>
    </row>
    <row r="103" spans="2:50" ht="13" x14ac:dyDescent="0.3">
      <c r="B103" s="766" t="str">
        <f t="shared" si="14"/>
        <v/>
      </c>
      <c r="C103" s="769">
        <f>'03 - Monthly Asset Follow up'!B107</f>
        <v>0</v>
      </c>
      <c r="D103" s="149"/>
      <c r="E103" s="762" t="str">
        <f>IF($C103=0,"",SUMIFS(INPUT_DATA!AU:AU,INPUT_DATA!$A:$A,$C103,INPUT_DATA!$C:$C,"S"))</f>
        <v/>
      </c>
      <c r="F103" s="774" t="str">
        <f>IF($C103=0,"",SUMIFS(INPUT_DATA!AV:AV,INPUT_DATA!$A:$A,$C103,INPUT_DATA!$C:$C,"S"))</f>
        <v/>
      </c>
      <c r="G103" s="774" t="str">
        <f>IF($C103=0,"",SUMIFS(INPUT_DATA!AW:AW,INPUT_DATA!$A:$A,$C103,INPUT_DATA!$C:$C,"S"))</f>
        <v/>
      </c>
      <c r="H103" s="776" t="str">
        <f t="shared" si="10"/>
        <v/>
      </c>
      <c r="I103" s="774" t="str">
        <f>IF($C103=0,"",SUMIFS(INPUT_DATA!AY:AY,INPUT_DATA!$A:$A,$C103,INPUT_DATA!$C:$C,"S"))</f>
        <v/>
      </c>
      <c r="J103" s="774" t="str">
        <f>IF($C103=0,"",SUMIFS(INPUT_DATA!AZ:AZ,INPUT_DATA!$A:$A,$C103,INPUT_DATA!$C:$C,"S"))</f>
        <v/>
      </c>
      <c r="K103" s="774" t="str">
        <f>IF($C103=0,"",SUMIFS(INPUT_DATA!BA:BA,INPUT_DATA!$A:$A,$C103,INPUT_DATA!$C:$C,"S"))</f>
        <v/>
      </c>
      <c r="L103" s="774" t="str">
        <f>IF($C103=0,"",SUMIFS(INPUT_DATA!BB:BB,INPUT_DATA!$A:$A,$C103,INPUT_DATA!$C:$C,"S"))</f>
        <v/>
      </c>
      <c r="M103" s="774" t="str">
        <f>IF($C103=0,"",SUMIFS(INPUT_DATA!BC:BC,INPUT_DATA!$A:$A,$C103,INPUT_DATA!$C:$C,"S"))</f>
        <v/>
      </c>
      <c r="N103" s="774" t="str">
        <f>IF($C103=0,"",SUMIFS(INPUT_DATA!BD:BD,INPUT_DATA!$A:$A,$C103,INPUT_DATA!$C:$C,"S"))</f>
        <v/>
      </c>
      <c r="O103" s="774" t="str">
        <f>IF($C103=0,"",SUMIFS(INPUT_DATA!BE:BE,INPUT_DATA!$A:$A,$C103,INPUT_DATA!$C:$C,"S"))</f>
        <v/>
      </c>
      <c r="P103" s="774" t="str">
        <f>IF($C103=0,"",SUMIFS(INPUT_DATA!BF:BF,INPUT_DATA!$A:$A,$C103,INPUT_DATA!$C:$C,"S"))</f>
        <v/>
      </c>
      <c r="Q103" s="780" t="str">
        <f t="shared" si="15"/>
        <v/>
      </c>
      <c r="R103" s="782" t="str">
        <f>IF($C103=0,"",SUMIFS(INPUT_DATA!BH:BH,INPUT_DATA!$A:$A,$C103,INPUT_DATA!$C:$C,"S"))</f>
        <v/>
      </c>
      <c r="S103" s="782" t="str">
        <f>IF($C103=0,"",SUMIFS(INPUT_DATA!BI:BI,INPUT_DATA!$A:$A,$C103,INPUT_DATA!$C:$C,"S"))</f>
        <v/>
      </c>
      <c r="T103" s="780" t="str">
        <f t="shared" si="16"/>
        <v/>
      </c>
      <c r="U103" s="785" t="str">
        <f>IF($C103=0,"",SUMIFS(INPUT_DATA!BL:BL,INPUT_DATA!$A:$A,$C103,INPUT_DATA!$C:$C,"S"))</f>
        <v/>
      </c>
      <c r="V103" s="155" t="str">
        <f t="shared" si="11"/>
        <v/>
      </c>
      <c r="W103" s="149"/>
      <c r="X103" s="762" t="str">
        <f>IF($C103=0,"",SUMIFS(INPUT_DATA!AU:AU,INPUT_DATA!$A:$A,$C103,INPUT_DATA!$C:$C,"D"))</f>
        <v/>
      </c>
      <c r="Y103" s="774" t="str">
        <f>IF($C103=0,"",SUMIFS(INPUT_DATA!AV:AV,INPUT_DATA!$A:$A,$C103,INPUT_DATA!$C:$C,"D"))</f>
        <v/>
      </c>
      <c r="Z103" s="774" t="str">
        <f>IF($C103=0,"",SUMIFS(INPUT_DATA!AW:AW,INPUT_DATA!$A:$A,$C103,INPUT_DATA!$C:$C,"D"))</f>
        <v/>
      </c>
      <c r="AA103" s="775" t="str">
        <f t="shared" si="12"/>
        <v/>
      </c>
      <c r="AB103" s="774" t="str">
        <f>IF($C103=0,"",SUMIFS(INPUT_DATA!AX:AX,INPUT_DATA!$A:$A,$C103,INPUT_DATA!$C:$C,"D"))</f>
        <v/>
      </c>
      <c r="AC103" s="774" t="str">
        <f>IF($C103=0,"",SUMIFS(INPUT_DATA!AY:AY,INPUT_DATA!$A:$A,$C103,INPUT_DATA!$C:$C,"D"))</f>
        <v/>
      </c>
      <c r="AD103" s="774" t="str">
        <f>IF($C103=0,"",SUMIFS(INPUT_DATA!AZ:AZ,INPUT_DATA!$A:$A,$C103,INPUT_DATA!$C:$C,"D"))</f>
        <v/>
      </c>
      <c r="AE103" s="774" t="str">
        <f>IF($C103=0,"",SUMIFS(INPUT_DATA!BA:BA,INPUT_DATA!$A:$A,$C103,INPUT_DATA!$C:$C,"D"))</f>
        <v/>
      </c>
      <c r="AF103" s="774" t="str">
        <f>IF($C103=0,"",SUMIFS(INPUT_DATA!BB:BB,INPUT_DATA!$A:$A,$C103,INPUT_DATA!$C:$C,"D"))</f>
        <v/>
      </c>
      <c r="AG103" s="774" t="str">
        <f>IF($C103=0,"",SUMIFS(INPUT_DATA!BC:BC,INPUT_DATA!$A:$A,$C103,INPUT_DATA!$C:$C,"D"))</f>
        <v/>
      </c>
      <c r="AH103" s="774" t="str">
        <f>IF($C103=0,"",SUMIFS(INPUT_DATA!BD:BD,INPUT_DATA!$A:$A,$C103,INPUT_DATA!$C:$C,"D"))</f>
        <v/>
      </c>
      <c r="AI103" s="774" t="str">
        <f>IF($C103=0,"",SUMIFS(INPUT_DATA!BE:BE,INPUT_DATA!$A:$A,$C103,INPUT_DATA!$C:$C,"D"))</f>
        <v/>
      </c>
      <c r="AJ103" s="315" t="str">
        <f t="shared" si="13"/>
        <v/>
      </c>
      <c r="AK103" s="782" t="str">
        <f>IF($C103=0,"",SUMIFS(INPUT_DATA!BG:BG,INPUT_DATA!$A:$A,$C103,INPUT_DATA!$C:$C,"D"))</f>
        <v/>
      </c>
      <c r="AL103" s="782" t="str">
        <f>IF($C103=0,"",SUMIFS(INPUT_DATA!BH:BH,INPUT_DATA!$A:$A,$C103,INPUT_DATA!$C:$C,"D"))</f>
        <v/>
      </c>
      <c r="AM103" s="782" t="str">
        <f>IF($C103=0,"",SUMIFS(INPUT_DATA!BI:BI,INPUT_DATA!$A:$A,$C103,INPUT_DATA!$C:$C,"D"))</f>
        <v/>
      </c>
      <c r="AN103" s="780" t="str">
        <f t="shared" si="17"/>
        <v/>
      </c>
      <c r="AO103" s="785" t="str">
        <f>IF($C103=0,"",SUMIFS(INPUT_DATA!BK:BK,INPUT_DATA!$A:$A,$C103,INPUT_DATA!$C:$C,"D"))</f>
        <v/>
      </c>
      <c r="AP103" s="355" t="str">
        <f t="shared" si="18"/>
        <v/>
      </c>
      <c r="AQ103" s="149"/>
      <c r="AS103" s="355" t="str">
        <f t="shared" si="19"/>
        <v/>
      </c>
      <c r="AU103" s="391" t="str">
        <f>IF($C103=0,"",'03 - Monthly Asset Follow up'!E107+'03 - Monthly Asset Follow up'!F107-'03 - Monthly Asset Follow up'!U107+'03 - Monthly Asset Follow up'!X107-H103)</f>
        <v/>
      </c>
      <c r="AV103" s="391" t="str">
        <f>IF($C103=0,"",'03 - Monthly Asset Follow up'!BD107+'03 - Monthly Asset Follow up'!BE107-'03 - Monthly Asset Follow up'!BT107+'03 - Monthly Asset Follow up'!BW107)</f>
        <v/>
      </c>
      <c r="AX103" s="154"/>
    </row>
    <row r="104" spans="2:50" ht="13" x14ac:dyDescent="0.3">
      <c r="B104" s="766" t="str">
        <f t="shared" si="14"/>
        <v/>
      </c>
      <c r="C104" s="769">
        <f>'03 - Monthly Asset Follow up'!B108</f>
        <v>0</v>
      </c>
      <c r="D104" s="149"/>
      <c r="E104" s="762" t="str">
        <f>IF($C104=0,"",SUMIFS(INPUT_DATA!AU:AU,INPUT_DATA!$A:$A,$C104,INPUT_DATA!$C:$C,"S"))</f>
        <v/>
      </c>
      <c r="F104" s="774" t="str">
        <f>IF($C104=0,"",SUMIFS(INPUT_DATA!AV:AV,INPUT_DATA!$A:$A,$C104,INPUT_DATA!$C:$C,"S"))</f>
        <v/>
      </c>
      <c r="G104" s="774" t="str">
        <f>IF($C104=0,"",SUMIFS(INPUT_DATA!AW:AW,INPUT_DATA!$A:$A,$C104,INPUT_DATA!$C:$C,"S"))</f>
        <v/>
      </c>
      <c r="H104" s="776" t="str">
        <f t="shared" si="10"/>
        <v/>
      </c>
      <c r="I104" s="774" t="str">
        <f>IF($C104=0,"",SUMIFS(INPUT_DATA!AY:AY,INPUT_DATA!$A:$A,$C104,INPUT_DATA!$C:$C,"S"))</f>
        <v/>
      </c>
      <c r="J104" s="774" t="str">
        <f>IF($C104=0,"",SUMIFS(INPUT_DATA!AZ:AZ,INPUT_DATA!$A:$A,$C104,INPUT_DATA!$C:$C,"S"))</f>
        <v/>
      </c>
      <c r="K104" s="774" t="str">
        <f>IF($C104=0,"",SUMIFS(INPUT_DATA!BA:BA,INPUT_DATA!$A:$A,$C104,INPUT_DATA!$C:$C,"S"))</f>
        <v/>
      </c>
      <c r="L104" s="774" t="str">
        <f>IF($C104=0,"",SUMIFS(INPUT_DATA!BB:BB,INPUT_DATA!$A:$A,$C104,INPUT_DATA!$C:$C,"S"))</f>
        <v/>
      </c>
      <c r="M104" s="774" t="str">
        <f>IF($C104=0,"",SUMIFS(INPUT_DATA!BC:BC,INPUT_DATA!$A:$A,$C104,INPUT_DATA!$C:$C,"S"))</f>
        <v/>
      </c>
      <c r="N104" s="774" t="str">
        <f>IF($C104=0,"",SUMIFS(INPUT_DATA!BD:BD,INPUT_DATA!$A:$A,$C104,INPUT_DATA!$C:$C,"S"))</f>
        <v/>
      </c>
      <c r="O104" s="774" t="str">
        <f>IF($C104=0,"",SUMIFS(INPUT_DATA!BE:BE,INPUT_DATA!$A:$A,$C104,INPUT_DATA!$C:$C,"S"))</f>
        <v/>
      </c>
      <c r="P104" s="774" t="str">
        <f>IF($C104=0,"",SUMIFS(INPUT_DATA!BF:BF,INPUT_DATA!$A:$A,$C104,INPUT_DATA!$C:$C,"S"))</f>
        <v/>
      </c>
      <c r="Q104" s="780" t="str">
        <f t="shared" si="15"/>
        <v/>
      </c>
      <c r="R104" s="782" t="str">
        <f>IF($C104=0,"",SUMIFS(INPUT_DATA!BH:BH,INPUT_DATA!$A:$A,$C104,INPUT_DATA!$C:$C,"S"))</f>
        <v/>
      </c>
      <c r="S104" s="782" t="str">
        <f>IF($C104=0,"",SUMIFS(INPUT_DATA!BI:BI,INPUT_DATA!$A:$A,$C104,INPUT_DATA!$C:$C,"S"))</f>
        <v/>
      </c>
      <c r="T104" s="780" t="str">
        <f t="shared" si="16"/>
        <v/>
      </c>
      <c r="U104" s="785" t="str">
        <f>IF($C104=0,"",SUMIFS(INPUT_DATA!BL:BL,INPUT_DATA!$A:$A,$C104,INPUT_DATA!$C:$C,"S"))</f>
        <v/>
      </c>
      <c r="V104" s="155" t="str">
        <f t="shared" si="11"/>
        <v/>
      </c>
      <c r="W104" s="149"/>
      <c r="X104" s="762" t="str">
        <f>IF($C104=0,"",SUMIFS(INPUT_DATA!AU:AU,INPUT_DATA!$A:$A,$C104,INPUT_DATA!$C:$C,"D"))</f>
        <v/>
      </c>
      <c r="Y104" s="774" t="str">
        <f>IF($C104=0,"",SUMIFS(INPUT_DATA!AV:AV,INPUT_DATA!$A:$A,$C104,INPUT_DATA!$C:$C,"D"))</f>
        <v/>
      </c>
      <c r="Z104" s="774" t="str">
        <f>IF($C104=0,"",SUMIFS(INPUT_DATA!AW:AW,INPUT_DATA!$A:$A,$C104,INPUT_DATA!$C:$C,"D"))</f>
        <v/>
      </c>
      <c r="AA104" s="775" t="str">
        <f t="shared" si="12"/>
        <v/>
      </c>
      <c r="AB104" s="774" t="str">
        <f>IF($C104=0,"",SUMIFS(INPUT_DATA!AX:AX,INPUT_DATA!$A:$A,$C104,INPUT_DATA!$C:$C,"D"))</f>
        <v/>
      </c>
      <c r="AC104" s="774" t="str">
        <f>IF($C104=0,"",SUMIFS(INPUT_DATA!AY:AY,INPUT_DATA!$A:$A,$C104,INPUT_DATA!$C:$C,"D"))</f>
        <v/>
      </c>
      <c r="AD104" s="774" t="str">
        <f>IF($C104=0,"",SUMIFS(INPUT_DATA!AZ:AZ,INPUT_DATA!$A:$A,$C104,INPUT_DATA!$C:$C,"D"))</f>
        <v/>
      </c>
      <c r="AE104" s="774" t="str">
        <f>IF($C104=0,"",SUMIFS(INPUT_DATA!BA:BA,INPUT_DATA!$A:$A,$C104,INPUT_DATA!$C:$C,"D"))</f>
        <v/>
      </c>
      <c r="AF104" s="774" t="str">
        <f>IF($C104=0,"",SUMIFS(INPUT_DATA!BB:BB,INPUT_DATA!$A:$A,$C104,INPUT_DATA!$C:$C,"D"))</f>
        <v/>
      </c>
      <c r="AG104" s="774" t="str">
        <f>IF($C104=0,"",SUMIFS(INPUT_DATA!BC:BC,INPUT_DATA!$A:$A,$C104,INPUT_DATA!$C:$C,"D"))</f>
        <v/>
      </c>
      <c r="AH104" s="774" t="str">
        <f>IF($C104=0,"",SUMIFS(INPUT_DATA!BD:BD,INPUT_DATA!$A:$A,$C104,INPUT_DATA!$C:$C,"D"))</f>
        <v/>
      </c>
      <c r="AI104" s="774" t="str">
        <f>IF($C104=0,"",SUMIFS(INPUT_DATA!BE:BE,INPUT_DATA!$A:$A,$C104,INPUT_DATA!$C:$C,"D"))</f>
        <v/>
      </c>
      <c r="AJ104" s="315" t="str">
        <f t="shared" si="13"/>
        <v/>
      </c>
      <c r="AK104" s="782" t="str">
        <f>IF($C104=0,"",SUMIFS(INPUT_DATA!BG:BG,INPUT_DATA!$A:$A,$C104,INPUT_DATA!$C:$C,"D"))</f>
        <v/>
      </c>
      <c r="AL104" s="782" t="str">
        <f>IF($C104=0,"",SUMIFS(INPUT_DATA!BH:BH,INPUT_DATA!$A:$A,$C104,INPUT_DATA!$C:$C,"D"))</f>
        <v/>
      </c>
      <c r="AM104" s="782" t="str">
        <f>IF($C104=0,"",SUMIFS(INPUT_DATA!BI:BI,INPUT_DATA!$A:$A,$C104,INPUT_DATA!$C:$C,"D"))</f>
        <v/>
      </c>
      <c r="AN104" s="780" t="str">
        <f t="shared" si="17"/>
        <v/>
      </c>
      <c r="AO104" s="785" t="str">
        <f>IF($C104=0,"",SUMIFS(INPUT_DATA!BK:BK,INPUT_DATA!$A:$A,$C104,INPUT_DATA!$C:$C,"D"))</f>
        <v/>
      </c>
      <c r="AP104" s="355" t="str">
        <f t="shared" si="18"/>
        <v/>
      </c>
      <c r="AQ104" s="149"/>
      <c r="AS104" s="355" t="str">
        <f t="shared" si="19"/>
        <v/>
      </c>
      <c r="AU104" s="391" t="str">
        <f>IF($C104=0,"",'03 - Monthly Asset Follow up'!E108+'03 - Monthly Asset Follow up'!F108-'03 - Monthly Asset Follow up'!U108+'03 - Monthly Asset Follow up'!X108-H104)</f>
        <v/>
      </c>
      <c r="AV104" s="391" t="str">
        <f>IF($C104=0,"",'03 - Monthly Asset Follow up'!BD108+'03 - Monthly Asset Follow up'!BE108-'03 - Monthly Asset Follow up'!BT108+'03 - Monthly Asset Follow up'!BW108)</f>
        <v/>
      </c>
      <c r="AX104" s="154"/>
    </row>
    <row r="105" spans="2:50" ht="13" x14ac:dyDescent="0.3">
      <c r="B105" s="766" t="str">
        <f t="shared" si="14"/>
        <v/>
      </c>
      <c r="C105" s="769">
        <f>'03 - Monthly Asset Follow up'!B109</f>
        <v>0</v>
      </c>
      <c r="D105" s="149"/>
      <c r="E105" s="762" t="str">
        <f>IF($C105=0,"",SUMIFS(INPUT_DATA!AU:AU,INPUT_DATA!$A:$A,$C105,INPUT_DATA!$C:$C,"S"))</f>
        <v/>
      </c>
      <c r="F105" s="774" t="str">
        <f>IF($C105=0,"",SUMIFS(INPUT_DATA!AV:AV,INPUT_DATA!$A:$A,$C105,INPUT_DATA!$C:$C,"S"))</f>
        <v/>
      </c>
      <c r="G105" s="774" t="str">
        <f>IF($C105=0,"",SUMIFS(INPUT_DATA!AW:AW,INPUT_DATA!$A:$A,$C105,INPUT_DATA!$C:$C,"S"))</f>
        <v/>
      </c>
      <c r="H105" s="776" t="str">
        <f t="shared" si="10"/>
        <v/>
      </c>
      <c r="I105" s="774" t="str">
        <f>IF($C105=0,"",SUMIFS(INPUT_DATA!AY:AY,INPUT_DATA!$A:$A,$C105,INPUT_DATA!$C:$C,"S"))</f>
        <v/>
      </c>
      <c r="J105" s="774" t="str">
        <f>IF($C105=0,"",SUMIFS(INPUT_DATA!AZ:AZ,INPUT_DATA!$A:$A,$C105,INPUT_DATA!$C:$C,"S"))</f>
        <v/>
      </c>
      <c r="K105" s="774" t="str">
        <f>IF($C105=0,"",SUMIFS(INPUT_DATA!BA:BA,INPUT_DATA!$A:$A,$C105,INPUT_DATA!$C:$C,"S"))</f>
        <v/>
      </c>
      <c r="L105" s="774" t="str">
        <f>IF($C105=0,"",SUMIFS(INPUT_DATA!BB:BB,INPUT_DATA!$A:$A,$C105,INPUT_DATA!$C:$C,"S"))</f>
        <v/>
      </c>
      <c r="M105" s="774" t="str">
        <f>IF($C105=0,"",SUMIFS(INPUT_DATA!BC:BC,INPUT_DATA!$A:$A,$C105,INPUT_DATA!$C:$C,"S"))</f>
        <v/>
      </c>
      <c r="N105" s="774" t="str">
        <f>IF($C105=0,"",SUMIFS(INPUT_DATA!BD:BD,INPUT_DATA!$A:$A,$C105,INPUT_DATA!$C:$C,"S"))</f>
        <v/>
      </c>
      <c r="O105" s="774" t="str">
        <f>IF($C105=0,"",SUMIFS(INPUT_DATA!BE:BE,INPUT_DATA!$A:$A,$C105,INPUT_DATA!$C:$C,"S"))</f>
        <v/>
      </c>
      <c r="P105" s="774" t="str">
        <f>IF($C105=0,"",SUMIFS(INPUT_DATA!BF:BF,INPUT_DATA!$A:$A,$C105,INPUT_DATA!$C:$C,"S"))</f>
        <v/>
      </c>
      <c r="Q105" s="780" t="str">
        <f t="shared" si="15"/>
        <v/>
      </c>
      <c r="R105" s="782" t="str">
        <f>IF($C105=0,"",SUMIFS(INPUT_DATA!BH:BH,INPUT_DATA!$A:$A,$C105,INPUT_DATA!$C:$C,"S"))</f>
        <v/>
      </c>
      <c r="S105" s="782" t="str">
        <f>IF($C105=0,"",SUMIFS(INPUT_DATA!BI:BI,INPUT_DATA!$A:$A,$C105,INPUT_DATA!$C:$C,"S"))</f>
        <v/>
      </c>
      <c r="T105" s="780" t="str">
        <f t="shared" si="16"/>
        <v/>
      </c>
      <c r="U105" s="785" t="str">
        <f>IF($C105=0,"",SUMIFS(INPUT_DATA!BL:BL,INPUT_DATA!$A:$A,$C105,INPUT_DATA!$C:$C,"S"))</f>
        <v/>
      </c>
      <c r="V105" s="155" t="str">
        <f t="shared" si="11"/>
        <v/>
      </c>
      <c r="W105" s="149"/>
      <c r="X105" s="762" t="str">
        <f>IF($C105=0,"",SUMIFS(INPUT_DATA!AU:AU,INPUT_DATA!$A:$A,$C105,INPUT_DATA!$C:$C,"D"))</f>
        <v/>
      </c>
      <c r="Y105" s="774" t="str">
        <f>IF($C105=0,"",SUMIFS(INPUT_DATA!AV:AV,INPUT_DATA!$A:$A,$C105,INPUT_DATA!$C:$C,"D"))</f>
        <v/>
      </c>
      <c r="Z105" s="774" t="str">
        <f>IF($C105=0,"",SUMIFS(INPUT_DATA!AW:AW,INPUT_DATA!$A:$A,$C105,INPUT_DATA!$C:$C,"D"))</f>
        <v/>
      </c>
      <c r="AA105" s="775" t="str">
        <f t="shared" si="12"/>
        <v/>
      </c>
      <c r="AB105" s="774" t="str">
        <f>IF($C105=0,"",SUMIFS(INPUT_DATA!AX:AX,INPUT_DATA!$A:$A,$C105,INPUT_DATA!$C:$C,"D"))</f>
        <v/>
      </c>
      <c r="AC105" s="774" t="str">
        <f>IF($C105=0,"",SUMIFS(INPUT_DATA!AY:AY,INPUT_DATA!$A:$A,$C105,INPUT_DATA!$C:$C,"D"))</f>
        <v/>
      </c>
      <c r="AD105" s="774" t="str">
        <f>IF($C105=0,"",SUMIFS(INPUT_DATA!AZ:AZ,INPUT_DATA!$A:$A,$C105,INPUT_DATA!$C:$C,"D"))</f>
        <v/>
      </c>
      <c r="AE105" s="774" t="str">
        <f>IF($C105=0,"",SUMIFS(INPUT_DATA!BA:BA,INPUT_DATA!$A:$A,$C105,INPUT_DATA!$C:$C,"D"))</f>
        <v/>
      </c>
      <c r="AF105" s="774" t="str">
        <f>IF($C105=0,"",SUMIFS(INPUT_DATA!BB:BB,INPUT_DATA!$A:$A,$C105,INPUT_DATA!$C:$C,"D"))</f>
        <v/>
      </c>
      <c r="AG105" s="774" t="str">
        <f>IF($C105=0,"",SUMIFS(INPUT_DATA!BC:BC,INPUT_DATA!$A:$A,$C105,INPUT_DATA!$C:$C,"D"))</f>
        <v/>
      </c>
      <c r="AH105" s="774" t="str">
        <f>IF($C105=0,"",SUMIFS(INPUT_DATA!BD:BD,INPUT_DATA!$A:$A,$C105,INPUT_DATA!$C:$C,"D"))</f>
        <v/>
      </c>
      <c r="AI105" s="774" t="str">
        <f>IF($C105=0,"",SUMIFS(INPUT_DATA!BE:BE,INPUT_DATA!$A:$A,$C105,INPUT_DATA!$C:$C,"D"))</f>
        <v/>
      </c>
      <c r="AJ105" s="315" t="str">
        <f t="shared" si="13"/>
        <v/>
      </c>
      <c r="AK105" s="782" t="str">
        <f>IF($C105=0,"",SUMIFS(INPUT_DATA!BG:BG,INPUT_DATA!$A:$A,$C105,INPUT_DATA!$C:$C,"D"))</f>
        <v/>
      </c>
      <c r="AL105" s="782" t="str">
        <f>IF($C105=0,"",SUMIFS(INPUT_DATA!BH:BH,INPUT_DATA!$A:$A,$C105,INPUT_DATA!$C:$C,"D"))</f>
        <v/>
      </c>
      <c r="AM105" s="782" t="str">
        <f>IF($C105=0,"",SUMIFS(INPUT_DATA!BI:BI,INPUT_DATA!$A:$A,$C105,INPUT_DATA!$C:$C,"D"))</f>
        <v/>
      </c>
      <c r="AN105" s="780" t="str">
        <f t="shared" si="17"/>
        <v/>
      </c>
      <c r="AO105" s="785" t="str">
        <f>IF($C105=0,"",SUMIFS(INPUT_DATA!BK:BK,INPUT_DATA!$A:$A,$C105,INPUT_DATA!$C:$C,"D"))</f>
        <v/>
      </c>
      <c r="AP105" s="355" t="str">
        <f t="shared" si="18"/>
        <v/>
      </c>
      <c r="AQ105" s="149"/>
      <c r="AS105" s="355" t="str">
        <f t="shared" si="19"/>
        <v/>
      </c>
      <c r="AU105" s="391" t="str">
        <f>IF($C105=0,"",'03 - Monthly Asset Follow up'!E109+'03 - Monthly Asset Follow up'!F109-'03 - Monthly Asset Follow up'!U109+'03 - Monthly Asset Follow up'!X109-H105)</f>
        <v/>
      </c>
      <c r="AV105" s="391" t="str">
        <f>IF($C105=0,"",'03 - Monthly Asset Follow up'!BD109+'03 - Monthly Asset Follow up'!BE109-'03 - Monthly Asset Follow up'!BT109+'03 - Monthly Asset Follow up'!BW109)</f>
        <v/>
      </c>
      <c r="AX105" s="154"/>
    </row>
    <row r="106" spans="2:50" ht="13" x14ac:dyDescent="0.3">
      <c r="B106" s="766" t="str">
        <f t="shared" si="14"/>
        <v/>
      </c>
      <c r="C106" s="769">
        <f>'03 - Monthly Asset Follow up'!B110</f>
        <v>0</v>
      </c>
      <c r="D106" s="149"/>
      <c r="E106" s="762" t="str">
        <f>IF($C106=0,"",SUMIFS(INPUT_DATA!AU:AU,INPUT_DATA!$A:$A,$C106,INPUT_DATA!$C:$C,"S"))</f>
        <v/>
      </c>
      <c r="F106" s="774" t="str">
        <f>IF($C106=0,"",SUMIFS(INPUT_DATA!AV:AV,INPUT_DATA!$A:$A,$C106,INPUT_DATA!$C:$C,"S"))</f>
        <v/>
      </c>
      <c r="G106" s="774" t="str">
        <f>IF($C106=0,"",SUMIFS(INPUT_DATA!AW:AW,INPUT_DATA!$A:$A,$C106,INPUT_DATA!$C:$C,"S"))</f>
        <v/>
      </c>
      <c r="H106" s="776" t="str">
        <f t="shared" si="10"/>
        <v/>
      </c>
      <c r="I106" s="774" t="str">
        <f>IF($C106=0,"",SUMIFS(INPUT_DATA!AY:AY,INPUT_DATA!$A:$A,$C106,INPUT_DATA!$C:$C,"S"))</f>
        <v/>
      </c>
      <c r="J106" s="774" t="str">
        <f>IF($C106=0,"",SUMIFS(INPUT_DATA!AZ:AZ,INPUT_DATA!$A:$A,$C106,INPUT_DATA!$C:$C,"S"))</f>
        <v/>
      </c>
      <c r="K106" s="774" t="str">
        <f>IF($C106=0,"",SUMIFS(INPUT_DATA!BA:BA,INPUT_DATA!$A:$A,$C106,INPUT_DATA!$C:$C,"S"))</f>
        <v/>
      </c>
      <c r="L106" s="774" t="str">
        <f>IF($C106=0,"",SUMIFS(INPUT_DATA!BB:BB,INPUT_DATA!$A:$A,$C106,INPUT_DATA!$C:$C,"S"))</f>
        <v/>
      </c>
      <c r="M106" s="774" t="str">
        <f>IF($C106=0,"",SUMIFS(INPUT_DATA!BC:BC,INPUT_DATA!$A:$A,$C106,INPUT_DATA!$C:$C,"S"))</f>
        <v/>
      </c>
      <c r="N106" s="774" t="str">
        <f>IF($C106=0,"",SUMIFS(INPUT_DATA!BD:BD,INPUT_DATA!$A:$A,$C106,INPUT_DATA!$C:$C,"S"))</f>
        <v/>
      </c>
      <c r="O106" s="774" t="str">
        <f>IF($C106=0,"",SUMIFS(INPUT_DATA!BE:BE,INPUT_DATA!$A:$A,$C106,INPUT_DATA!$C:$C,"S"))</f>
        <v/>
      </c>
      <c r="P106" s="774" t="str">
        <f>IF($C106=0,"",SUMIFS(INPUT_DATA!BF:BF,INPUT_DATA!$A:$A,$C106,INPUT_DATA!$C:$C,"S"))</f>
        <v/>
      </c>
      <c r="Q106" s="780" t="str">
        <f t="shared" si="15"/>
        <v/>
      </c>
      <c r="R106" s="782" t="str">
        <f>IF($C106=0,"",SUMIFS(INPUT_DATA!BH:BH,INPUT_DATA!$A:$A,$C106,INPUT_DATA!$C:$C,"S"))</f>
        <v/>
      </c>
      <c r="S106" s="782" t="str">
        <f>IF($C106=0,"",SUMIFS(INPUT_DATA!BI:BI,INPUT_DATA!$A:$A,$C106,INPUT_DATA!$C:$C,"S"))</f>
        <v/>
      </c>
      <c r="T106" s="780" t="str">
        <f t="shared" si="16"/>
        <v/>
      </c>
      <c r="U106" s="785" t="str">
        <f>IF($C106=0,"",SUMIFS(INPUT_DATA!BL:BL,INPUT_DATA!$A:$A,$C106,INPUT_DATA!$C:$C,"S"))</f>
        <v/>
      </c>
      <c r="V106" s="155" t="str">
        <f t="shared" si="11"/>
        <v/>
      </c>
      <c r="W106" s="149"/>
      <c r="X106" s="762" t="str">
        <f>IF($C106=0,"",SUMIFS(INPUT_DATA!AU:AU,INPUT_DATA!$A:$A,$C106,INPUT_DATA!$C:$C,"D"))</f>
        <v/>
      </c>
      <c r="Y106" s="774" t="str">
        <f>IF($C106=0,"",SUMIFS(INPUT_DATA!AV:AV,INPUT_DATA!$A:$A,$C106,INPUT_DATA!$C:$C,"D"))</f>
        <v/>
      </c>
      <c r="Z106" s="774" t="str">
        <f>IF($C106=0,"",SUMIFS(INPUT_DATA!AW:AW,INPUT_DATA!$A:$A,$C106,INPUT_DATA!$C:$C,"D"))</f>
        <v/>
      </c>
      <c r="AA106" s="775" t="str">
        <f t="shared" si="12"/>
        <v/>
      </c>
      <c r="AB106" s="774" t="str">
        <f>IF($C106=0,"",SUMIFS(INPUT_DATA!AX:AX,INPUT_DATA!$A:$A,$C106,INPUT_DATA!$C:$C,"D"))</f>
        <v/>
      </c>
      <c r="AC106" s="774" t="str">
        <f>IF($C106=0,"",SUMIFS(INPUT_DATA!AY:AY,INPUT_DATA!$A:$A,$C106,INPUT_DATA!$C:$C,"D"))</f>
        <v/>
      </c>
      <c r="AD106" s="774" t="str">
        <f>IF($C106=0,"",SUMIFS(INPUT_DATA!AZ:AZ,INPUT_DATA!$A:$A,$C106,INPUT_DATA!$C:$C,"D"))</f>
        <v/>
      </c>
      <c r="AE106" s="774" t="str">
        <f>IF($C106=0,"",SUMIFS(INPUT_DATA!BA:BA,INPUT_DATA!$A:$A,$C106,INPUT_DATA!$C:$C,"D"))</f>
        <v/>
      </c>
      <c r="AF106" s="774" t="str">
        <f>IF($C106=0,"",SUMIFS(INPUT_DATA!BB:BB,INPUT_DATA!$A:$A,$C106,INPUT_DATA!$C:$C,"D"))</f>
        <v/>
      </c>
      <c r="AG106" s="774" t="str">
        <f>IF($C106=0,"",SUMIFS(INPUT_DATA!BC:BC,INPUT_DATA!$A:$A,$C106,INPUT_DATA!$C:$C,"D"))</f>
        <v/>
      </c>
      <c r="AH106" s="774" t="str">
        <f>IF($C106=0,"",SUMIFS(INPUT_DATA!BD:BD,INPUT_DATA!$A:$A,$C106,INPUT_DATA!$C:$C,"D"))</f>
        <v/>
      </c>
      <c r="AI106" s="774" t="str">
        <f>IF($C106=0,"",SUMIFS(INPUT_DATA!BE:BE,INPUT_DATA!$A:$A,$C106,INPUT_DATA!$C:$C,"D"))</f>
        <v/>
      </c>
      <c r="AJ106" s="315" t="str">
        <f t="shared" si="13"/>
        <v/>
      </c>
      <c r="AK106" s="782" t="str">
        <f>IF($C106=0,"",SUMIFS(INPUT_DATA!BG:BG,INPUT_DATA!$A:$A,$C106,INPUT_DATA!$C:$C,"D"))</f>
        <v/>
      </c>
      <c r="AL106" s="782" t="str">
        <f>IF($C106=0,"",SUMIFS(INPUT_DATA!BH:BH,INPUT_DATA!$A:$A,$C106,INPUT_DATA!$C:$C,"D"))</f>
        <v/>
      </c>
      <c r="AM106" s="782" t="str">
        <f>IF($C106=0,"",SUMIFS(INPUT_DATA!BI:BI,INPUT_DATA!$A:$A,$C106,INPUT_DATA!$C:$C,"D"))</f>
        <v/>
      </c>
      <c r="AN106" s="780" t="str">
        <f t="shared" si="17"/>
        <v/>
      </c>
      <c r="AO106" s="785" t="str">
        <f>IF($C106=0,"",SUMIFS(INPUT_DATA!BK:BK,INPUT_DATA!$A:$A,$C106,INPUT_DATA!$C:$C,"D"))</f>
        <v/>
      </c>
      <c r="AP106" s="355" t="str">
        <f t="shared" si="18"/>
        <v/>
      </c>
      <c r="AQ106" s="149"/>
      <c r="AS106" s="355" t="str">
        <f t="shared" si="19"/>
        <v/>
      </c>
      <c r="AU106" s="391" t="str">
        <f>IF($C106=0,"",'03 - Monthly Asset Follow up'!E110+'03 - Monthly Asset Follow up'!F110-'03 - Monthly Asset Follow up'!U110+'03 - Monthly Asset Follow up'!X110-H106)</f>
        <v/>
      </c>
      <c r="AV106" s="391" t="str">
        <f>IF($C106=0,"",'03 - Monthly Asset Follow up'!BD110+'03 - Monthly Asset Follow up'!BE110-'03 - Monthly Asset Follow up'!BT110+'03 - Monthly Asset Follow up'!BW110)</f>
        <v/>
      </c>
      <c r="AX106" s="154"/>
    </row>
    <row r="107" spans="2:50" ht="13" x14ac:dyDescent="0.3">
      <c r="B107" s="766" t="str">
        <f t="shared" si="14"/>
        <v/>
      </c>
      <c r="C107" s="769">
        <f>'03 - Monthly Asset Follow up'!B111</f>
        <v>0</v>
      </c>
      <c r="D107" s="149"/>
      <c r="E107" s="762" t="str">
        <f>IF($C107=0,"",SUMIFS(INPUT_DATA!AU:AU,INPUT_DATA!$A:$A,$C107,INPUT_DATA!$C:$C,"S"))</f>
        <v/>
      </c>
      <c r="F107" s="774" t="str">
        <f>IF($C107=0,"",SUMIFS(INPUT_DATA!AV:AV,INPUT_DATA!$A:$A,$C107,INPUT_DATA!$C:$C,"S"))</f>
        <v/>
      </c>
      <c r="G107" s="774" t="str">
        <f>IF($C107=0,"",SUMIFS(INPUT_DATA!AW:AW,INPUT_DATA!$A:$A,$C107,INPUT_DATA!$C:$C,"S"))</f>
        <v/>
      </c>
      <c r="H107" s="776" t="str">
        <f t="shared" si="10"/>
        <v/>
      </c>
      <c r="I107" s="774" t="str">
        <f>IF($C107=0,"",SUMIFS(INPUT_DATA!AY:AY,INPUT_DATA!$A:$A,$C107,INPUT_DATA!$C:$C,"S"))</f>
        <v/>
      </c>
      <c r="J107" s="774" t="str">
        <f>IF($C107=0,"",SUMIFS(INPUT_DATA!AZ:AZ,INPUT_DATA!$A:$A,$C107,INPUT_DATA!$C:$C,"S"))</f>
        <v/>
      </c>
      <c r="K107" s="774" t="str">
        <f>IF($C107=0,"",SUMIFS(INPUT_DATA!BA:BA,INPUT_DATA!$A:$A,$C107,INPUT_DATA!$C:$C,"S"))</f>
        <v/>
      </c>
      <c r="L107" s="774" t="str">
        <f>IF($C107=0,"",SUMIFS(INPUT_DATA!BB:BB,INPUT_DATA!$A:$A,$C107,INPUT_DATA!$C:$C,"S"))</f>
        <v/>
      </c>
      <c r="M107" s="774" t="str">
        <f>IF($C107=0,"",SUMIFS(INPUT_DATA!BC:BC,INPUT_DATA!$A:$A,$C107,INPUT_DATA!$C:$C,"S"))</f>
        <v/>
      </c>
      <c r="N107" s="774" t="str">
        <f>IF($C107=0,"",SUMIFS(INPUT_DATA!BD:BD,INPUT_DATA!$A:$A,$C107,INPUT_DATA!$C:$C,"S"))</f>
        <v/>
      </c>
      <c r="O107" s="774" t="str">
        <f>IF($C107=0,"",SUMIFS(INPUT_DATA!BE:BE,INPUT_DATA!$A:$A,$C107,INPUT_DATA!$C:$C,"S"))</f>
        <v/>
      </c>
      <c r="P107" s="774" t="str">
        <f>IF($C107=0,"",SUMIFS(INPUT_DATA!BF:BF,INPUT_DATA!$A:$A,$C107,INPUT_DATA!$C:$C,"S"))</f>
        <v/>
      </c>
      <c r="Q107" s="780" t="str">
        <f t="shared" si="15"/>
        <v/>
      </c>
      <c r="R107" s="782" t="str">
        <f>IF($C107=0,"",SUMIFS(INPUT_DATA!BH:BH,INPUT_DATA!$A:$A,$C107,INPUT_DATA!$C:$C,"S"))</f>
        <v/>
      </c>
      <c r="S107" s="782" t="str">
        <f>IF($C107=0,"",SUMIFS(INPUT_DATA!BI:BI,INPUT_DATA!$A:$A,$C107,INPUT_DATA!$C:$C,"S"))</f>
        <v/>
      </c>
      <c r="T107" s="780" t="str">
        <f t="shared" si="16"/>
        <v/>
      </c>
      <c r="U107" s="785" t="str">
        <f>IF($C107=0,"",SUMIFS(INPUT_DATA!BL:BL,INPUT_DATA!$A:$A,$C107,INPUT_DATA!$C:$C,"S"))</f>
        <v/>
      </c>
      <c r="V107" s="155" t="str">
        <f t="shared" si="11"/>
        <v/>
      </c>
      <c r="W107" s="149"/>
      <c r="X107" s="762" t="str">
        <f>IF($C107=0,"",SUMIFS(INPUT_DATA!AU:AU,INPUT_DATA!$A:$A,$C107,INPUT_DATA!$C:$C,"D"))</f>
        <v/>
      </c>
      <c r="Y107" s="774" t="str">
        <f>IF($C107=0,"",SUMIFS(INPUT_DATA!AV:AV,INPUT_DATA!$A:$A,$C107,INPUT_DATA!$C:$C,"D"))</f>
        <v/>
      </c>
      <c r="Z107" s="774" t="str">
        <f>IF($C107=0,"",SUMIFS(INPUT_DATA!AW:AW,INPUT_DATA!$A:$A,$C107,INPUT_DATA!$C:$C,"D"))</f>
        <v/>
      </c>
      <c r="AA107" s="775" t="str">
        <f t="shared" si="12"/>
        <v/>
      </c>
      <c r="AB107" s="774" t="str">
        <f>IF($C107=0,"",SUMIFS(INPUT_DATA!AX:AX,INPUT_DATA!$A:$A,$C107,INPUT_DATA!$C:$C,"D"))</f>
        <v/>
      </c>
      <c r="AC107" s="774" t="str">
        <f>IF($C107=0,"",SUMIFS(INPUT_DATA!AY:AY,INPUT_DATA!$A:$A,$C107,INPUT_DATA!$C:$C,"D"))</f>
        <v/>
      </c>
      <c r="AD107" s="774" t="str">
        <f>IF($C107=0,"",SUMIFS(INPUT_DATA!AZ:AZ,INPUT_DATA!$A:$A,$C107,INPUT_DATA!$C:$C,"D"))</f>
        <v/>
      </c>
      <c r="AE107" s="774" t="str">
        <f>IF($C107=0,"",SUMIFS(INPUT_DATA!BA:BA,INPUT_DATA!$A:$A,$C107,INPUT_DATA!$C:$C,"D"))</f>
        <v/>
      </c>
      <c r="AF107" s="774" t="str">
        <f>IF($C107=0,"",SUMIFS(INPUT_DATA!BB:BB,INPUT_DATA!$A:$A,$C107,INPUT_DATA!$C:$C,"D"))</f>
        <v/>
      </c>
      <c r="AG107" s="774" t="str">
        <f>IF($C107=0,"",SUMIFS(INPUT_DATA!BC:BC,INPUT_DATA!$A:$A,$C107,INPUT_DATA!$C:$C,"D"))</f>
        <v/>
      </c>
      <c r="AH107" s="774" t="str">
        <f>IF($C107=0,"",SUMIFS(INPUT_DATA!BD:BD,INPUT_DATA!$A:$A,$C107,INPUT_DATA!$C:$C,"D"))</f>
        <v/>
      </c>
      <c r="AI107" s="774" t="str">
        <f>IF($C107=0,"",SUMIFS(INPUT_DATA!BE:BE,INPUT_DATA!$A:$A,$C107,INPUT_DATA!$C:$C,"D"))</f>
        <v/>
      </c>
      <c r="AJ107" s="315" t="str">
        <f t="shared" si="13"/>
        <v/>
      </c>
      <c r="AK107" s="782" t="str">
        <f>IF($C107=0,"",SUMIFS(INPUT_DATA!BG:BG,INPUT_DATA!$A:$A,$C107,INPUT_DATA!$C:$C,"D"))</f>
        <v/>
      </c>
      <c r="AL107" s="782" t="str">
        <f>IF($C107=0,"",SUMIFS(INPUT_DATA!BH:BH,INPUT_DATA!$A:$A,$C107,INPUT_DATA!$C:$C,"D"))</f>
        <v/>
      </c>
      <c r="AM107" s="782" t="str">
        <f>IF($C107=0,"",SUMIFS(INPUT_DATA!BI:BI,INPUT_DATA!$A:$A,$C107,INPUT_DATA!$C:$C,"D"))</f>
        <v/>
      </c>
      <c r="AN107" s="780" t="str">
        <f t="shared" si="17"/>
        <v/>
      </c>
      <c r="AO107" s="785" t="str">
        <f>IF($C107=0,"",SUMIFS(INPUT_DATA!BK:BK,INPUT_DATA!$A:$A,$C107,INPUT_DATA!$C:$C,"D"))</f>
        <v/>
      </c>
      <c r="AP107" s="355" t="str">
        <f t="shared" si="18"/>
        <v/>
      </c>
      <c r="AQ107" s="149"/>
      <c r="AS107" s="355" t="str">
        <f t="shared" si="19"/>
        <v/>
      </c>
      <c r="AU107" s="391" t="str">
        <f>IF($C107=0,"",'03 - Monthly Asset Follow up'!E111+'03 - Monthly Asset Follow up'!F111-'03 - Monthly Asset Follow up'!U111+'03 - Monthly Asset Follow up'!X111-H107)</f>
        <v/>
      </c>
      <c r="AV107" s="391" t="str">
        <f>IF($C107=0,"",'03 - Monthly Asset Follow up'!BD111+'03 - Monthly Asset Follow up'!BE111-'03 - Monthly Asset Follow up'!BT111+'03 - Monthly Asset Follow up'!BW111)</f>
        <v/>
      </c>
      <c r="AX107" s="154"/>
    </row>
    <row r="108" spans="2:50" ht="13" x14ac:dyDescent="0.3">
      <c r="B108" s="766" t="str">
        <f t="shared" si="14"/>
        <v/>
      </c>
      <c r="C108" s="769">
        <f>'03 - Monthly Asset Follow up'!B112</f>
        <v>0</v>
      </c>
      <c r="D108" s="149"/>
      <c r="E108" s="762" t="str">
        <f>IF($C108=0,"",SUMIFS(INPUT_DATA!AU:AU,INPUT_DATA!$A:$A,$C108,INPUT_DATA!$C:$C,"S"))</f>
        <v/>
      </c>
      <c r="F108" s="774" t="str">
        <f>IF($C108=0,"",SUMIFS(INPUT_DATA!AV:AV,INPUT_DATA!$A:$A,$C108,INPUT_DATA!$C:$C,"S"))</f>
        <v/>
      </c>
      <c r="G108" s="774" t="str">
        <f>IF($C108=0,"",SUMIFS(INPUT_DATA!AW:AW,INPUT_DATA!$A:$A,$C108,INPUT_DATA!$C:$C,"S"))</f>
        <v/>
      </c>
      <c r="H108" s="776" t="str">
        <f t="shared" si="10"/>
        <v/>
      </c>
      <c r="I108" s="774" t="str">
        <f>IF($C108=0,"",SUMIFS(INPUT_DATA!AY:AY,INPUT_DATA!$A:$A,$C108,INPUT_DATA!$C:$C,"S"))</f>
        <v/>
      </c>
      <c r="J108" s="774" t="str">
        <f>IF($C108=0,"",SUMIFS(INPUT_DATA!AZ:AZ,INPUT_DATA!$A:$A,$C108,INPUT_DATA!$C:$C,"S"))</f>
        <v/>
      </c>
      <c r="K108" s="774" t="str">
        <f>IF($C108=0,"",SUMIFS(INPUT_DATA!BA:BA,INPUT_DATA!$A:$A,$C108,INPUT_DATA!$C:$C,"S"))</f>
        <v/>
      </c>
      <c r="L108" s="774" t="str">
        <f>IF($C108=0,"",SUMIFS(INPUT_DATA!BB:BB,INPUT_DATA!$A:$A,$C108,INPUT_DATA!$C:$C,"S"))</f>
        <v/>
      </c>
      <c r="M108" s="774" t="str">
        <f>IF($C108=0,"",SUMIFS(INPUT_DATA!BC:BC,INPUT_DATA!$A:$A,$C108,INPUT_DATA!$C:$C,"S"))</f>
        <v/>
      </c>
      <c r="N108" s="774" t="str">
        <f>IF($C108=0,"",SUMIFS(INPUT_DATA!BD:BD,INPUT_DATA!$A:$A,$C108,INPUT_DATA!$C:$C,"S"))</f>
        <v/>
      </c>
      <c r="O108" s="774" t="str">
        <f>IF($C108=0,"",SUMIFS(INPUT_DATA!BE:BE,INPUT_DATA!$A:$A,$C108,INPUT_DATA!$C:$C,"S"))</f>
        <v/>
      </c>
      <c r="P108" s="774" t="str">
        <f>IF($C108=0,"",SUMIFS(INPUT_DATA!BF:BF,INPUT_DATA!$A:$A,$C108,INPUT_DATA!$C:$C,"S"))</f>
        <v/>
      </c>
      <c r="Q108" s="780" t="str">
        <f t="shared" si="15"/>
        <v/>
      </c>
      <c r="R108" s="782" t="str">
        <f>IF($C108=0,"",SUMIFS(INPUT_DATA!BH:BH,INPUT_DATA!$A:$A,$C108,INPUT_DATA!$C:$C,"S"))</f>
        <v/>
      </c>
      <c r="S108" s="782" t="str">
        <f>IF($C108=0,"",SUMIFS(INPUT_DATA!BI:BI,INPUT_DATA!$A:$A,$C108,INPUT_DATA!$C:$C,"S"))</f>
        <v/>
      </c>
      <c r="T108" s="780" t="str">
        <f t="shared" si="16"/>
        <v/>
      </c>
      <c r="U108" s="785" t="str">
        <f>IF($C108=0,"",SUMIFS(INPUT_DATA!BL:BL,INPUT_DATA!$A:$A,$C108,INPUT_DATA!$C:$C,"S"))</f>
        <v/>
      </c>
      <c r="V108" s="155" t="str">
        <f t="shared" si="11"/>
        <v/>
      </c>
      <c r="W108" s="149"/>
      <c r="X108" s="762" t="str">
        <f>IF($C108=0,"",SUMIFS(INPUT_DATA!AU:AU,INPUT_DATA!$A:$A,$C108,INPUT_DATA!$C:$C,"D"))</f>
        <v/>
      </c>
      <c r="Y108" s="774" t="str">
        <f>IF($C108=0,"",SUMIFS(INPUT_DATA!AV:AV,INPUT_DATA!$A:$A,$C108,INPUT_DATA!$C:$C,"D"))</f>
        <v/>
      </c>
      <c r="Z108" s="774" t="str">
        <f>IF($C108=0,"",SUMIFS(INPUT_DATA!AW:AW,INPUT_DATA!$A:$A,$C108,INPUT_DATA!$C:$C,"D"))</f>
        <v/>
      </c>
      <c r="AA108" s="775" t="str">
        <f t="shared" si="12"/>
        <v/>
      </c>
      <c r="AB108" s="774" t="str">
        <f>IF($C108=0,"",SUMIFS(INPUT_DATA!AX:AX,INPUT_DATA!$A:$A,$C108,INPUT_DATA!$C:$C,"D"))</f>
        <v/>
      </c>
      <c r="AC108" s="774" t="str">
        <f>IF($C108=0,"",SUMIFS(INPUT_DATA!AY:AY,INPUT_DATA!$A:$A,$C108,INPUT_DATA!$C:$C,"D"))</f>
        <v/>
      </c>
      <c r="AD108" s="774" t="str">
        <f>IF($C108=0,"",SUMIFS(INPUT_DATA!AZ:AZ,INPUT_DATA!$A:$A,$C108,INPUT_DATA!$C:$C,"D"))</f>
        <v/>
      </c>
      <c r="AE108" s="774" t="str">
        <f>IF($C108=0,"",SUMIFS(INPUT_DATA!BA:BA,INPUT_DATA!$A:$A,$C108,INPUT_DATA!$C:$C,"D"))</f>
        <v/>
      </c>
      <c r="AF108" s="774" t="str">
        <f>IF($C108=0,"",SUMIFS(INPUT_DATA!BB:BB,INPUT_DATA!$A:$A,$C108,INPUT_DATA!$C:$C,"D"))</f>
        <v/>
      </c>
      <c r="AG108" s="774" t="str">
        <f>IF($C108=0,"",SUMIFS(INPUT_DATA!BC:BC,INPUT_DATA!$A:$A,$C108,INPUT_DATA!$C:$C,"D"))</f>
        <v/>
      </c>
      <c r="AH108" s="774" t="str">
        <f>IF($C108=0,"",SUMIFS(INPUT_DATA!BD:BD,INPUT_DATA!$A:$A,$C108,INPUT_DATA!$C:$C,"D"))</f>
        <v/>
      </c>
      <c r="AI108" s="774" t="str">
        <f>IF($C108=0,"",SUMIFS(INPUT_DATA!BE:BE,INPUT_DATA!$A:$A,$C108,INPUT_DATA!$C:$C,"D"))</f>
        <v/>
      </c>
      <c r="AJ108" s="315" t="str">
        <f t="shared" si="13"/>
        <v/>
      </c>
      <c r="AK108" s="782" t="str">
        <f>IF($C108=0,"",SUMIFS(INPUT_DATA!BG:BG,INPUT_DATA!$A:$A,$C108,INPUT_DATA!$C:$C,"D"))</f>
        <v/>
      </c>
      <c r="AL108" s="782" t="str">
        <f>IF($C108=0,"",SUMIFS(INPUT_DATA!BH:BH,INPUT_DATA!$A:$A,$C108,INPUT_DATA!$C:$C,"D"))</f>
        <v/>
      </c>
      <c r="AM108" s="782" t="str">
        <f>IF($C108=0,"",SUMIFS(INPUT_DATA!BI:BI,INPUT_DATA!$A:$A,$C108,INPUT_DATA!$C:$C,"D"))</f>
        <v/>
      </c>
      <c r="AN108" s="780" t="str">
        <f t="shared" si="17"/>
        <v/>
      </c>
      <c r="AO108" s="785" t="str">
        <f>IF($C108=0,"",SUMIFS(INPUT_DATA!BK:BK,INPUT_DATA!$A:$A,$C108,INPUT_DATA!$C:$C,"D"))</f>
        <v/>
      </c>
      <c r="AP108" s="355" t="str">
        <f t="shared" si="18"/>
        <v/>
      </c>
      <c r="AQ108" s="149"/>
      <c r="AS108" s="355" t="str">
        <f t="shared" si="19"/>
        <v/>
      </c>
      <c r="AU108" s="391" t="str">
        <f>IF($C108=0,"",'03 - Monthly Asset Follow up'!E112+'03 - Monthly Asset Follow up'!F112-'03 - Monthly Asset Follow up'!U112+'03 - Monthly Asset Follow up'!X112-H108)</f>
        <v/>
      </c>
      <c r="AV108" s="391" t="str">
        <f>IF($C108=0,"",'03 - Monthly Asset Follow up'!BD112+'03 - Monthly Asset Follow up'!BE112-'03 - Monthly Asset Follow up'!BT112+'03 - Monthly Asset Follow up'!BW112)</f>
        <v/>
      </c>
      <c r="AX108" s="154"/>
    </row>
    <row r="109" spans="2:50" ht="13" x14ac:dyDescent="0.3">
      <c r="B109" s="766" t="str">
        <f t="shared" si="14"/>
        <v/>
      </c>
      <c r="C109" s="769">
        <f>'03 - Monthly Asset Follow up'!B113</f>
        <v>0</v>
      </c>
      <c r="D109" s="149"/>
      <c r="E109" s="762" t="str">
        <f>IF($C109=0,"",SUMIFS(INPUT_DATA!AU:AU,INPUT_DATA!$A:$A,$C109,INPUT_DATA!$C:$C,"S"))</f>
        <v/>
      </c>
      <c r="F109" s="774" t="str">
        <f>IF($C109=0,"",SUMIFS(INPUT_DATA!AV:AV,INPUT_DATA!$A:$A,$C109,INPUT_DATA!$C:$C,"S"))</f>
        <v/>
      </c>
      <c r="G109" s="774" t="str">
        <f>IF($C109=0,"",SUMIFS(INPUT_DATA!AW:AW,INPUT_DATA!$A:$A,$C109,INPUT_DATA!$C:$C,"S"))</f>
        <v/>
      </c>
      <c r="H109" s="776" t="str">
        <f t="shared" si="10"/>
        <v/>
      </c>
      <c r="I109" s="774" t="str">
        <f>IF($C109=0,"",SUMIFS(INPUT_DATA!AY:AY,INPUT_DATA!$A:$A,$C109,INPUT_DATA!$C:$C,"S"))</f>
        <v/>
      </c>
      <c r="J109" s="774" t="str">
        <f>IF($C109=0,"",SUMIFS(INPUT_DATA!AZ:AZ,INPUT_DATA!$A:$A,$C109,INPUT_DATA!$C:$C,"S"))</f>
        <v/>
      </c>
      <c r="K109" s="774" t="str">
        <f>IF($C109=0,"",SUMIFS(INPUT_DATA!BA:BA,INPUT_DATA!$A:$A,$C109,INPUT_DATA!$C:$C,"S"))</f>
        <v/>
      </c>
      <c r="L109" s="774" t="str">
        <f>IF($C109=0,"",SUMIFS(INPUT_DATA!BB:BB,INPUT_DATA!$A:$A,$C109,INPUT_DATA!$C:$C,"S"))</f>
        <v/>
      </c>
      <c r="M109" s="774" t="str">
        <f>IF($C109=0,"",SUMIFS(INPUT_DATA!BC:BC,INPUT_DATA!$A:$A,$C109,INPUT_DATA!$C:$C,"S"))</f>
        <v/>
      </c>
      <c r="N109" s="774" t="str">
        <f>IF($C109=0,"",SUMIFS(INPUT_DATA!BD:BD,INPUT_DATA!$A:$A,$C109,INPUT_DATA!$C:$C,"S"))</f>
        <v/>
      </c>
      <c r="O109" s="774" t="str">
        <f>IF($C109=0,"",SUMIFS(INPUT_DATA!BE:BE,INPUT_DATA!$A:$A,$C109,INPUT_DATA!$C:$C,"S"))</f>
        <v/>
      </c>
      <c r="P109" s="774" t="str">
        <f>IF($C109=0,"",SUMIFS(INPUT_DATA!BF:BF,INPUT_DATA!$A:$A,$C109,INPUT_DATA!$C:$C,"S"))</f>
        <v/>
      </c>
      <c r="Q109" s="780" t="str">
        <f t="shared" si="15"/>
        <v/>
      </c>
      <c r="R109" s="782" t="str">
        <f>IF($C109=0,"",SUMIFS(INPUT_DATA!BH:BH,INPUT_DATA!$A:$A,$C109,INPUT_DATA!$C:$C,"S"))</f>
        <v/>
      </c>
      <c r="S109" s="782" t="str">
        <f>IF($C109=0,"",SUMIFS(INPUT_DATA!BI:BI,INPUT_DATA!$A:$A,$C109,INPUT_DATA!$C:$C,"S"))</f>
        <v/>
      </c>
      <c r="T109" s="780" t="str">
        <f t="shared" si="16"/>
        <v/>
      </c>
      <c r="U109" s="785" t="str">
        <f>IF($C109=0,"",SUMIFS(INPUT_DATA!BL:BL,INPUT_DATA!$A:$A,$C109,INPUT_DATA!$C:$C,"S"))</f>
        <v/>
      </c>
      <c r="V109" s="155" t="str">
        <f t="shared" si="11"/>
        <v/>
      </c>
      <c r="W109" s="149"/>
      <c r="X109" s="762" t="str">
        <f>IF($C109=0,"",SUMIFS(INPUT_DATA!AU:AU,INPUT_DATA!$A:$A,$C109,INPUT_DATA!$C:$C,"D"))</f>
        <v/>
      </c>
      <c r="Y109" s="774" t="str">
        <f>IF($C109=0,"",SUMIFS(INPUT_DATA!AV:AV,INPUT_DATA!$A:$A,$C109,INPUT_DATA!$C:$C,"D"))</f>
        <v/>
      </c>
      <c r="Z109" s="774" t="str">
        <f>IF($C109=0,"",SUMIFS(INPUT_DATA!AW:AW,INPUT_DATA!$A:$A,$C109,INPUT_DATA!$C:$C,"D"))</f>
        <v/>
      </c>
      <c r="AA109" s="775" t="str">
        <f t="shared" si="12"/>
        <v/>
      </c>
      <c r="AB109" s="774" t="str">
        <f>IF($C109=0,"",SUMIFS(INPUT_DATA!AX:AX,INPUT_DATA!$A:$A,$C109,INPUT_DATA!$C:$C,"D"))</f>
        <v/>
      </c>
      <c r="AC109" s="774" t="str">
        <f>IF($C109=0,"",SUMIFS(INPUT_DATA!AY:AY,INPUT_DATA!$A:$A,$C109,INPUT_DATA!$C:$C,"D"))</f>
        <v/>
      </c>
      <c r="AD109" s="774" t="str">
        <f>IF($C109=0,"",SUMIFS(INPUT_DATA!AZ:AZ,INPUT_DATA!$A:$A,$C109,INPUT_DATA!$C:$C,"D"))</f>
        <v/>
      </c>
      <c r="AE109" s="774" t="str">
        <f>IF($C109=0,"",SUMIFS(INPUT_DATA!BA:BA,INPUT_DATA!$A:$A,$C109,INPUT_DATA!$C:$C,"D"))</f>
        <v/>
      </c>
      <c r="AF109" s="774" t="str">
        <f>IF($C109=0,"",SUMIFS(INPUT_DATA!BB:BB,INPUT_DATA!$A:$A,$C109,INPUT_DATA!$C:$C,"D"))</f>
        <v/>
      </c>
      <c r="AG109" s="774" t="str">
        <f>IF($C109=0,"",SUMIFS(INPUT_DATA!BC:BC,INPUT_DATA!$A:$A,$C109,INPUT_DATA!$C:$C,"D"))</f>
        <v/>
      </c>
      <c r="AH109" s="774" t="str">
        <f>IF($C109=0,"",SUMIFS(INPUT_DATA!BD:BD,INPUT_DATA!$A:$A,$C109,INPUT_DATA!$C:$C,"D"))</f>
        <v/>
      </c>
      <c r="AI109" s="774" t="str">
        <f>IF($C109=0,"",SUMIFS(INPUT_DATA!BE:BE,INPUT_DATA!$A:$A,$C109,INPUT_DATA!$C:$C,"D"))</f>
        <v/>
      </c>
      <c r="AJ109" s="315" t="str">
        <f t="shared" si="13"/>
        <v/>
      </c>
      <c r="AK109" s="782" t="str">
        <f>IF($C109=0,"",SUMIFS(INPUT_DATA!BG:BG,INPUT_DATA!$A:$A,$C109,INPUT_DATA!$C:$C,"D"))</f>
        <v/>
      </c>
      <c r="AL109" s="782" t="str">
        <f>IF($C109=0,"",SUMIFS(INPUT_DATA!BH:BH,INPUT_DATA!$A:$A,$C109,INPUT_DATA!$C:$C,"D"))</f>
        <v/>
      </c>
      <c r="AM109" s="782" t="str">
        <f>IF($C109=0,"",SUMIFS(INPUT_DATA!BI:BI,INPUT_DATA!$A:$A,$C109,INPUT_DATA!$C:$C,"D"))</f>
        <v/>
      </c>
      <c r="AN109" s="780" t="str">
        <f t="shared" si="17"/>
        <v/>
      </c>
      <c r="AO109" s="785" t="str">
        <f>IF($C109=0,"",SUMIFS(INPUT_DATA!BK:BK,INPUT_DATA!$A:$A,$C109,INPUT_DATA!$C:$C,"D"))</f>
        <v/>
      </c>
      <c r="AP109" s="355" t="str">
        <f t="shared" si="18"/>
        <v/>
      </c>
      <c r="AQ109" s="149"/>
      <c r="AS109" s="355" t="str">
        <f t="shared" si="19"/>
        <v/>
      </c>
      <c r="AU109" s="391" t="str">
        <f>IF($C109=0,"",'03 - Monthly Asset Follow up'!E113+'03 - Monthly Asset Follow up'!F113-'03 - Monthly Asset Follow up'!U113+'03 - Monthly Asset Follow up'!X113-H109)</f>
        <v/>
      </c>
      <c r="AV109" s="391" t="str">
        <f>IF($C109=0,"",'03 - Monthly Asset Follow up'!BD113+'03 - Monthly Asset Follow up'!BE113-'03 - Monthly Asset Follow up'!BT113+'03 - Monthly Asset Follow up'!BW113)</f>
        <v/>
      </c>
      <c r="AX109" s="154"/>
    </row>
    <row r="110" spans="2:50" ht="13" x14ac:dyDescent="0.3">
      <c r="B110" s="766" t="str">
        <f t="shared" si="14"/>
        <v/>
      </c>
      <c r="C110" s="769">
        <f>'03 - Monthly Asset Follow up'!B114</f>
        <v>0</v>
      </c>
      <c r="D110" s="149"/>
      <c r="E110" s="762" t="str">
        <f>IF($C110=0,"",SUMIFS(INPUT_DATA!AU:AU,INPUT_DATA!$A:$A,$C110,INPUT_DATA!$C:$C,"S"))</f>
        <v/>
      </c>
      <c r="F110" s="774" t="str">
        <f>IF($C110=0,"",SUMIFS(INPUT_DATA!AV:AV,INPUT_DATA!$A:$A,$C110,INPUT_DATA!$C:$C,"S"))</f>
        <v/>
      </c>
      <c r="G110" s="774" t="str">
        <f>IF($C110=0,"",SUMIFS(INPUT_DATA!AW:AW,INPUT_DATA!$A:$A,$C110,INPUT_DATA!$C:$C,"S"))</f>
        <v/>
      </c>
      <c r="H110" s="776" t="str">
        <f t="shared" si="10"/>
        <v/>
      </c>
      <c r="I110" s="774" t="str">
        <f>IF($C110=0,"",SUMIFS(INPUT_DATA!AY:AY,INPUT_DATA!$A:$A,$C110,INPUT_DATA!$C:$C,"S"))</f>
        <v/>
      </c>
      <c r="J110" s="774" t="str">
        <f>IF($C110=0,"",SUMIFS(INPUT_DATA!AZ:AZ,INPUT_DATA!$A:$A,$C110,INPUT_DATA!$C:$C,"S"))</f>
        <v/>
      </c>
      <c r="K110" s="774" t="str">
        <f>IF($C110=0,"",SUMIFS(INPUT_DATA!BA:BA,INPUT_DATA!$A:$A,$C110,INPUT_DATA!$C:$C,"S"))</f>
        <v/>
      </c>
      <c r="L110" s="774" t="str">
        <f>IF($C110=0,"",SUMIFS(INPUT_DATA!BB:BB,INPUT_DATA!$A:$A,$C110,INPUT_DATA!$C:$C,"S"))</f>
        <v/>
      </c>
      <c r="M110" s="774" t="str">
        <f>IF($C110=0,"",SUMIFS(INPUT_DATA!BC:BC,INPUT_DATA!$A:$A,$C110,INPUT_DATA!$C:$C,"S"))</f>
        <v/>
      </c>
      <c r="N110" s="774" t="str">
        <f>IF($C110=0,"",SUMIFS(INPUT_DATA!BD:BD,INPUT_DATA!$A:$A,$C110,INPUT_DATA!$C:$C,"S"))</f>
        <v/>
      </c>
      <c r="O110" s="774" t="str">
        <f>IF($C110=0,"",SUMIFS(INPUT_DATA!BE:BE,INPUT_DATA!$A:$A,$C110,INPUT_DATA!$C:$C,"S"))</f>
        <v/>
      </c>
      <c r="P110" s="774" t="str">
        <f>IF($C110=0,"",SUMIFS(INPUT_DATA!BF:BF,INPUT_DATA!$A:$A,$C110,INPUT_DATA!$C:$C,"S"))</f>
        <v/>
      </c>
      <c r="Q110" s="780" t="str">
        <f t="shared" si="15"/>
        <v/>
      </c>
      <c r="R110" s="782" t="str">
        <f>IF($C110=0,"",SUMIFS(INPUT_DATA!BH:BH,INPUT_DATA!$A:$A,$C110,INPUT_DATA!$C:$C,"S"))</f>
        <v/>
      </c>
      <c r="S110" s="782" t="str">
        <f>IF($C110=0,"",SUMIFS(INPUT_DATA!BI:BI,INPUT_DATA!$A:$A,$C110,INPUT_DATA!$C:$C,"S"))</f>
        <v/>
      </c>
      <c r="T110" s="780" t="str">
        <f t="shared" si="16"/>
        <v/>
      </c>
      <c r="U110" s="785" t="str">
        <f>IF($C110=0,"",SUMIFS(INPUT_DATA!BL:BL,INPUT_DATA!$A:$A,$C110,INPUT_DATA!$C:$C,"S"))</f>
        <v/>
      </c>
      <c r="V110" s="155" t="str">
        <f t="shared" si="11"/>
        <v/>
      </c>
      <c r="W110" s="149"/>
      <c r="X110" s="762" t="str">
        <f>IF($C110=0,"",SUMIFS(INPUT_DATA!AU:AU,INPUT_DATA!$A:$A,$C110,INPUT_DATA!$C:$C,"D"))</f>
        <v/>
      </c>
      <c r="Y110" s="774" t="str">
        <f>IF($C110=0,"",SUMIFS(INPUT_DATA!AV:AV,INPUT_DATA!$A:$A,$C110,INPUT_DATA!$C:$C,"D"))</f>
        <v/>
      </c>
      <c r="Z110" s="774" t="str">
        <f>IF($C110=0,"",SUMIFS(INPUT_DATA!AW:AW,INPUT_DATA!$A:$A,$C110,INPUT_DATA!$C:$C,"D"))</f>
        <v/>
      </c>
      <c r="AA110" s="775" t="str">
        <f t="shared" si="12"/>
        <v/>
      </c>
      <c r="AB110" s="774" t="str">
        <f>IF($C110=0,"",SUMIFS(INPUT_DATA!AX:AX,INPUT_DATA!$A:$A,$C110,INPUT_DATA!$C:$C,"D"))</f>
        <v/>
      </c>
      <c r="AC110" s="774" t="str">
        <f>IF($C110=0,"",SUMIFS(INPUT_DATA!AY:AY,INPUT_DATA!$A:$A,$C110,INPUT_DATA!$C:$C,"D"))</f>
        <v/>
      </c>
      <c r="AD110" s="774" t="str">
        <f>IF($C110=0,"",SUMIFS(INPUT_DATA!AZ:AZ,INPUT_DATA!$A:$A,$C110,INPUT_DATA!$C:$C,"D"))</f>
        <v/>
      </c>
      <c r="AE110" s="774" t="str">
        <f>IF($C110=0,"",SUMIFS(INPUT_DATA!BA:BA,INPUT_DATA!$A:$A,$C110,INPUT_DATA!$C:$C,"D"))</f>
        <v/>
      </c>
      <c r="AF110" s="774" t="str">
        <f>IF($C110=0,"",SUMIFS(INPUT_DATA!BB:BB,INPUT_DATA!$A:$A,$C110,INPUT_DATA!$C:$C,"D"))</f>
        <v/>
      </c>
      <c r="AG110" s="774" t="str">
        <f>IF($C110=0,"",SUMIFS(INPUT_DATA!BC:BC,INPUT_DATA!$A:$A,$C110,INPUT_DATA!$C:$C,"D"))</f>
        <v/>
      </c>
      <c r="AH110" s="774" t="str">
        <f>IF($C110=0,"",SUMIFS(INPUT_DATA!BD:BD,INPUT_DATA!$A:$A,$C110,INPUT_DATA!$C:$C,"D"))</f>
        <v/>
      </c>
      <c r="AI110" s="774" t="str">
        <f>IF($C110=0,"",SUMIFS(INPUT_DATA!BE:BE,INPUT_DATA!$A:$A,$C110,INPUT_DATA!$C:$C,"D"))</f>
        <v/>
      </c>
      <c r="AJ110" s="315" t="str">
        <f t="shared" si="13"/>
        <v/>
      </c>
      <c r="AK110" s="782" t="str">
        <f>IF($C110=0,"",SUMIFS(INPUT_DATA!BG:BG,INPUT_DATA!$A:$A,$C110,INPUT_DATA!$C:$C,"D"))</f>
        <v/>
      </c>
      <c r="AL110" s="782" t="str">
        <f>IF($C110=0,"",SUMIFS(INPUT_DATA!BH:BH,INPUT_DATA!$A:$A,$C110,INPUT_DATA!$C:$C,"D"))</f>
        <v/>
      </c>
      <c r="AM110" s="782" t="str">
        <f>IF($C110=0,"",SUMIFS(INPUT_DATA!BI:BI,INPUT_DATA!$A:$A,$C110,INPUT_DATA!$C:$C,"D"))</f>
        <v/>
      </c>
      <c r="AN110" s="780" t="str">
        <f t="shared" si="17"/>
        <v/>
      </c>
      <c r="AO110" s="785" t="str">
        <f>IF($C110=0,"",SUMIFS(INPUT_DATA!BK:BK,INPUT_DATA!$A:$A,$C110,INPUT_DATA!$C:$C,"D"))</f>
        <v/>
      </c>
      <c r="AP110" s="355" t="str">
        <f t="shared" si="18"/>
        <v/>
      </c>
      <c r="AQ110" s="149"/>
      <c r="AS110" s="355" t="str">
        <f t="shared" si="19"/>
        <v/>
      </c>
      <c r="AU110" s="391" t="str">
        <f>IF($C110=0,"",'03 - Monthly Asset Follow up'!E114+'03 - Monthly Asset Follow up'!F114-'03 - Monthly Asset Follow up'!U114+'03 - Monthly Asset Follow up'!X114-H110)</f>
        <v/>
      </c>
      <c r="AV110" s="391" t="str">
        <f>IF($C110=0,"",'03 - Monthly Asset Follow up'!BD114+'03 - Monthly Asset Follow up'!BE114-'03 - Monthly Asset Follow up'!BT114+'03 - Monthly Asset Follow up'!BW114)</f>
        <v/>
      </c>
      <c r="AX110" s="154"/>
    </row>
    <row r="111" spans="2:50" ht="13" x14ac:dyDescent="0.3">
      <c r="B111" s="766" t="str">
        <f t="shared" si="14"/>
        <v/>
      </c>
      <c r="C111" s="769">
        <f>'03 - Monthly Asset Follow up'!B115</f>
        <v>0</v>
      </c>
      <c r="D111" s="149"/>
      <c r="E111" s="762" t="str">
        <f>IF($C111=0,"",SUMIFS(INPUT_DATA!AU:AU,INPUT_DATA!$A:$A,$C111,INPUT_DATA!$C:$C,"S"))</f>
        <v/>
      </c>
      <c r="F111" s="774" t="str">
        <f>IF($C111=0,"",SUMIFS(INPUT_DATA!AV:AV,INPUT_DATA!$A:$A,$C111,INPUT_DATA!$C:$C,"S"))</f>
        <v/>
      </c>
      <c r="G111" s="774" t="str">
        <f>IF($C111=0,"",SUMIFS(INPUT_DATA!AW:AW,INPUT_DATA!$A:$A,$C111,INPUT_DATA!$C:$C,"S"))</f>
        <v/>
      </c>
      <c r="H111" s="776" t="str">
        <f t="shared" si="10"/>
        <v/>
      </c>
      <c r="I111" s="774" t="str">
        <f>IF($C111=0,"",SUMIFS(INPUT_DATA!AY:AY,INPUT_DATA!$A:$A,$C111,INPUT_DATA!$C:$C,"S"))</f>
        <v/>
      </c>
      <c r="J111" s="774" t="str">
        <f>IF($C111=0,"",SUMIFS(INPUT_DATA!AZ:AZ,INPUT_DATA!$A:$A,$C111,INPUT_DATA!$C:$C,"S"))</f>
        <v/>
      </c>
      <c r="K111" s="774" t="str">
        <f>IF($C111=0,"",SUMIFS(INPUT_DATA!BA:BA,INPUT_DATA!$A:$A,$C111,INPUT_DATA!$C:$C,"S"))</f>
        <v/>
      </c>
      <c r="L111" s="774" t="str">
        <f>IF($C111=0,"",SUMIFS(INPUT_DATA!BB:BB,INPUT_DATA!$A:$A,$C111,INPUT_DATA!$C:$C,"S"))</f>
        <v/>
      </c>
      <c r="M111" s="774" t="str">
        <f>IF($C111=0,"",SUMIFS(INPUT_DATA!BC:BC,INPUT_DATA!$A:$A,$C111,INPUT_DATA!$C:$C,"S"))</f>
        <v/>
      </c>
      <c r="N111" s="774" t="str">
        <f>IF($C111=0,"",SUMIFS(INPUT_DATA!BD:BD,INPUT_DATA!$A:$A,$C111,INPUT_DATA!$C:$C,"S"))</f>
        <v/>
      </c>
      <c r="O111" s="774" t="str">
        <f>IF($C111=0,"",SUMIFS(INPUT_DATA!BE:BE,INPUT_DATA!$A:$A,$C111,INPUT_DATA!$C:$C,"S"))</f>
        <v/>
      </c>
      <c r="P111" s="774" t="str">
        <f>IF($C111=0,"",SUMIFS(INPUT_DATA!BF:BF,INPUT_DATA!$A:$A,$C111,INPUT_DATA!$C:$C,"S"))</f>
        <v/>
      </c>
      <c r="Q111" s="780" t="str">
        <f t="shared" si="15"/>
        <v/>
      </c>
      <c r="R111" s="782" t="str">
        <f>IF($C111=0,"",SUMIFS(INPUT_DATA!BH:BH,INPUT_DATA!$A:$A,$C111,INPUT_DATA!$C:$C,"S"))</f>
        <v/>
      </c>
      <c r="S111" s="782" t="str">
        <f>IF($C111=0,"",SUMIFS(INPUT_DATA!BI:BI,INPUT_DATA!$A:$A,$C111,INPUT_DATA!$C:$C,"S"))</f>
        <v/>
      </c>
      <c r="T111" s="780" t="str">
        <f t="shared" si="16"/>
        <v/>
      </c>
      <c r="U111" s="785" t="str">
        <f>IF($C111=0,"",SUMIFS(INPUT_DATA!BL:BL,INPUT_DATA!$A:$A,$C111,INPUT_DATA!$C:$C,"S"))</f>
        <v/>
      </c>
      <c r="V111" s="155" t="str">
        <f t="shared" si="11"/>
        <v/>
      </c>
      <c r="W111" s="149"/>
      <c r="X111" s="762" t="str">
        <f>IF($C111=0,"",SUMIFS(INPUT_DATA!AU:AU,INPUT_DATA!$A:$A,$C111,INPUT_DATA!$C:$C,"D"))</f>
        <v/>
      </c>
      <c r="Y111" s="774" t="str">
        <f>IF($C111=0,"",SUMIFS(INPUT_DATA!AV:AV,INPUT_DATA!$A:$A,$C111,INPUT_DATA!$C:$C,"D"))</f>
        <v/>
      </c>
      <c r="Z111" s="774" t="str">
        <f>IF($C111=0,"",SUMIFS(INPUT_DATA!AW:AW,INPUT_DATA!$A:$A,$C111,INPUT_DATA!$C:$C,"D"))</f>
        <v/>
      </c>
      <c r="AA111" s="775" t="str">
        <f t="shared" si="12"/>
        <v/>
      </c>
      <c r="AB111" s="774" t="str">
        <f>IF($C111=0,"",SUMIFS(INPUT_DATA!AX:AX,INPUT_DATA!$A:$A,$C111,INPUT_DATA!$C:$C,"D"))</f>
        <v/>
      </c>
      <c r="AC111" s="774" t="str">
        <f>IF($C111=0,"",SUMIFS(INPUT_DATA!AY:AY,INPUT_DATA!$A:$A,$C111,INPUT_DATA!$C:$C,"D"))</f>
        <v/>
      </c>
      <c r="AD111" s="774" t="str">
        <f>IF($C111=0,"",SUMIFS(INPUT_DATA!AZ:AZ,INPUT_DATA!$A:$A,$C111,INPUT_DATA!$C:$C,"D"))</f>
        <v/>
      </c>
      <c r="AE111" s="774" t="str">
        <f>IF($C111=0,"",SUMIFS(INPUT_DATA!BA:BA,INPUT_DATA!$A:$A,$C111,INPUT_DATA!$C:$C,"D"))</f>
        <v/>
      </c>
      <c r="AF111" s="774" t="str">
        <f>IF($C111=0,"",SUMIFS(INPUT_DATA!BB:BB,INPUT_DATA!$A:$A,$C111,INPUT_DATA!$C:$C,"D"))</f>
        <v/>
      </c>
      <c r="AG111" s="774" t="str">
        <f>IF($C111=0,"",SUMIFS(INPUT_DATA!BC:BC,INPUT_DATA!$A:$A,$C111,INPUT_DATA!$C:$C,"D"))</f>
        <v/>
      </c>
      <c r="AH111" s="774" t="str">
        <f>IF($C111=0,"",SUMIFS(INPUT_DATA!BD:BD,INPUT_DATA!$A:$A,$C111,INPUT_DATA!$C:$C,"D"))</f>
        <v/>
      </c>
      <c r="AI111" s="774" t="str">
        <f>IF($C111=0,"",SUMIFS(INPUT_DATA!BE:BE,INPUT_DATA!$A:$A,$C111,INPUT_DATA!$C:$C,"D"))</f>
        <v/>
      </c>
      <c r="AJ111" s="315" t="str">
        <f t="shared" si="13"/>
        <v/>
      </c>
      <c r="AK111" s="782" t="str">
        <f>IF($C111=0,"",SUMIFS(INPUT_DATA!BG:BG,INPUT_DATA!$A:$A,$C111,INPUT_DATA!$C:$C,"D"))</f>
        <v/>
      </c>
      <c r="AL111" s="782" t="str">
        <f>IF($C111=0,"",SUMIFS(INPUT_DATA!BH:BH,INPUT_DATA!$A:$A,$C111,INPUT_DATA!$C:$C,"D"))</f>
        <v/>
      </c>
      <c r="AM111" s="782" t="str">
        <f>IF($C111=0,"",SUMIFS(INPUT_DATA!BI:BI,INPUT_DATA!$A:$A,$C111,INPUT_DATA!$C:$C,"D"))</f>
        <v/>
      </c>
      <c r="AN111" s="780" t="str">
        <f t="shared" si="17"/>
        <v/>
      </c>
      <c r="AO111" s="785" t="str">
        <f>IF($C111=0,"",SUMIFS(INPUT_DATA!BK:BK,INPUT_DATA!$A:$A,$C111,INPUT_DATA!$C:$C,"D"))</f>
        <v/>
      </c>
      <c r="AP111" s="355" t="str">
        <f t="shared" si="18"/>
        <v/>
      </c>
      <c r="AQ111" s="149"/>
      <c r="AS111" s="355" t="str">
        <f t="shared" si="19"/>
        <v/>
      </c>
      <c r="AU111" s="391" t="str">
        <f>IF($C111=0,"",'03 - Monthly Asset Follow up'!E115+'03 - Monthly Asset Follow up'!F115-'03 - Monthly Asset Follow up'!U115+'03 - Monthly Asset Follow up'!X115-H111)</f>
        <v/>
      </c>
      <c r="AV111" s="391" t="str">
        <f>IF($C111=0,"",'03 - Monthly Asset Follow up'!BD115+'03 - Monthly Asset Follow up'!BE115-'03 - Monthly Asset Follow up'!BT115+'03 - Monthly Asset Follow up'!BW115)</f>
        <v/>
      </c>
      <c r="AX111" s="154"/>
    </row>
    <row r="112" spans="2:50" ht="13" x14ac:dyDescent="0.3">
      <c r="B112" s="766" t="str">
        <f t="shared" si="14"/>
        <v/>
      </c>
      <c r="C112" s="769">
        <f>'03 - Monthly Asset Follow up'!B116</f>
        <v>0</v>
      </c>
      <c r="D112" s="149"/>
      <c r="E112" s="762" t="str">
        <f>IF($C112=0,"",SUMIFS(INPUT_DATA!AU:AU,INPUT_DATA!$A:$A,$C112,INPUT_DATA!$C:$C,"S"))</f>
        <v/>
      </c>
      <c r="F112" s="774" t="str">
        <f>IF($C112=0,"",SUMIFS(INPUT_DATA!AV:AV,INPUT_DATA!$A:$A,$C112,INPUT_DATA!$C:$C,"S"))</f>
        <v/>
      </c>
      <c r="G112" s="774" t="str">
        <f>IF($C112=0,"",SUMIFS(INPUT_DATA!AW:AW,INPUT_DATA!$A:$A,$C112,INPUT_DATA!$C:$C,"S"))</f>
        <v/>
      </c>
      <c r="H112" s="776" t="str">
        <f t="shared" si="10"/>
        <v/>
      </c>
      <c r="I112" s="774" t="str">
        <f>IF($C112=0,"",SUMIFS(INPUT_DATA!AY:AY,INPUT_DATA!$A:$A,$C112,INPUT_DATA!$C:$C,"S"))</f>
        <v/>
      </c>
      <c r="J112" s="774" t="str">
        <f>IF($C112=0,"",SUMIFS(INPUT_DATA!AZ:AZ,INPUT_DATA!$A:$A,$C112,INPUT_DATA!$C:$C,"S"))</f>
        <v/>
      </c>
      <c r="K112" s="774" t="str">
        <f>IF($C112=0,"",SUMIFS(INPUT_DATA!BA:BA,INPUT_DATA!$A:$A,$C112,INPUT_DATA!$C:$C,"S"))</f>
        <v/>
      </c>
      <c r="L112" s="774" t="str">
        <f>IF($C112=0,"",SUMIFS(INPUT_DATA!BB:BB,INPUT_DATA!$A:$A,$C112,INPUT_DATA!$C:$C,"S"))</f>
        <v/>
      </c>
      <c r="M112" s="774" t="str">
        <f>IF($C112=0,"",SUMIFS(INPUT_DATA!BC:BC,INPUT_DATA!$A:$A,$C112,INPUT_DATA!$C:$C,"S"))</f>
        <v/>
      </c>
      <c r="N112" s="774" t="str">
        <f>IF($C112=0,"",SUMIFS(INPUT_DATA!BD:BD,INPUT_DATA!$A:$A,$C112,INPUT_DATA!$C:$C,"S"))</f>
        <v/>
      </c>
      <c r="O112" s="774" t="str">
        <f>IF($C112=0,"",SUMIFS(INPUT_DATA!BE:BE,INPUT_DATA!$A:$A,$C112,INPUT_DATA!$C:$C,"S"))</f>
        <v/>
      </c>
      <c r="P112" s="774" t="str">
        <f>IF($C112=0,"",SUMIFS(INPUT_DATA!BF:BF,INPUT_DATA!$A:$A,$C112,INPUT_DATA!$C:$C,"S"))</f>
        <v/>
      </c>
      <c r="Q112" s="780" t="str">
        <f t="shared" si="15"/>
        <v/>
      </c>
      <c r="R112" s="782" t="str">
        <f>IF($C112=0,"",SUMIFS(INPUT_DATA!BH:BH,INPUT_DATA!$A:$A,$C112,INPUT_DATA!$C:$C,"S"))</f>
        <v/>
      </c>
      <c r="S112" s="782" t="str">
        <f>IF($C112=0,"",SUMIFS(INPUT_DATA!BI:BI,INPUT_DATA!$A:$A,$C112,INPUT_DATA!$C:$C,"S"))</f>
        <v/>
      </c>
      <c r="T112" s="780" t="str">
        <f t="shared" si="16"/>
        <v/>
      </c>
      <c r="U112" s="785" t="str">
        <f>IF($C112=0,"",SUMIFS(INPUT_DATA!BL:BL,INPUT_DATA!$A:$A,$C112,INPUT_DATA!$C:$C,"S"))</f>
        <v/>
      </c>
      <c r="V112" s="155" t="str">
        <f t="shared" si="11"/>
        <v/>
      </c>
      <c r="W112" s="149"/>
      <c r="X112" s="762" t="str">
        <f>IF($C112=0,"",SUMIFS(INPUT_DATA!AU:AU,INPUT_DATA!$A:$A,$C112,INPUT_DATA!$C:$C,"D"))</f>
        <v/>
      </c>
      <c r="Y112" s="774" t="str">
        <f>IF($C112=0,"",SUMIFS(INPUT_DATA!AV:AV,INPUT_DATA!$A:$A,$C112,INPUT_DATA!$C:$C,"D"))</f>
        <v/>
      </c>
      <c r="Z112" s="774" t="str">
        <f>IF($C112=0,"",SUMIFS(INPUT_DATA!AW:AW,INPUT_DATA!$A:$A,$C112,INPUT_DATA!$C:$C,"D"))</f>
        <v/>
      </c>
      <c r="AA112" s="775" t="str">
        <f t="shared" si="12"/>
        <v/>
      </c>
      <c r="AB112" s="774" t="str">
        <f>IF($C112=0,"",SUMIFS(INPUT_DATA!AX:AX,INPUT_DATA!$A:$A,$C112,INPUT_DATA!$C:$C,"D"))</f>
        <v/>
      </c>
      <c r="AC112" s="774" t="str">
        <f>IF($C112=0,"",SUMIFS(INPUT_DATA!AY:AY,INPUT_DATA!$A:$A,$C112,INPUT_DATA!$C:$C,"D"))</f>
        <v/>
      </c>
      <c r="AD112" s="774" t="str">
        <f>IF($C112=0,"",SUMIFS(INPUT_DATA!AZ:AZ,INPUT_DATA!$A:$A,$C112,INPUT_DATA!$C:$C,"D"))</f>
        <v/>
      </c>
      <c r="AE112" s="774" t="str">
        <f>IF($C112=0,"",SUMIFS(INPUT_DATA!BA:BA,INPUT_DATA!$A:$A,$C112,INPUT_DATA!$C:$C,"D"))</f>
        <v/>
      </c>
      <c r="AF112" s="774" t="str">
        <f>IF($C112=0,"",SUMIFS(INPUT_DATA!BB:BB,INPUT_DATA!$A:$A,$C112,INPUT_DATA!$C:$C,"D"))</f>
        <v/>
      </c>
      <c r="AG112" s="774" t="str">
        <f>IF($C112=0,"",SUMIFS(INPUT_DATA!BC:BC,INPUT_DATA!$A:$A,$C112,INPUT_DATA!$C:$C,"D"))</f>
        <v/>
      </c>
      <c r="AH112" s="774" t="str">
        <f>IF($C112=0,"",SUMIFS(INPUT_DATA!BD:BD,INPUT_DATA!$A:$A,$C112,INPUT_DATA!$C:$C,"D"))</f>
        <v/>
      </c>
      <c r="AI112" s="774" t="str">
        <f>IF($C112=0,"",SUMIFS(INPUT_DATA!BE:BE,INPUT_DATA!$A:$A,$C112,INPUT_DATA!$C:$C,"D"))</f>
        <v/>
      </c>
      <c r="AJ112" s="315" t="str">
        <f t="shared" si="13"/>
        <v/>
      </c>
      <c r="AK112" s="782" t="str">
        <f>IF($C112=0,"",SUMIFS(INPUT_DATA!BG:BG,INPUT_DATA!$A:$A,$C112,INPUT_DATA!$C:$C,"D"))</f>
        <v/>
      </c>
      <c r="AL112" s="782" t="str">
        <f>IF($C112=0,"",SUMIFS(INPUT_DATA!BH:BH,INPUT_DATA!$A:$A,$C112,INPUT_DATA!$C:$C,"D"))</f>
        <v/>
      </c>
      <c r="AM112" s="782" t="str">
        <f>IF($C112=0,"",SUMIFS(INPUT_DATA!BI:BI,INPUT_DATA!$A:$A,$C112,INPUT_DATA!$C:$C,"D"))</f>
        <v/>
      </c>
      <c r="AN112" s="780" t="str">
        <f t="shared" si="17"/>
        <v/>
      </c>
      <c r="AO112" s="785" t="str">
        <f>IF($C112=0,"",SUMIFS(INPUT_DATA!BK:BK,INPUT_DATA!$A:$A,$C112,INPUT_DATA!$C:$C,"D"))</f>
        <v/>
      </c>
      <c r="AP112" s="355" t="str">
        <f t="shared" si="18"/>
        <v/>
      </c>
      <c r="AQ112" s="149"/>
      <c r="AS112" s="355" t="str">
        <f t="shared" si="19"/>
        <v/>
      </c>
      <c r="AU112" s="391" t="str">
        <f>IF($C112=0,"",'03 - Monthly Asset Follow up'!E116+'03 - Monthly Asset Follow up'!F116-'03 - Monthly Asset Follow up'!U116+'03 - Monthly Asset Follow up'!X116-H112)</f>
        <v/>
      </c>
      <c r="AV112" s="391" t="str">
        <f>IF($C112=0,"",'03 - Monthly Asset Follow up'!BD116+'03 - Monthly Asset Follow up'!BE116-'03 - Monthly Asset Follow up'!BT116+'03 - Monthly Asset Follow up'!BW116)</f>
        <v/>
      </c>
      <c r="AX112" s="154"/>
    </row>
    <row r="113" spans="2:50" ht="13" x14ac:dyDescent="0.3">
      <c r="B113" s="766" t="str">
        <f t="shared" si="14"/>
        <v/>
      </c>
      <c r="C113" s="769">
        <f>'03 - Monthly Asset Follow up'!B117</f>
        <v>0</v>
      </c>
      <c r="D113" s="149"/>
      <c r="E113" s="762" t="str">
        <f>IF($C113=0,"",SUMIFS(INPUT_DATA!AU:AU,INPUT_DATA!$A:$A,$C113,INPUT_DATA!$C:$C,"S"))</f>
        <v/>
      </c>
      <c r="F113" s="774" t="str">
        <f>IF($C113=0,"",SUMIFS(INPUT_DATA!AV:AV,INPUT_DATA!$A:$A,$C113,INPUT_DATA!$C:$C,"S"))</f>
        <v/>
      </c>
      <c r="G113" s="774" t="str">
        <f>IF($C113=0,"",SUMIFS(INPUT_DATA!AW:AW,INPUT_DATA!$A:$A,$C113,INPUT_DATA!$C:$C,"S"))</f>
        <v/>
      </c>
      <c r="H113" s="776" t="str">
        <f t="shared" si="10"/>
        <v/>
      </c>
      <c r="I113" s="774" t="str">
        <f>IF($C113=0,"",SUMIFS(INPUT_DATA!AY:AY,INPUT_DATA!$A:$A,$C113,INPUT_DATA!$C:$C,"S"))</f>
        <v/>
      </c>
      <c r="J113" s="774" t="str">
        <f>IF($C113=0,"",SUMIFS(INPUT_DATA!AZ:AZ,INPUT_DATA!$A:$A,$C113,INPUT_DATA!$C:$C,"S"))</f>
        <v/>
      </c>
      <c r="K113" s="774" t="str">
        <f>IF($C113=0,"",SUMIFS(INPUT_DATA!BA:BA,INPUT_DATA!$A:$A,$C113,INPUT_DATA!$C:$C,"S"))</f>
        <v/>
      </c>
      <c r="L113" s="774" t="str">
        <f>IF($C113=0,"",SUMIFS(INPUT_DATA!BB:BB,INPUT_DATA!$A:$A,$C113,INPUT_DATA!$C:$C,"S"))</f>
        <v/>
      </c>
      <c r="M113" s="774" t="str">
        <f>IF($C113=0,"",SUMIFS(INPUT_DATA!BC:BC,INPUT_DATA!$A:$A,$C113,INPUT_DATA!$C:$C,"S"))</f>
        <v/>
      </c>
      <c r="N113" s="774" t="str">
        <f>IF($C113=0,"",SUMIFS(INPUT_DATA!BD:BD,INPUT_DATA!$A:$A,$C113,INPUT_DATA!$C:$C,"S"))</f>
        <v/>
      </c>
      <c r="O113" s="774" t="str">
        <f>IF($C113=0,"",SUMIFS(INPUT_DATA!BE:BE,INPUT_DATA!$A:$A,$C113,INPUT_DATA!$C:$C,"S"))</f>
        <v/>
      </c>
      <c r="P113" s="774" t="str">
        <f>IF($C113=0,"",SUMIFS(INPUT_DATA!BF:BF,INPUT_DATA!$A:$A,$C113,INPUT_DATA!$C:$C,"S"))</f>
        <v/>
      </c>
      <c r="Q113" s="780" t="str">
        <f t="shared" si="15"/>
        <v/>
      </c>
      <c r="R113" s="782" t="str">
        <f>IF($C113=0,"",SUMIFS(INPUT_DATA!BH:BH,INPUT_DATA!$A:$A,$C113,INPUT_DATA!$C:$C,"S"))</f>
        <v/>
      </c>
      <c r="S113" s="782" t="str">
        <f>IF($C113=0,"",SUMIFS(INPUT_DATA!BI:BI,INPUT_DATA!$A:$A,$C113,INPUT_DATA!$C:$C,"S"))</f>
        <v/>
      </c>
      <c r="T113" s="780" t="str">
        <f t="shared" si="16"/>
        <v/>
      </c>
      <c r="U113" s="785" t="str">
        <f>IF($C113=0,"",SUMIFS(INPUT_DATA!BL:BL,INPUT_DATA!$A:$A,$C113,INPUT_DATA!$C:$C,"S"))</f>
        <v/>
      </c>
      <c r="V113" s="155" t="str">
        <f t="shared" si="11"/>
        <v/>
      </c>
      <c r="W113" s="149"/>
      <c r="X113" s="762" t="str">
        <f>IF($C113=0,"",SUMIFS(INPUT_DATA!AU:AU,INPUT_DATA!$A:$A,$C113,INPUT_DATA!$C:$C,"D"))</f>
        <v/>
      </c>
      <c r="Y113" s="774" t="str">
        <f>IF($C113=0,"",SUMIFS(INPUT_DATA!AV:AV,INPUT_DATA!$A:$A,$C113,INPUT_DATA!$C:$C,"D"))</f>
        <v/>
      </c>
      <c r="Z113" s="774" t="str">
        <f>IF($C113=0,"",SUMIFS(INPUT_DATA!AW:AW,INPUT_DATA!$A:$A,$C113,INPUT_DATA!$C:$C,"D"))</f>
        <v/>
      </c>
      <c r="AA113" s="775" t="str">
        <f t="shared" si="12"/>
        <v/>
      </c>
      <c r="AB113" s="774" t="str">
        <f>IF($C113=0,"",SUMIFS(INPUT_DATA!AX:AX,INPUT_DATA!$A:$A,$C113,INPUT_DATA!$C:$C,"D"))</f>
        <v/>
      </c>
      <c r="AC113" s="774" t="str">
        <f>IF($C113=0,"",SUMIFS(INPUT_DATA!AY:AY,INPUT_DATA!$A:$A,$C113,INPUT_DATA!$C:$C,"D"))</f>
        <v/>
      </c>
      <c r="AD113" s="774" t="str">
        <f>IF($C113=0,"",SUMIFS(INPUT_DATA!AZ:AZ,INPUT_DATA!$A:$A,$C113,INPUT_DATA!$C:$C,"D"))</f>
        <v/>
      </c>
      <c r="AE113" s="774" t="str">
        <f>IF($C113=0,"",SUMIFS(INPUT_DATA!BA:BA,INPUT_DATA!$A:$A,$C113,INPUT_DATA!$C:$C,"D"))</f>
        <v/>
      </c>
      <c r="AF113" s="774" t="str">
        <f>IF($C113=0,"",SUMIFS(INPUT_DATA!BB:BB,INPUT_DATA!$A:$A,$C113,INPUT_DATA!$C:$C,"D"))</f>
        <v/>
      </c>
      <c r="AG113" s="774" t="str">
        <f>IF($C113=0,"",SUMIFS(INPUT_DATA!BC:BC,INPUT_DATA!$A:$A,$C113,INPUT_DATA!$C:$C,"D"))</f>
        <v/>
      </c>
      <c r="AH113" s="774" t="str">
        <f>IF($C113=0,"",SUMIFS(INPUT_DATA!BD:BD,INPUT_DATA!$A:$A,$C113,INPUT_DATA!$C:$C,"D"))</f>
        <v/>
      </c>
      <c r="AI113" s="774" t="str">
        <f>IF($C113=0,"",SUMIFS(INPUT_DATA!BE:BE,INPUT_DATA!$A:$A,$C113,INPUT_DATA!$C:$C,"D"))</f>
        <v/>
      </c>
      <c r="AJ113" s="315" t="str">
        <f t="shared" si="13"/>
        <v/>
      </c>
      <c r="AK113" s="782" t="str">
        <f>IF($C113=0,"",SUMIFS(INPUT_DATA!BG:BG,INPUT_DATA!$A:$A,$C113,INPUT_DATA!$C:$C,"D"))</f>
        <v/>
      </c>
      <c r="AL113" s="782" t="str">
        <f>IF($C113=0,"",SUMIFS(INPUT_DATA!BH:BH,INPUT_DATA!$A:$A,$C113,INPUT_DATA!$C:$C,"D"))</f>
        <v/>
      </c>
      <c r="AM113" s="782" t="str">
        <f>IF($C113=0,"",SUMIFS(INPUT_DATA!BI:BI,INPUT_DATA!$A:$A,$C113,INPUT_DATA!$C:$C,"D"))</f>
        <v/>
      </c>
      <c r="AN113" s="780" t="str">
        <f t="shared" si="17"/>
        <v/>
      </c>
      <c r="AO113" s="785" t="str">
        <f>IF($C113=0,"",SUMIFS(INPUT_DATA!BK:BK,INPUT_DATA!$A:$A,$C113,INPUT_DATA!$C:$C,"D"))</f>
        <v/>
      </c>
      <c r="AP113" s="355" t="str">
        <f t="shared" si="18"/>
        <v/>
      </c>
      <c r="AQ113" s="149"/>
      <c r="AS113" s="355" t="str">
        <f t="shared" si="19"/>
        <v/>
      </c>
      <c r="AU113" s="391" t="str">
        <f>IF($C113=0,"",'03 - Monthly Asset Follow up'!E117+'03 - Monthly Asset Follow up'!F117-'03 - Monthly Asset Follow up'!U117+'03 - Monthly Asset Follow up'!X117-H113)</f>
        <v/>
      </c>
      <c r="AV113" s="391" t="str">
        <f>IF($C113=0,"",'03 - Monthly Asset Follow up'!BD117+'03 - Monthly Asset Follow up'!BE117-'03 - Monthly Asset Follow up'!BT117+'03 - Monthly Asset Follow up'!BW117)</f>
        <v/>
      </c>
      <c r="AX113" s="154"/>
    </row>
    <row r="114" spans="2:50" ht="13" x14ac:dyDescent="0.3">
      <c r="B114" s="766" t="str">
        <f t="shared" si="14"/>
        <v/>
      </c>
      <c r="C114" s="769">
        <f>'03 - Monthly Asset Follow up'!B118</f>
        <v>0</v>
      </c>
      <c r="D114" s="149"/>
      <c r="E114" s="762" t="str">
        <f>IF($C114=0,"",SUMIFS(INPUT_DATA!AU:AU,INPUT_DATA!$A:$A,$C114,INPUT_DATA!$C:$C,"S"))</f>
        <v/>
      </c>
      <c r="F114" s="774" t="str">
        <f>IF($C114=0,"",SUMIFS(INPUT_DATA!AV:AV,INPUT_DATA!$A:$A,$C114,INPUT_DATA!$C:$C,"S"))</f>
        <v/>
      </c>
      <c r="G114" s="774" t="str">
        <f>IF($C114=0,"",SUMIFS(INPUT_DATA!AW:AW,INPUT_DATA!$A:$A,$C114,INPUT_DATA!$C:$C,"S"))</f>
        <v/>
      </c>
      <c r="H114" s="776" t="str">
        <f t="shared" si="10"/>
        <v/>
      </c>
      <c r="I114" s="774" t="str">
        <f>IF($C114=0,"",SUMIFS(INPUT_DATA!AY:AY,INPUT_DATA!$A:$A,$C114,INPUT_DATA!$C:$C,"S"))</f>
        <v/>
      </c>
      <c r="J114" s="774" t="str">
        <f>IF($C114=0,"",SUMIFS(INPUT_DATA!AZ:AZ,INPUT_DATA!$A:$A,$C114,INPUT_DATA!$C:$C,"S"))</f>
        <v/>
      </c>
      <c r="K114" s="774" t="str">
        <f>IF($C114=0,"",SUMIFS(INPUT_DATA!BA:BA,INPUT_DATA!$A:$A,$C114,INPUT_DATA!$C:$C,"S"))</f>
        <v/>
      </c>
      <c r="L114" s="774" t="str">
        <f>IF($C114=0,"",SUMIFS(INPUT_DATA!BB:BB,INPUT_DATA!$A:$A,$C114,INPUT_DATA!$C:$C,"S"))</f>
        <v/>
      </c>
      <c r="M114" s="774" t="str">
        <f>IF($C114=0,"",SUMIFS(INPUT_DATA!BC:BC,INPUT_DATA!$A:$A,$C114,INPUT_DATA!$C:$C,"S"))</f>
        <v/>
      </c>
      <c r="N114" s="774" t="str">
        <f>IF($C114=0,"",SUMIFS(INPUT_DATA!BD:BD,INPUT_DATA!$A:$A,$C114,INPUT_DATA!$C:$C,"S"))</f>
        <v/>
      </c>
      <c r="O114" s="774" t="str">
        <f>IF($C114=0,"",SUMIFS(INPUT_DATA!BE:BE,INPUT_DATA!$A:$A,$C114,INPUT_DATA!$C:$C,"S"))</f>
        <v/>
      </c>
      <c r="P114" s="774" t="str">
        <f>IF($C114=0,"",SUMIFS(INPUT_DATA!BF:BF,INPUT_DATA!$A:$A,$C114,INPUT_DATA!$C:$C,"S"))</f>
        <v/>
      </c>
      <c r="Q114" s="780" t="str">
        <f t="shared" si="15"/>
        <v/>
      </c>
      <c r="R114" s="782" t="str">
        <f>IF($C114=0,"",SUMIFS(INPUT_DATA!BH:BH,INPUT_DATA!$A:$A,$C114,INPUT_DATA!$C:$C,"S"))</f>
        <v/>
      </c>
      <c r="S114" s="782" t="str">
        <f>IF($C114=0,"",SUMIFS(INPUT_DATA!BI:BI,INPUT_DATA!$A:$A,$C114,INPUT_DATA!$C:$C,"S"))</f>
        <v/>
      </c>
      <c r="T114" s="780" t="str">
        <f t="shared" si="16"/>
        <v/>
      </c>
      <c r="U114" s="785" t="str">
        <f>IF($C114=0,"",SUMIFS(INPUT_DATA!BL:BL,INPUT_DATA!$A:$A,$C114,INPUT_DATA!$C:$C,"S"))</f>
        <v/>
      </c>
      <c r="V114" s="155" t="str">
        <f t="shared" si="11"/>
        <v/>
      </c>
      <c r="W114" s="149"/>
      <c r="X114" s="762" t="str">
        <f>IF($C114=0,"",SUMIFS(INPUT_DATA!AU:AU,INPUT_DATA!$A:$A,$C114,INPUT_DATA!$C:$C,"D"))</f>
        <v/>
      </c>
      <c r="Y114" s="774" t="str">
        <f>IF($C114=0,"",SUMIFS(INPUT_DATA!AV:AV,INPUT_DATA!$A:$A,$C114,INPUT_DATA!$C:$C,"D"))</f>
        <v/>
      </c>
      <c r="Z114" s="774" t="str">
        <f>IF($C114=0,"",SUMIFS(INPUT_DATA!AW:AW,INPUT_DATA!$A:$A,$C114,INPUT_DATA!$C:$C,"D"))</f>
        <v/>
      </c>
      <c r="AA114" s="775" t="str">
        <f t="shared" si="12"/>
        <v/>
      </c>
      <c r="AB114" s="774" t="str">
        <f>IF($C114=0,"",SUMIFS(INPUT_DATA!AX:AX,INPUT_DATA!$A:$A,$C114,INPUT_DATA!$C:$C,"D"))</f>
        <v/>
      </c>
      <c r="AC114" s="774" t="str">
        <f>IF($C114=0,"",SUMIFS(INPUT_DATA!AY:AY,INPUT_DATA!$A:$A,$C114,INPUT_DATA!$C:$C,"D"))</f>
        <v/>
      </c>
      <c r="AD114" s="774" t="str">
        <f>IF($C114=0,"",SUMIFS(INPUT_DATA!AZ:AZ,INPUT_DATA!$A:$A,$C114,INPUT_DATA!$C:$C,"D"))</f>
        <v/>
      </c>
      <c r="AE114" s="774" t="str">
        <f>IF($C114=0,"",SUMIFS(INPUT_DATA!BA:BA,INPUT_DATA!$A:$A,$C114,INPUT_DATA!$C:$C,"D"))</f>
        <v/>
      </c>
      <c r="AF114" s="774" t="str">
        <f>IF($C114=0,"",SUMIFS(INPUT_DATA!BB:BB,INPUT_DATA!$A:$A,$C114,INPUT_DATA!$C:$C,"D"))</f>
        <v/>
      </c>
      <c r="AG114" s="774" t="str">
        <f>IF($C114=0,"",SUMIFS(INPUT_DATA!BC:BC,INPUT_DATA!$A:$A,$C114,INPUT_DATA!$C:$C,"D"))</f>
        <v/>
      </c>
      <c r="AH114" s="774" t="str">
        <f>IF($C114=0,"",SUMIFS(INPUT_DATA!BD:BD,INPUT_DATA!$A:$A,$C114,INPUT_DATA!$C:$C,"D"))</f>
        <v/>
      </c>
      <c r="AI114" s="774" t="str">
        <f>IF($C114=0,"",SUMIFS(INPUT_DATA!BE:BE,INPUT_DATA!$A:$A,$C114,INPUT_DATA!$C:$C,"D"))</f>
        <v/>
      </c>
      <c r="AJ114" s="315" t="str">
        <f t="shared" si="13"/>
        <v/>
      </c>
      <c r="AK114" s="782" t="str">
        <f>IF($C114=0,"",SUMIFS(INPUT_DATA!BG:BG,INPUT_DATA!$A:$A,$C114,INPUT_DATA!$C:$C,"D"))</f>
        <v/>
      </c>
      <c r="AL114" s="782" t="str">
        <f>IF($C114=0,"",SUMIFS(INPUT_DATA!BH:BH,INPUT_DATA!$A:$A,$C114,INPUT_DATA!$C:$C,"D"))</f>
        <v/>
      </c>
      <c r="AM114" s="782" t="str">
        <f>IF($C114=0,"",SUMIFS(INPUT_DATA!BI:BI,INPUT_DATA!$A:$A,$C114,INPUT_DATA!$C:$C,"D"))</f>
        <v/>
      </c>
      <c r="AN114" s="780" t="str">
        <f t="shared" si="17"/>
        <v/>
      </c>
      <c r="AO114" s="785" t="str">
        <f>IF($C114=0,"",SUMIFS(INPUT_DATA!BK:BK,INPUT_DATA!$A:$A,$C114,INPUT_DATA!$C:$C,"D"))</f>
        <v/>
      </c>
      <c r="AP114" s="355" t="str">
        <f t="shared" si="18"/>
        <v/>
      </c>
      <c r="AQ114" s="149"/>
      <c r="AS114" s="355" t="str">
        <f t="shared" si="19"/>
        <v/>
      </c>
      <c r="AU114" s="391" t="str">
        <f>IF($C114=0,"",'03 - Monthly Asset Follow up'!E118+'03 - Monthly Asset Follow up'!F118-'03 - Monthly Asset Follow up'!U118+'03 - Monthly Asset Follow up'!X118-H114)</f>
        <v/>
      </c>
      <c r="AV114" s="391" t="str">
        <f>IF($C114=0,"",'03 - Monthly Asset Follow up'!BD118+'03 - Monthly Asset Follow up'!BE118-'03 - Monthly Asset Follow up'!BT118+'03 - Monthly Asset Follow up'!BW118)</f>
        <v/>
      </c>
      <c r="AX114" s="154"/>
    </row>
    <row r="115" spans="2:50" ht="13" x14ac:dyDescent="0.3">
      <c r="B115" s="766" t="str">
        <f t="shared" si="14"/>
        <v/>
      </c>
      <c r="C115" s="769">
        <f>'03 - Monthly Asset Follow up'!B119</f>
        <v>0</v>
      </c>
      <c r="D115" s="149"/>
      <c r="E115" s="762" t="str">
        <f>IF($C115=0,"",SUMIFS(INPUT_DATA!AU:AU,INPUT_DATA!$A:$A,$C115,INPUT_DATA!$C:$C,"S"))</f>
        <v/>
      </c>
      <c r="F115" s="774" t="str">
        <f>IF($C115=0,"",SUMIFS(INPUT_DATA!AV:AV,INPUT_DATA!$A:$A,$C115,INPUT_DATA!$C:$C,"S"))</f>
        <v/>
      </c>
      <c r="G115" s="774" t="str">
        <f>IF($C115=0,"",SUMIFS(INPUT_DATA!AW:AW,INPUT_DATA!$A:$A,$C115,INPUT_DATA!$C:$C,"S"))</f>
        <v/>
      </c>
      <c r="H115" s="776" t="str">
        <f t="shared" si="10"/>
        <v/>
      </c>
      <c r="I115" s="774" t="str">
        <f>IF($C115=0,"",SUMIFS(INPUT_DATA!AY:AY,INPUT_DATA!$A:$A,$C115,INPUT_DATA!$C:$C,"S"))</f>
        <v/>
      </c>
      <c r="J115" s="774" t="str">
        <f>IF($C115=0,"",SUMIFS(INPUT_DATA!AZ:AZ,INPUT_DATA!$A:$A,$C115,INPUT_DATA!$C:$C,"S"))</f>
        <v/>
      </c>
      <c r="K115" s="774" t="str">
        <f>IF($C115=0,"",SUMIFS(INPUT_DATA!BA:BA,INPUT_DATA!$A:$A,$C115,INPUT_DATA!$C:$C,"S"))</f>
        <v/>
      </c>
      <c r="L115" s="774" t="str">
        <f>IF($C115=0,"",SUMIFS(INPUT_DATA!BB:BB,INPUT_DATA!$A:$A,$C115,INPUT_DATA!$C:$C,"S"))</f>
        <v/>
      </c>
      <c r="M115" s="774" t="str">
        <f>IF($C115=0,"",SUMIFS(INPUT_DATA!BC:BC,INPUT_DATA!$A:$A,$C115,INPUT_DATA!$C:$C,"S"))</f>
        <v/>
      </c>
      <c r="N115" s="774" t="str">
        <f>IF($C115=0,"",SUMIFS(INPUT_DATA!BD:BD,INPUT_DATA!$A:$A,$C115,INPUT_DATA!$C:$C,"S"))</f>
        <v/>
      </c>
      <c r="O115" s="774" t="str">
        <f>IF($C115=0,"",SUMIFS(INPUT_DATA!BE:BE,INPUT_DATA!$A:$A,$C115,INPUT_DATA!$C:$C,"S"))</f>
        <v/>
      </c>
      <c r="P115" s="774" t="str">
        <f>IF($C115=0,"",SUMIFS(INPUT_DATA!BF:BF,INPUT_DATA!$A:$A,$C115,INPUT_DATA!$C:$C,"S"))</f>
        <v/>
      </c>
      <c r="Q115" s="780" t="str">
        <f t="shared" si="15"/>
        <v/>
      </c>
      <c r="R115" s="782" t="str">
        <f>IF($C115=0,"",SUMIFS(INPUT_DATA!BH:BH,INPUT_DATA!$A:$A,$C115,INPUT_DATA!$C:$C,"S"))</f>
        <v/>
      </c>
      <c r="S115" s="782" t="str">
        <f>IF($C115=0,"",SUMIFS(INPUT_DATA!BI:BI,INPUT_DATA!$A:$A,$C115,INPUT_DATA!$C:$C,"S"))</f>
        <v/>
      </c>
      <c r="T115" s="780" t="str">
        <f t="shared" si="16"/>
        <v/>
      </c>
      <c r="U115" s="785" t="str">
        <f>IF($C115=0,"",SUMIFS(INPUT_DATA!BL:BL,INPUT_DATA!$A:$A,$C115,INPUT_DATA!$C:$C,"S"))</f>
        <v/>
      </c>
      <c r="V115" s="155" t="str">
        <f t="shared" si="11"/>
        <v/>
      </c>
      <c r="W115" s="149"/>
      <c r="X115" s="762" t="str">
        <f>IF($C115=0,"",SUMIFS(INPUT_DATA!AU:AU,INPUT_DATA!$A:$A,$C115,INPUT_DATA!$C:$C,"D"))</f>
        <v/>
      </c>
      <c r="Y115" s="774" t="str">
        <f>IF($C115=0,"",SUMIFS(INPUT_DATA!AV:AV,INPUT_DATA!$A:$A,$C115,INPUT_DATA!$C:$C,"D"))</f>
        <v/>
      </c>
      <c r="Z115" s="774" t="str">
        <f>IF($C115=0,"",SUMIFS(INPUT_DATA!AW:AW,INPUT_DATA!$A:$A,$C115,INPUT_DATA!$C:$C,"D"))</f>
        <v/>
      </c>
      <c r="AA115" s="775" t="str">
        <f t="shared" si="12"/>
        <v/>
      </c>
      <c r="AB115" s="774" t="str">
        <f>IF($C115=0,"",SUMIFS(INPUT_DATA!AX:AX,INPUT_DATA!$A:$A,$C115,INPUT_DATA!$C:$C,"D"))</f>
        <v/>
      </c>
      <c r="AC115" s="774" t="str">
        <f>IF($C115=0,"",SUMIFS(INPUT_DATA!AY:AY,INPUT_DATA!$A:$A,$C115,INPUT_DATA!$C:$C,"D"))</f>
        <v/>
      </c>
      <c r="AD115" s="774" t="str">
        <f>IF($C115=0,"",SUMIFS(INPUT_DATA!AZ:AZ,INPUT_DATA!$A:$A,$C115,INPUT_DATA!$C:$C,"D"))</f>
        <v/>
      </c>
      <c r="AE115" s="774" t="str">
        <f>IF($C115=0,"",SUMIFS(INPUT_DATA!BA:BA,INPUT_DATA!$A:$A,$C115,INPUT_DATA!$C:$C,"D"))</f>
        <v/>
      </c>
      <c r="AF115" s="774" t="str">
        <f>IF($C115=0,"",SUMIFS(INPUT_DATA!BB:BB,INPUT_DATA!$A:$A,$C115,INPUT_DATA!$C:$C,"D"))</f>
        <v/>
      </c>
      <c r="AG115" s="774" t="str">
        <f>IF($C115=0,"",SUMIFS(INPUT_DATA!BC:BC,INPUT_DATA!$A:$A,$C115,INPUT_DATA!$C:$C,"D"))</f>
        <v/>
      </c>
      <c r="AH115" s="774" t="str">
        <f>IF($C115=0,"",SUMIFS(INPUT_DATA!BD:BD,INPUT_DATA!$A:$A,$C115,INPUT_DATA!$C:$C,"D"))</f>
        <v/>
      </c>
      <c r="AI115" s="774" t="str">
        <f>IF($C115=0,"",SUMIFS(INPUT_DATA!BE:BE,INPUT_DATA!$A:$A,$C115,INPUT_DATA!$C:$C,"D"))</f>
        <v/>
      </c>
      <c r="AJ115" s="315" t="str">
        <f t="shared" si="13"/>
        <v/>
      </c>
      <c r="AK115" s="782" t="str">
        <f>IF($C115=0,"",SUMIFS(INPUT_DATA!BG:BG,INPUT_DATA!$A:$A,$C115,INPUT_DATA!$C:$C,"D"))</f>
        <v/>
      </c>
      <c r="AL115" s="782" t="str">
        <f>IF($C115=0,"",SUMIFS(INPUT_DATA!BH:BH,INPUT_DATA!$A:$A,$C115,INPUT_DATA!$C:$C,"D"))</f>
        <v/>
      </c>
      <c r="AM115" s="782" t="str">
        <f>IF($C115=0,"",SUMIFS(INPUT_DATA!BI:BI,INPUT_DATA!$A:$A,$C115,INPUT_DATA!$C:$C,"D"))</f>
        <v/>
      </c>
      <c r="AN115" s="780" t="str">
        <f t="shared" si="17"/>
        <v/>
      </c>
      <c r="AO115" s="785" t="str">
        <f>IF($C115=0,"",SUMIFS(INPUT_DATA!BK:BK,INPUT_DATA!$A:$A,$C115,INPUT_DATA!$C:$C,"D"))</f>
        <v/>
      </c>
      <c r="AP115" s="355" t="str">
        <f t="shared" si="18"/>
        <v/>
      </c>
      <c r="AQ115" s="149"/>
      <c r="AS115" s="355" t="str">
        <f t="shared" si="19"/>
        <v/>
      </c>
      <c r="AU115" s="391" t="str">
        <f>IF($C115=0,"",'03 - Monthly Asset Follow up'!E119+'03 - Monthly Asset Follow up'!F119-'03 - Monthly Asset Follow up'!U119+'03 - Monthly Asset Follow up'!X119-H115)</f>
        <v/>
      </c>
      <c r="AV115" s="391" t="str">
        <f>IF($C115=0,"",'03 - Monthly Asset Follow up'!BD119+'03 - Monthly Asset Follow up'!BE119-'03 - Monthly Asset Follow up'!BT119+'03 - Monthly Asset Follow up'!BW119)</f>
        <v/>
      </c>
      <c r="AX115" s="154"/>
    </row>
    <row r="116" spans="2:50" ht="13" x14ac:dyDescent="0.3">
      <c r="B116" s="766" t="str">
        <f t="shared" si="14"/>
        <v/>
      </c>
      <c r="C116" s="769">
        <f>'03 - Monthly Asset Follow up'!B120</f>
        <v>0</v>
      </c>
      <c r="D116" s="149"/>
      <c r="E116" s="762" t="str">
        <f>IF($C116=0,"",SUMIFS(INPUT_DATA!AU:AU,INPUT_DATA!$A:$A,$C116,INPUT_DATA!$C:$C,"S"))</f>
        <v/>
      </c>
      <c r="F116" s="774" t="str">
        <f>IF($C116=0,"",SUMIFS(INPUT_DATA!AV:AV,INPUT_DATA!$A:$A,$C116,INPUT_DATA!$C:$C,"S"))</f>
        <v/>
      </c>
      <c r="G116" s="774" t="str">
        <f>IF($C116=0,"",SUMIFS(INPUT_DATA!AW:AW,INPUT_DATA!$A:$A,$C116,INPUT_DATA!$C:$C,"S"))</f>
        <v/>
      </c>
      <c r="H116" s="776" t="str">
        <f t="shared" si="10"/>
        <v/>
      </c>
      <c r="I116" s="774" t="str">
        <f>IF($C116=0,"",SUMIFS(INPUT_DATA!AY:AY,INPUT_DATA!$A:$A,$C116,INPUT_DATA!$C:$C,"S"))</f>
        <v/>
      </c>
      <c r="J116" s="774" t="str">
        <f>IF($C116=0,"",SUMIFS(INPUT_DATA!AZ:AZ,INPUT_DATA!$A:$A,$C116,INPUT_DATA!$C:$C,"S"))</f>
        <v/>
      </c>
      <c r="K116" s="774" t="str">
        <f>IF($C116=0,"",SUMIFS(INPUT_DATA!BA:BA,INPUT_DATA!$A:$A,$C116,INPUT_DATA!$C:$C,"S"))</f>
        <v/>
      </c>
      <c r="L116" s="774" t="str">
        <f>IF($C116=0,"",SUMIFS(INPUT_DATA!BB:BB,INPUT_DATA!$A:$A,$C116,INPUT_DATA!$C:$C,"S"))</f>
        <v/>
      </c>
      <c r="M116" s="774" t="str">
        <f>IF($C116=0,"",SUMIFS(INPUT_DATA!BC:BC,INPUT_DATA!$A:$A,$C116,INPUT_DATA!$C:$C,"S"))</f>
        <v/>
      </c>
      <c r="N116" s="774" t="str">
        <f>IF($C116=0,"",SUMIFS(INPUT_DATA!BD:BD,INPUT_DATA!$A:$A,$C116,INPUT_DATA!$C:$C,"S"))</f>
        <v/>
      </c>
      <c r="O116" s="774" t="str">
        <f>IF($C116=0,"",SUMIFS(INPUT_DATA!BE:BE,INPUT_DATA!$A:$A,$C116,INPUT_DATA!$C:$C,"S"))</f>
        <v/>
      </c>
      <c r="P116" s="774" t="str">
        <f>IF($C116=0,"",SUMIFS(INPUT_DATA!BF:BF,INPUT_DATA!$A:$A,$C116,INPUT_DATA!$C:$C,"S"))</f>
        <v/>
      </c>
      <c r="Q116" s="780" t="str">
        <f t="shared" si="15"/>
        <v/>
      </c>
      <c r="R116" s="782" t="str">
        <f>IF($C116=0,"",SUMIFS(INPUT_DATA!BH:BH,INPUT_DATA!$A:$A,$C116,INPUT_DATA!$C:$C,"S"))</f>
        <v/>
      </c>
      <c r="S116" s="782" t="str">
        <f>IF($C116=0,"",SUMIFS(INPUT_DATA!BI:BI,INPUT_DATA!$A:$A,$C116,INPUT_DATA!$C:$C,"S"))</f>
        <v/>
      </c>
      <c r="T116" s="780" t="str">
        <f t="shared" si="16"/>
        <v/>
      </c>
      <c r="U116" s="785" t="str">
        <f>IF($C116=0,"",SUMIFS(INPUT_DATA!BL:BL,INPUT_DATA!$A:$A,$C116,INPUT_DATA!$C:$C,"S"))</f>
        <v/>
      </c>
      <c r="V116" s="155" t="str">
        <f t="shared" si="11"/>
        <v/>
      </c>
      <c r="W116" s="149"/>
      <c r="X116" s="762" t="str">
        <f>IF($C116=0,"",SUMIFS(INPUT_DATA!AU:AU,INPUT_DATA!$A:$A,$C116,INPUT_DATA!$C:$C,"D"))</f>
        <v/>
      </c>
      <c r="Y116" s="774" t="str">
        <f>IF($C116=0,"",SUMIFS(INPUT_DATA!AV:AV,INPUT_DATA!$A:$A,$C116,INPUT_DATA!$C:$C,"D"))</f>
        <v/>
      </c>
      <c r="Z116" s="774" t="str">
        <f>IF($C116=0,"",SUMIFS(INPUT_DATA!AW:AW,INPUT_DATA!$A:$A,$C116,INPUT_DATA!$C:$C,"D"))</f>
        <v/>
      </c>
      <c r="AA116" s="775" t="str">
        <f t="shared" si="12"/>
        <v/>
      </c>
      <c r="AB116" s="774" t="str">
        <f>IF($C116=0,"",SUMIFS(INPUT_DATA!AX:AX,INPUT_DATA!$A:$A,$C116,INPUT_DATA!$C:$C,"D"))</f>
        <v/>
      </c>
      <c r="AC116" s="774" t="str">
        <f>IF($C116=0,"",SUMIFS(INPUT_DATA!AY:AY,INPUT_DATA!$A:$A,$C116,INPUT_DATA!$C:$C,"D"))</f>
        <v/>
      </c>
      <c r="AD116" s="774" t="str">
        <f>IF($C116=0,"",SUMIFS(INPUT_DATA!AZ:AZ,INPUT_DATA!$A:$A,$C116,INPUT_DATA!$C:$C,"D"))</f>
        <v/>
      </c>
      <c r="AE116" s="774" t="str">
        <f>IF($C116=0,"",SUMIFS(INPUT_DATA!BA:BA,INPUT_DATA!$A:$A,$C116,INPUT_DATA!$C:$C,"D"))</f>
        <v/>
      </c>
      <c r="AF116" s="774" t="str">
        <f>IF($C116=0,"",SUMIFS(INPUT_DATA!BB:BB,INPUT_DATA!$A:$A,$C116,INPUT_DATA!$C:$C,"D"))</f>
        <v/>
      </c>
      <c r="AG116" s="774" t="str">
        <f>IF($C116=0,"",SUMIFS(INPUT_DATA!BC:BC,INPUT_DATA!$A:$A,$C116,INPUT_DATA!$C:$C,"D"))</f>
        <v/>
      </c>
      <c r="AH116" s="774" t="str">
        <f>IF($C116=0,"",SUMIFS(INPUT_DATA!BD:BD,INPUT_DATA!$A:$A,$C116,INPUT_DATA!$C:$C,"D"))</f>
        <v/>
      </c>
      <c r="AI116" s="774" t="str">
        <f>IF($C116=0,"",SUMIFS(INPUT_DATA!BE:BE,INPUT_DATA!$A:$A,$C116,INPUT_DATA!$C:$C,"D"))</f>
        <v/>
      </c>
      <c r="AJ116" s="315" t="str">
        <f t="shared" si="13"/>
        <v/>
      </c>
      <c r="AK116" s="782" t="str">
        <f>IF($C116=0,"",SUMIFS(INPUT_DATA!BG:BG,INPUT_DATA!$A:$A,$C116,INPUT_DATA!$C:$C,"D"))</f>
        <v/>
      </c>
      <c r="AL116" s="782" t="str">
        <f>IF($C116=0,"",SUMIFS(INPUT_DATA!BH:BH,INPUT_DATA!$A:$A,$C116,INPUT_DATA!$C:$C,"D"))</f>
        <v/>
      </c>
      <c r="AM116" s="782" t="str">
        <f>IF($C116=0,"",SUMIFS(INPUT_DATA!BI:BI,INPUT_DATA!$A:$A,$C116,INPUT_DATA!$C:$C,"D"))</f>
        <v/>
      </c>
      <c r="AN116" s="780" t="str">
        <f t="shared" si="17"/>
        <v/>
      </c>
      <c r="AO116" s="785" t="str">
        <f>IF($C116=0,"",SUMIFS(INPUT_DATA!BK:BK,INPUT_DATA!$A:$A,$C116,INPUT_DATA!$C:$C,"D"))</f>
        <v/>
      </c>
      <c r="AP116" s="355" t="str">
        <f t="shared" si="18"/>
        <v/>
      </c>
      <c r="AQ116" s="149"/>
      <c r="AS116" s="355" t="str">
        <f t="shared" si="19"/>
        <v/>
      </c>
      <c r="AU116" s="391" t="str">
        <f>IF($C116=0,"",'03 - Monthly Asset Follow up'!E120+'03 - Monthly Asset Follow up'!F120-'03 - Monthly Asset Follow up'!U120+'03 - Monthly Asset Follow up'!X120-H116)</f>
        <v/>
      </c>
      <c r="AV116" s="391" t="str">
        <f>IF($C116=0,"",'03 - Monthly Asset Follow up'!BD120+'03 - Monthly Asset Follow up'!BE120-'03 - Monthly Asset Follow up'!BT120+'03 - Monthly Asset Follow up'!BW120)</f>
        <v/>
      </c>
      <c r="AX116" s="154"/>
    </row>
    <row r="117" spans="2:50" ht="13" x14ac:dyDescent="0.3">
      <c r="B117" s="766" t="str">
        <f t="shared" si="14"/>
        <v/>
      </c>
      <c r="C117" s="769">
        <f>'03 - Monthly Asset Follow up'!B121</f>
        <v>0</v>
      </c>
      <c r="D117" s="149"/>
      <c r="E117" s="762" t="str">
        <f>IF($C117=0,"",SUMIFS(INPUT_DATA!AU:AU,INPUT_DATA!$A:$A,$C117,INPUT_DATA!$C:$C,"S"))</f>
        <v/>
      </c>
      <c r="F117" s="774" t="str">
        <f>IF($C117=0,"",SUMIFS(INPUT_DATA!AV:AV,INPUT_DATA!$A:$A,$C117,INPUT_DATA!$C:$C,"S"))</f>
        <v/>
      </c>
      <c r="G117" s="774" t="str">
        <f>IF($C117=0,"",SUMIFS(INPUT_DATA!AW:AW,INPUT_DATA!$A:$A,$C117,INPUT_DATA!$C:$C,"S"))</f>
        <v/>
      </c>
      <c r="H117" s="776" t="str">
        <f t="shared" si="10"/>
        <v/>
      </c>
      <c r="I117" s="774" t="str">
        <f>IF($C117=0,"",SUMIFS(INPUT_DATA!AY:AY,INPUT_DATA!$A:$A,$C117,INPUT_DATA!$C:$C,"S"))</f>
        <v/>
      </c>
      <c r="J117" s="774" t="str">
        <f>IF($C117=0,"",SUMIFS(INPUT_DATA!AZ:AZ,INPUT_DATA!$A:$A,$C117,INPUT_DATA!$C:$C,"S"))</f>
        <v/>
      </c>
      <c r="K117" s="774" t="str">
        <f>IF($C117=0,"",SUMIFS(INPUT_DATA!BA:BA,INPUT_DATA!$A:$A,$C117,INPUT_DATA!$C:$C,"S"))</f>
        <v/>
      </c>
      <c r="L117" s="774" t="str">
        <f>IF($C117=0,"",SUMIFS(INPUT_DATA!BB:BB,INPUT_DATA!$A:$A,$C117,INPUT_DATA!$C:$C,"S"))</f>
        <v/>
      </c>
      <c r="M117" s="774" t="str">
        <f>IF($C117=0,"",SUMIFS(INPUT_DATA!BC:BC,INPUT_DATA!$A:$A,$C117,INPUT_DATA!$C:$C,"S"))</f>
        <v/>
      </c>
      <c r="N117" s="774" t="str">
        <f>IF($C117=0,"",SUMIFS(INPUT_DATA!BD:BD,INPUT_DATA!$A:$A,$C117,INPUT_DATA!$C:$C,"S"))</f>
        <v/>
      </c>
      <c r="O117" s="774" t="str">
        <f>IF($C117=0,"",SUMIFS(INPUT_DATA!BE:BE,INPUT_DATA!$A:$A,$C117,INPUT_DATA!$C:$C,"S"))</f>
        <v/>
      </c>
      <c r="P117" s="774" t="str">
        <f>IF($C117=0,"",SUMIFS(INPUT_DATA!BF:BF,INPUT_DATA!$A:$A,$C117,INPUT_DATA!$C:$C,"S"))</f>
        <v/>
      </c>
      <c r="Q117" s="780" t="str">
        <f t="shared" si="15"/>
        <v/>
      </c>
      <c r="R117" s="782" t="str">
        <f>IF($C117=0,"",SUMIFS(INPUT_DATA!BH:BH,INPUT_DATA!$A:$A,$C117,INPUT_DATA!$C:$C,"S"))</f>
        <v/>
      </c>
      <c r="S117" s="782" t="str">
        <f>IF($C117=0,"",SUMIFS(INPUT_DATA!BI:BI,INPUT_DATA!$A:$A,$C117,INPUT_DATA!$C:$C,"S"))</f>
        <v/>
      </c>
      <c r="T117" s="780" t="str">
        <f t="shared" si="16"/>
        <v/>
      </c>
      <c r="U117" s="785" t="str">
        <f>IF($C117=0,"",SUMIFS(INPUT_DATA!BL:BL,INPUT_DATA!$A:$A,$C117,INPUT_DATA!$C:$C,"S"))</f>
        <v/>
      </c>
      <c r="V117" s="155" t="str">
        <f t="shared" si="11"/>
        <v/>
      </c>
      <c r="W117" s="149"/>
      <c r="X117" s="762" t="str">
        <f>IF($C117=0,"",SUMIFS(INPUT_DATA!AU:AU,INPUT_DATA!$A:$A,$C117,INPUT_DATA!$C:$C,"D"))</f>
        <v/>
      </c>
      <c r="Y117" s="774" t="str">
        <f>IF($C117=0,"",SUMIFS(INPUT_DATA!AV:AV,INPUT_DATA!$A:$A,$C117,INPUT_DATA!$C:$C,"D"))</f>
        <v/>
      </c>
      <c r="Z117" s="774" t="str">
        <f>IF($C117=0,"",SUMIFS(INPUT_DATA!AW:AW,INPUT_DATA!$A:$A,$C117,INPUT_DATA!$C:$C,"D"))</f>
        <v/>
      </c>
      <c r="AA117" s="775" t="str">
        <f t="shared" si="12"/>
        <v/>
      </c>
      <c r="AB117" s="774" t="str">
        <f>IF($C117=0,"",SUMIFS(INPUT_DATA!AX:AX,INPUT_DATA!$A:$A,$C117,INPUT_DATA!$C:$C,"D"))</f>
        <v/>
      </c>
      <c r="AC117" s="774" t="str">
        <f>IF($C117=0,"",SUMIFS(INPUT_DATA!AY:AY,INPUT_DATA!$A:$A,$C117,INPUT_DATA!$C:$C,"D"))</f>
        <v/>
      </c>
      <c r="AD117" s="774" t="str">
        <f>IF($C117=0,"",SUMIFS(INPUT_DATA!AZ:AZ,INPUT_DATA!$A:$A,$C117,INPUT_DATA!$C:$C,"D"))</f>
        <v/>
      </c>
      <c r="AE117" s="774" t="str">
        <f>IF($C117=0,"",SUMIFS(INPUT_DATA!BA:BA,INPUT_DATA!$A:$A,$C117,INPUT_DATA!$C:$C,"D"))</f>
        <v/>
      </c>
      <c r="AF117" s="774" t="str">
        <f>IF($C117=0,"",SUMIFS(INPUT_DATA!BB:BB,INPUT_DATA!$A:$A,$C117,INPUT_DATA!$C:$C,"D"))</f>
        <v/>
      </c>
      <c r="AG117" s="774" t="str">
        <f>IF($C117=0,"",SUMIFS(INPUT_DATA!BC:BC,INPUT_DATA!$A:$A,$C117,INPUT_DATA!$C:$C,"D"))</f>
        <v/>
      </c>
      <c r="AH117" s="774" t="str">
        <f>IF($C117=0,"",SUMIFS(INPUT_DATA!BD:BD,INPUT_DATA!$A:$A,$C117,INPUT_DATA!$C:$C,"D"))</f>
        <v/>
      </c>
      <c r="AI117" s="774" t="str">
        <f>IF($C117=0,"",SUMIFS(INPUT_DATA!BE:BE,INPUT_DATA!$A:$A,$C117,INPUT_DATA!$C:$C,"D"))</f>
        <v/>
      </c>
      <c r="AJ117" s="315" t="str">
        <f t="shared" si="13"/>
        <v/>
      </c>
      <c r="AK117" s="782" t="str">
        <f>IF($C117=0,"",SUMIFS(INPUT_DATA!BG:BG,INPUT_DATA!$A:$A,$C117,INPUT_DATA!$C:$C,"D"))</f>
        <v/>
      </c>
      <c r="AL117" s="782" t="str">
        <f>IF($C117=0,"",SUMIFS(INPUT_DATA!BH:BH,INPUT_DATA!$A:$A,$C117,INPUT_DATA!$C:$C,"D"))</f>
        <v/>
      </c>
      <c r="AM117" s="782" t="str">
        <f>IF($C117=0,"",SUMIFS(INPUT_DATA!BI:BI,INPUT_DATA!$A:$A,$C117,INPUT_DATA!$C:$C,"D"))</f>
        <v/>
      </c>
      <c r="AN117" s="780" t="str">
        <f t="shared" si="17"/>
        <v/>
      </c>
      <c r="AO117" s="785" t="str">
        <f>IF($C117=0,"",SUMIFS(INPUT_DATA!BK:BK,INPUT_DATA!$A:$A,$C117,INPUT_DATA!$C:$C,"D"))</f>
        <v/>
      </c>
      <c r="AP117" s="355" t="str">
        <f t="shared" si="18"/>
        <v/>
      </c>
      <c r="AQ117" s="149"/>
      <c r="AS117" s="355" t="str">
        <f t="shared" si="19"/>
        <v/>
      </c>
      <c r="AU117" s="391" t="str">
        <f>IF($C117=0,"",'03 - Monthly Asset Follow up'!E121+'03 - Monthly Asset Follow up'!F121-'03 - Monthly Asset Follow up'!U121+'03 - Monthly Asset Follow up'!X121-H117)</f>
        <v/>
      </c>
      <c r="AV117" s="391" t="str">
        <f>IF($C117=0,"",'03 - Monthly Asset Follow up'!BD121+'03 - Monthly Asset Follow up'!BE121-'03 - Monthly Asset Follow up'!BT121+'03 - Monthly Asset Follow up'!BW121)</f>
        <v/>
      </c>
      <c r="AX117" s="154"/>
    </row>
    <row r="118" spans="2:50" ht="13" x14ac:dyDescent="0.3">
      <c r="B118" s="766" t="str">
        <f t="shared" si="14"/>
        <v/>
      </c>
      <c r="C118" s="769">
        <f>'03 - Monthly Asset Follow up'!B122</f>
        <v>0</v>
      </c>
      <c r="D118" s="149"/>
      <c r="E118" s="762" t="str">
        <f>IF($C118=0,"",SUMIFS(INPUT_DATA!AU:AU,INPUT_DATA!$A:$A,$C118,INPUT_DATA!$C:$C,"S"))</f>
        <v/>
      </c>
      <c r="F118" s="774" t="str">
        <f>IF($C118=0,"",SUMIFS(INPUT_DATA!AV:AV,INPUT_DATA!$A:$A,$C118,INPUT_DATA!$C:$C,"S"))</f>
        <v/>
      </c>
      <c r="G118" s="774" t="str">
        <f>IF($C118=0,"",SUMIFS(INPUT_DATA!AW:AW,INPUT_DATA!$A:$A,$C118,INPUT_DATA!$C:$C,"S"))</f>
        <v/>
      </c>
      <c r="H118" s="776" t="str">
        <f t="shared" si="10"/>
        <v/>
      </c>
      <c r="I118" s="774" t="str">
        <f>IF($C118=0,"",SUMIFS(INPUT_DATA!AY:AY,INPUT_DATA!$A:$A,$C118,INPUT_DATA!$C:$C,"S"))</f>
        <v/>
      </c>
      <c r="J118" s="774" t="str">
        <f>IF($C118=0,"",SUMIFS(INPUT_DATA!AZ:AZ,INPUT_DATA!$A:$A,$C118,INPUT_DATA!$C:$C,"S"))</f>
        <v/>
      </c>
      <c r="K118" s="774" t="str">
        <f>IF($C118=0,"",SUMIFS(INPUT_DATA!BA:BA,INPUT_DATA!$A:$A,$C118,INPUT_DATA!$C:$C,"S"))</f>
        <v/>
      </c>
      <c r="L118" s="774" t="str">
        <f>IF($C118=0,"",SUMIFS(INPUT_DATA!BB:BB,INPUT_DATA!$A:$A,$C118,INPUT_DATA!$C:$C,"S"))</f>
        <v/>
      </c>
      <c r="M118" s="774" t="str">
        <f>IF($C118=0,"",SUMIFS(INPUT_DATA!BC:BC,INPUT_DATA!$A:$A,$C118,INPUT_DATA!$C:$C,"S"))</f>
        <v/>
      </c>
      <c r="N118" s="774" t="str">
        <f>IF($C118=0,"",SUMIFS(INPUT_DATA!BD:BD,INPUT_DATA!$A:$A,$C118,INPUT_DATA!$C:$C,"S"))</f>
        <v/>
      </c>
      <c r="O118" s="774" t="str">
        <f>IF($C118=0,"",SUMIFS(INPUT_DATA!BE:BE,INPUT_DATA!$A:$A,$C118,INPUT_DATA!$C:$C,"S"))</f>
        <v/>
      </c>
      <c r="P118" s="774" t="str">
        <f>IF($C118=0,"",SUMIFS(INPUT_DATA!BF:BF,INPUT_DATA!$A:$A,$C118,INPUT_DATA!$C:$C,"S"))</f>
        <v/>
      </c>
      <c r="Q118" s="780" t="str">
        <f t="shared" si="15"/>
        <v/>
      </c>
      <c r="R118" s="782" t="str">
        <f>IF($C118=0,"",SUMIFS(INPUT_DATA!BH:BH,INPUT_DATA!$A:$A,$C118,INPUT_DATA!$C:$C,"S"))</f>
        <v/>
      </c>
      <c r="S118" s="782" t="str">
        <f>IF($C118=0,"",SUMIFS(INPUT_DATA!BI:BI,INPUT_DATA!$A:$A,$C118,INPUT_DATA!$C:$C,"S"))</f>
        <v/>
      </c>
      <c r="T118" s="780" t="str">
        <f t="shared" si="16"/>
        <v/>
      </c>
      <c r="U118" s="785" t="str">
        <f>IF($C118=0,"",SUMIFS(INPUT_DATA!BL:BL,INPUT_DATA!$A:$A,$C118,INPUT_DATA!$C:$C,"S"))</f>
        <v/>
      </c>
      <c r="V118" s="155" t="str">
        <f t="shared" si="11"/>
        <v/>
      </c>
      <c r="W118" s="149"/>
      <c r="X118" s="762" t="str">
        <f>IF($C118=0,"",SUMIFS(INPUT_DATA!AU:AU,INPUT_DATA!$A:$A,$C118,INPUT_DATA!$C:$C,"D"))</f>
        <v/>
      </c>
      <c r="Y118" s="774" t="str">
        <f>IF($C118=0,"",SUMIFS(INPUT_DATA!AV:AV,INPUT_DATA!$A:$A,$C118,INPUT_DATA!$C:$C,"D"))</f>
        <v/>
      </c>
      <c r="Z118" s="774" t="str">
        <f>IF($C118=0,"",SUMIFS(INPUT_DATA!AW:AW,INPUT_DATA!$A:$A,$C118,INPUT_DATA!$C:$C,"D"))</f>
        <v/>
      </c>
      <c r="AA118" s="775" t="str">
        <f t="shared" si="12"/>
        <v/>
      </c>
      <c r="AB118" s="774" t="str">
        <f>IF($C118=0,"",SUMIFS(INPUT_DATA!AX:AX,INPUT_DATA!$A:$A,$C118,INPUT_DATA!$C:$C,"D"))</f>
        <v/>
      </c>
      <c r="AC118" s="774" t="str">
        <f>IF($C118=0,"",SUMIFS(INPUT_DATA!AY:AY,INPUT_DATA!$A:$A,$C118,INPUT_DATA!$C:$C,"D"))</f>
        <v/>
      </c>
      <c r="AD118" s="774" t="str">
        <f>IF($C118=0,"",SUMIFS(INPUT_DATA!AZ:AZ,INPUT_DATA!$A:$A,$C118,INPUT_DATA!$C:$C,"D"))</f>
        <v/>
      </c>
      <c r="AE118" s="774" t="str">
        <f>IF($C118=0,"",SUMIFS(INPUT_DATA!BA:BA,INPUT_DATA!$A:$A,$C118,INPUT_DATA!$C:$C,"D"))</f>
        <v/>
      </c>
      <c r="AF118" s="774" t="str">
        <f>IF($C118=0,"",SUMIFS(INPUT_DATA!BB:BB,INPUT_DATA!$A:$A,$C118,INPUT_DATA!$C:$C,"D"))</f>
        <v/>
      </c>
      <c r="AG118" s="774" t="str">
        <f>IF($C118=0,"",SUMIFS(INPUT_DATA!BC:BC,INPUT_DATA!$A:$A,$C118,INPUT_DATA!$C:$C,"D"))</f>
        <v/>
      </c>
      <c r="AH118" s="774" t="str">
        <f>IF($C118=0,"",SUMIFS(INPUT_DATA!BD:BD,INPUT_DATA!$A:$A,$C118,INPUT_DATA!$C:$C,"D"))</f>
        <v/>
      </c>
      <c r="AI118" s="774" t="str">
        <f>IF($C118=0,"",SUMIFS(INPUT_DATA!BE:BE,INPUT_DATA!$A:$A,$C118,INPUT_DATA!$C:$C,"D"))</f>
        <v/>
      </c>
      <c r="AJ118" s="315" t="str">
        <f t="shared" si="13"/>
        <v/>
      </c>
      <c r="AK118" s="782" t="str">
        <f>IF($C118=0,"",SUMIFS(INPUT_DATA!BG:BG,INPUT_DATA!$A:$A,$C118,INPUT_DATA!$C:$C,"D"))</f>
        <v/>
      </c>
      <c r="AL118" s="782" t="str">
        <f>IF($C118=0,"",SUMIFS(INPUT_DATA!BH:BH,INPUT_DATA!$A:$A,$C118,INPUT_DATA!$C:$C,"D"))</f>
        <v/>
      </c>
      <c r="AM118" s="782" t="str">
        <f>IF($C118=0,"",SUMIFS(INPUT_DATA!BI:BI,INPUT_DATA!$A:$A,$C118,INPUT_DATA!$C:$C,"D"))</f>
        <v/>
      </c>
      <c r="AN118" s="780" t="str">
        <f t="shared" si="17"/>
        <v/>
      </c>
      <c r="AO118" s="785" t="str">
        <f>IF($C118=0,"",SUMIFS(INPUT_DATA!BK:BK,INPUT_DATA!$A:$A,$C118,INPUT_DATA!$C:$C,"D"))</f>
        <v/>
      </c>
      <c r="AP118" s="355" t="str">
        <f t="shared" si="18"/>
        <v/>
      </c>
      <c r="AQ118" s="149"/>
      <c r="AS118" s="355" t="str">
        <f t="shared" si="19"/>
        <v/>
      </c>
      <c r="AU118" s="391" t="str">
        <f>IF($C118=0,"",'03 - Monthly Asset Follow up'!E122+'03 - Monthly Asset Follow up'!F122-'03 - Monthly Asset Follow up'!U122+'03 - Monthly Asset Follow up'!X122-H118)</f>
        <v/>
      </c>
      <c r="AV118" s="391" t="str">
        <f>IF($C118=0,"",'03 - Monthly Asset Follow up'!BD122+'03 - Monthly Asset Follow up'!BE122-'03 - Monthly Asset Follow up'!BT122+'03 - Monthly Asset Follow up'!BW122)</f>
        <v/>
      </c>
      <c r="AX118" s="154"/>
    </row>
    <row r="119" spans="2:50" ht="13" x14ac:dyDescent="0.3">
      <c r="B119" s="766" t="str">
        <f t="shared" si="14"/>
        <v/>
      </c>
      <c r="C119" s="769">
        <f>'03 - Monthly Asset Follow up'!B123</f>
        <v>0</v>
      </c>
      <c r="D119" s="149"/>
      <c r="E119" s="762" t="str">
        <f>IF($C119=0,"",SUMIFS(INPUT_DATA!AU:AU,INPUT_DATA!$A:$A,$C119,INPUT_DATA!$C:$C,"S"))</f>
        <v/>
      </c>
      <c r="F119" s="774" t="str">
        <f>IF($C119=0,"",SUMIFS(INPUT_DATA!AV:AV,INPUT_DATA!$A:$A,$C119,INPUT_DATA!$C:$C,"S"))</f>
        <v/>
      </c>
      <c r="G119" s="774" t="str">
        <f>IF($C119=0,"",SUMIFS(INPUT_DATA!AW:AW,INPUT_DATA!$A:$A,$C119,INPUT_DATA!$C:$C,"S"))</f>
        <v/>
      </c>
      <c r="H119" s="776" t="str">
        <f t="shared" si="10"/>
        <v/>
      </c>
      <c r="I119" s="774" t="str">
        <f>IF($C119=0,"",SUMIFS(INPUT_DATA!AY:AY,INPUT_DATA!$A:$A,$C119,INPUT_DATA!$C:$C,"S"))</f>
        <v/>
      </c>
      <c r="J119" s="774" t="str">
        <f>IF($C119=0,"",SUMIFS(INPUT_DATA!AZ:AZ,INPUT_DATA!$A:$A,$C119,INPUT_DATA!$C:$C,"S"))</f>
        <v/>
      </c>
      <c r="K119" s="774" t="str">
        <f>IF($C119=0,"",SUMIFS(INPUT_DATA!BA:BA,INPUT_DATA!$A:$A,$C119,INPUT_DATA!$C:$C,"S"))</f>
        <v/>
      </c>
      <c r="L119" s="774" t="str">
        <f>IF($C119=0,"",SUMIFS(INPUT_DATA!BB:BB,INPUT_DATA!$A:$A,$C119,INPUT_DATA!$C:$C,"S"))</f>
        <v/>
      </c>
      <c r="M119" s="774" t="str">
        <f>IF($C119=0,"",SUMIFS(INPUT_DATA!BC:BC,INPUT_DATA!$A:$A,$C119,INPUT_DATA!$C:$C,"S"))</f>
        <v/>
      </c>
      <c r="N119" s="774" t="str">
        <f>IF($C119=0,"",SUMIFS(INPUT_DATA!BD:BD,INPUT_DATA!$A:$A,$C119,INPUT_DATA!$C:$C,"S"))</f>
        <v/>
      </c>
      <c r="O119" s="774" t="str">
        <f>IF($C119=0,"",SUMIFS(INPUT_DATA!BE:BE,INPUT_DATA!$A:$A,$C119,INPUT_DATA!$C:$C,"S"))</f>
        <v/>
      </c>
      <c r="P119" s="774" t="str">
        <f>IF($C119=0,"",SUMIFS(INPUT_DATA!BF:BF,INPUT_DATA!$A:$A,$C119,INPUT_DATA!$C:$C,"S"))</f>
        <v/>
      </c>
      <c r="Q119" s="780" t="str">
        <f t="shared" si="15"/>
        <v/>
      </c>
      <c r="R119" s="782" t="str">
        <f>IF($C119=0,"",SUMIFS(INPUT_DATA!BH:BH,INPUT_DATA!$A:$A,$C119,INPUT_DATA!$C:$C,"S"))</f>
        <v/>
      </c>
      <c r="S119" s="782" t="str">
        <f>IF($C119=0,"",SUMIFS(INPUT_DATA!BI:BI,INPUT_DATA!$A:$A,$C119,INPUT_DATA!$C:$C,"S"))</f>
        <v/>
      </c>
      <c r="T119" s="780" t="str">
        <f t="shared" si="16"/>
        <v/>
      </c>
      <c r="U119" s="785" t="str">
        <f>IF($C119=0,"",SUMIFS(INPUT_DATA!BL:BL,INPUT_DATA!$A:$A,$C119,INPUT_DATA!$C:$C,"S"))</f>
        <v/>
      </c>
      <c r="V119" s="155" t="str">
        <f t="shared" si="11"/>
        <v/>
      </c>
      <c r="W119" s="149"/>
      <c r="X119" s="762" t="str">
        <f>IF($C119=0,"",SUMIFS(INPUT_DATA!AU:AU,INPUT_DATA!$A:$A,$C119,INPUT_DATA!$C:$C,"D"))</f>
        <v/>
      </c>
      <c r="Y119" s="774" t="str">
        <f>IF($C119=0,"",SUMIFS(INPUT_DATA!AV:AV,INPUT_DATA!$A:$A,$C119,INPUT_DATA!$C:$C,"D"))</f>
        <v/>
      </c>
      <c r="Z119" s="774" t="str">
        <f>IF($C119=0,"",SUMIFS(INPUT_DATA!AW:AW,INPUT_DATA!$A:$A,$C119,INPUT_DATA!$C:$C,"D"))</f>
        <v/>
      </c>
      <c r="AA119" s="775" t="str">
        <f t="shared" si="12"/>
        <v/>
      </c>
      <c r="AB119" s="774" t="str">
        <f>IF($C119=0,"",SUMIFS(INPUT_DATA!AX:AX,INPUT_DATA!$A:$A,$C119,INPUT_DATA!$C:$C,"D"))</f>
        <v/>
      </c>
      <c r="AC119" s="774" t="str">
        <f>IF($C119=0,"",SUMIFS(INPUT_DATA!AY:AY,INPUT_DATA!$A:$A,$C119,INPUT_DATA!$C:$C,"D"))</f>
        <v/>
      </c>
      <c r="AD119" s="774" t="str">
        <f>IF($C119=0,"",SUMIFS(INPUT_DATA!AZ:AZ,INPUT_DATA!$A:$A,$C119,INPUT_DATA!$C:$C,"D"))</f>
        <v/>
      </c>
      <c r="AE119" s="774" t="str">
        <f>IF($C119=0,"",SUMIFS(INPUT_DATA!BA:BA,INPUT_DATA!$A:$A,$C119,INPUT_DATA!$C:$C,"D"))</f>
        <v/>
      </c>
      <c r="AF119" s="774" t="str">
        <f>IF($C119=0,"",SUMIFS(INPUT_DATA!BB:BB,INPUT_DATA!$A:$A,$C119,INPUT_DATA!$C:$C,"D"))</f>
        <v/>
      </c>
      <c r="AG119" s="774" t="str">
        <f>IF($C119=0,"",SUMIFS(INPUT_DATA!BC:BC,INPUT_DATA!$A:$A,$C119,INPUT_DATA!$C:$C,"D"))</f>
        <v/>
      </c>
      <c r="AH119" s="774" t="str">
        <f>IF($C119=0,"",SUMIFS(INPUT_DATA!BD:BD,INPUT_DATA!$A:$A,$C119,INPUT_DATA!$C:$C,"D"))</f>
        <v/>
      </c>
      <c r="AI119" s="774" t="str">
        <f>IF($C119=0,"",SUMIFS(INPUT_DATA!BE:BE,INPUT_DATA!$A:$A,$C119,INPUT_DATA!$C:$C,"D"))</f>
        <v/>
      </c>
      <c r="AJ119" s="315" t="str">
        <f t="shared" si="13"/>
        <v/>
      </c>
      <c r="AK119" s="782" t="str">
        <f>IF($C119=0,"",SUMIFS(INPUT_DATA!BG:BG,INPUT_DATA!$A:$A,$C119,INPUT_DATA!$C:$C,"D"))</f>
        <v/>
      </c>
      <c r="AL119" s="782" t="str">
        <f>IF($C119=0,"",SUMIFS(INPUT_DATA!BH:BH,INPUT_DATA!$A:$A,$C119,INPUT_DATA!$C:$C,"D"))</f>
        <v/>
      </c>
      <c r="AM119" s="782" t="str">
        <f>IF($C119=0,"",SUMIFS(INPUT_DATA!BI:BI,INPUT_DATA!$A:$A,$C119,INPUT_DATA!$C:$C,"D"))</f>
        <v/>
      </c>
      <c r="AN119" s="780" t="str">
        <f t="shared" si="17"/>
        <v/>
      </c>
      <c r="AO119" s="785" t="str">
        <f>IF($C119=0,"",SUMIFS(INPUT_DATA!BK:BK,INPUT_DATA!$A:$A,$C119,INPUT_DATA!$C:$C,"D"))</f>
        <v/>
      </c>
      <c r="AP119" s="355" t="str">
        <f t="shared" si="18"/>
        <v/>
      </c>
      <c r="AQ119" s="149"/>
      <c r="AS119" s="355" t="str">
        <f t="shared" si="19"/>
        <v/>
      </c>
      <c r="AU119" s="391" t="str">
        <f>IF($C119=0,"",'03 - Monthly Asset Follow up'!E123+'03 - Monthly Asset Follow up'!F123-'03 - Monthly Asset Follow up'!U123+'03 - Monthly Asset Follow up'!X123-H119)</f>
        <v/>
      </c>
      <c r="AV119" s="391" t="str">
        <f>IF($C119=0,"",'03 - Monthly Asset Follow up'!BD123+'03 - Monthly Asset Follow up'!BE123-'03 - Monthly Asset Follow up'!BT123+'03 - Monthly Asset Follow up'!BW123)</f>
        <v/>
      </c>
      <c r="AX119" s="154"/>
    </row>
    <row r="120" spans="2:50" ht="13" x14ac:dyDescent="0.3">
      <c r="B120" s="766" t="str">
        <f t="shared" si="14"/>
        <v/>
      </c>
      <c r="C120" s="769">
        <f>'03 - Monthly Asset Follow up'!B124</f>
        <v>0</v>
      </c>
      <c r="D120" s="149"/>
      <c r="E120" s="762" t="str">
        <f>IF($C120=0,"",SUMIFS(INPUT_DATA!AU:AU,INPUT_DATA!$A:$A,$C120,INPUT_DATA!$C:$C,"S"))</f>
        <v/>
      </c>
      <c r="F120" s="774" t="str">
        <f>IF($C120=0,"",SUMIFS(INPUT_DATA!AV:AV,INPUT_DATA!$A:$A,$C120,INPUT_DATA!$C:$C,"S"))</f>
        <v/>
      </c>
      <c r="G120" s="774" t="str">
        <f>IF($C120=0,"",SUMIFS(INPUT_DATA!AW:AW,INPUT_DATA!$A:$A,$C120,INPUT_DATA!$C:$C,"S"))</f>
        <v/>
      </c>
      <c r="H120" s="776" t="str">
        <f t="shared" si="10"/>
        <v/>
      </c>
      <c r="I120" s="774" t="str">
        <f>IF($C120=0,"",SUMIFS(INPUT_DATA!AY:AY,INPUT_DATA!$A:$A,$C120,INPUT_DATA!$C:$C,"S"))</f>
        <v/>
      </c>
      <c r="J120" s="774" t="str">
        <f>IF($C120=0,"",SUMIFS(INPUT_DATA!AZ:AZ,INPUT_DATA!$A:$A,$C120,INPUT_DATA!$C:$C,"S"))</f>
        <v/>
      </c>
      <c r="K120" s="774" t="str">
        <f>IF($C120=0,"",SUMIFS(INPUT_DATA!BA:BA,INPUT_DATA!$A:$A,$C120,INPUT_DATA!$C:$C,"S"))</f>
        <v/>
      </c>
      <c r="L120" s="774" t="str">
        <f>IF($C120=0,"",SUMIFS(INPUT_DATA!BB:BB,INPUT_DATA!$A:$A,$C120,INPUT_DATA!$C:$C,"S"))</f>
        <v/>
      </c>
      <c r="M120" s="774" t="str">
        <f>IF($C120=0,"",SUMIFS(INPUT_DATA!BC:BC,INPUT_DATA!$A:$A,$C120,INPUT_DATA!$C:$C,"S"))</f>
        <v/>
      </c>
      <c r="N120" s="774" t="str">
        <f>IF($C120=0,"",SUMIFS(INPUT_DATA!BD:BD,INPUT_DATA!$A:$A,$C120,INPUT_DATA!$C:$C,"S"))</f>
        <v/>
      </c>
      <c r="O120" s="774" t="str">
        <f>IF($C120=0,"",SUMIFS(INPUT_DATA!BE:BE,INPUT_DATA!$A:$A,$C120,INPUT_DATA!$C:$C,"S"))</f>
        <v/>
      </c>
      <c r="P120" s="774" t="str">
        <f>IF($C120=0,"",SUMIFS(INPUT_DATA!BF:BF,INPUT_DATA!$A:$A,$C120,INPUT_DATA!$C:$C,"S"))</f>
        <v/>
      </c>
      <c r="Q120" s="780" t="str">
        <f t="shared" si="15"/>
        <v/>
      </c>
      <c r="R120" s="782" t="str">
        <f>IF($C120=0,"",SUMIFS(INPUT_DATA!BH:BH,INPUT_DATA!$A:$A,$C120,INPUT_DATA!$C:$C,"S"))</f>
        <v/>
      </c>
      <c r="S120" s="782" t="str">
        <f>IF($C120=0,"",SUMIFS(INPUT_DATA!BI:BI,INPUT_DATA!$A:$A,$C120,INPUT_DATA!$C:$C,"S"))</f>
        <v/>
      </c>
      <c r="T120" s="780" t="str">
        <f t="shared" si="16"/>
        <v/>
      </c>
      <c r="U120" s="785" t="str">
        <f>IF($C120=0,"",SUMIFS(INPUT_DATA!BL:BL,INPUT_DATA!$A:$A,$C120,INPUT_DATA!$C:$C,"S"))</f>
        <v/>
      </c>
      <c r="V120" s="155" t="str">
        <f t="shared" si="11"/>
        <v/>
      </c>
      <c r="W120" s="149"/>
      <c r="X120" s="762" t="str">
        <f>IF($C120=0,"",SUMIFS(INPUT_DATA!AU:AU,INPUT_DATA!$A:$A,$C120,INPUT_DATA!$C:$C,"D"))</f>
        <v/>
      </c>
      <c r="Y120" s="774" t="str">
        <f>IF($C120=0,"",SUMIFS(INPUT_DATA!AV:AV,INPUT_DATA!$A:$A,$C120,INPUT_DATA!$C:$C,"D"))</f>
        <v/>
      </c>
      <c r="Z120" s="774" t="str">
        <f>IF($C120=0,"",SUMIFS(INPUT_DATA!AW:AW,INPUT_DATA!$A:$A,$C120,INPUT_DATA!$C:$C,"D"))</f>
        <v/>
      </c>
      <c r="AA120" s="775" t="str">
        <f t="shared" si="12"/>
        <v/>
      </c>
      <c r="AB120" s="774" t="str">
        <f>IF($C120=0,"",SUMIFS(INPUT_DATA!AX:AX,INPUT_DATA!$A:$A,$C120,INPUT_DATA!$C:$C,"D"))</f>
        <v/>
      </c>
      <c r="AC120" s="774" t="str">
        <f>IF($C120=0,"",SUMIFS(INPUT_DATA!AY:AY,INPUT_DATA!$A:$A,$C120,INPUT_DATA!$C:$C,"D"))</f>
        <v/>
      </c>
      <c r="AD120" s="774" t="str">
        <f>IF($C120=0,"",SUMIFS(INPUT_DATA!AZ:AZ,INPUT_DATA!$A:$A,$C120,INPUT_DATA!$C:$C,"D"))</f>
        <v/>
      </c>
      <c r="AE120" s="774" t="str">
        <f>IF($C120=0,"",SUMIFS(INPUT_DATA!BA:BA,INPUT_DATA!$A:$A,$C120,INPUT_DATA!$C:$C,"D"))</f>
        <v/>
      </c>
      <c r="AF120" s="774" t="str">
        <f>IF($C120=0,"",SUMIFS(INPUT_DATA!BB:BB,INPUT_DATA!$A:$A,$C120,INPUT_DATA!$C:$C,"D"))</f>
        <v/>
      </c>
      <c r="AG120" s="774" t="str">
        <f>IF($C120=0,"",SUMIFS(INPUT_DATA!BC:BC,INPUT_DATA!$A:$A,$C120,INPUT_DATA!$C:$C,"D"))</f>
        <v/>
      </c>
      <c r="AH120" s="774" t="str">
        <f>IF($C120=0,"",SUMIFS(INPUT_DATA!BD:BD,INPUT_DATA!$A:$A,$C120,INPUT_DATA!$C:$C,"D"))</f>
        <v/>
      </c>
      <c r="AI120" s="774" t="str">
        <f>IF($C120=0,"",SUMIFS(INPUT_DATA!BE:BE,INPUT_DATA!$A:$A,$C120,INPUT_DATA!$C:$C,"D"))</f>
        <v/>
      </c>
      <c r="AJ120" s="315" t="str">
        <f t="shared" si="13"/>
        <v/>
      </c>
      <c r="AK120" s="782" t="str">
        <f>IF($C120=0,"",SUMIFS(INPUT_DATA!BG:BG,INPUT_DATA!$A:$A,$C120,INPUT_DATA!$C:$C,"D"))</f>
        <v/>
      </c>
      <c r="AL120" s="782" t="str">
        <f>IF($C120=0,"",SUMIFS(INPUT_DATA!BH:BH,INPUT_DATA!$A:$A,$C120,INPUT_DATA!$C:$C,"D"))</f>
        <v/>
      </c>
      <c r="AM120" s="782" t="str">
        <f>IF($C120=0,"",SUMIFS(INPUT_DATA!BI:BI,INPUT_DATA!$A:$A,$C120,INPUT_DATA!$C:$C,"D"))</f>
        <v/>
      </c>
      <c r="AN120" s="780" t="str">
        <f t="shared" si="17"/>
        <v/>
      </c>
      <c r="AO120" s="785" t="str">
        <f>IF($C120=0,"",SUMIFS(INPUT_DATA!BK:BK,INPUT_DATA!$A:$A,$C120,INPUT_DATA!$C:$C,"D"))</f>
        <v/>
      </c>
      <c r="AP120" s="355" t="str">
        <f t="shared" si="18"/>
        <v/>
      </c>
      <c r="AQ120" s="149"/>
      <c r="AS120" s="355" t="str">
        <f t="shared" si="19"/>
        <v/>
      </c>
      <c r="AU120" s="391" t="str">
        <f>IF($C120=0,"",'03 - Monthly Asset Follow up'!E124+'03 - Monthly Asset Follow up'!F124-'03 - Monthly Asset Follow up'!U124+'03 - Monthly Asset Follow up'!X124-H120)</f>
        <v/>
      </c>
      <c r="AV120" s="391" t="str">
        <f>IF($C120=0,"",'03 - Monthly Asset Follow up'!BD124+'03 - Monthly Asset Follow up'!BE124-'03 - Monthly Asset Follow up'!BT124+'03 - Monthly Asset Follow up'!BW124)</f>
        <v/>
      </c>
      <c r="AX120" s="154"/>
    </row>
    <row r="121" spans="2:50" ht="13.5" thickBot="1" x14ac:dyDescent="0.35">
      <c r="B121" s="767" t="str">
        <f t="shared" si="14"/>
        <v/>
      </c>
      <c r="C121" s="770">
        <f>'03 - Monthly Asset Follow up'!B125</f>
        <v>0</v>
      </c>
      <c r="D121" s="149"/>
      <c r="E121" s="764" t="str">
        <f>IF($C121=0,"",SUMIFS(INPUT_DATA!AU:AU,INPUT_DATA!$A:$A,$C121,INPUT_DATA!$C:$C,"S"))</f>
        <v/>
      </c>
      <c r="F121" s="778" t="str">
        <f>IF($C121=0,"",SUMIFS(INPUT_DATA!AV:AV,INPUT_DATA!$A:$A,$C121,INPUT_DATA!$C:$C,"S"))</f>
        <v/>
      </c>
      <c r="G121" s="779" t="str">
        <f>IF($C121=0,"",SUMIFS(INPUT_DATA!AW:AW,INPUT_DATA!$A:$A,$C121,INPUT_DATA!$C:$C,"S"))</f>
        <v/>
      </c>
      <c r="H121" s="777" t="str">
        <f t="shared" si="10"/>
        <v/>
      </c>
      <c r="I121" s="778" t="str">
        <f>IF($C121=0,"",SUMIFS(INPUT_DATA!AY:AY,INPUT_DATA!$A:$A,$C121,INPUT_DATA!$C:$C,"S"))</f>
        <v/>
      </c>
      <c r="J121" s="778" t="str">
        <f>IF($C121=0,"",SUMIFS(INPUT_DATA!AZ:AZ,INPUT_DATA!$A:$A,$C121,INPUT_DATA!$C:$C,"S"))</f>
        <v/>
      </c>
      <c r="K121" s="778" t="str">
        <f>IF($C121=0,"",SUMIFS(INPUT_DATA!BA:BA,INPUT_DATA!$A:$A,$C121,INPUT_DATA!$C:$C,"S"))</f>
        <v/>
      </c>
      <c r="L121" s="778" t="str">
        <f>IF($C121=0,"",SUMIFS(INPUT_DATA!BB:BB,INPUT_DATA!$A:$A,$C121,INPUT_DATA!$C:$C,"S"))</f>
        <v/>
      </c>
      <c r="M121" s="778" t="str">
        <f>IF($C121=0,"",SUMIFS(INPUT_DATA!BC:BC,INPUT_DATA!$A:$A,$C121,INPUT_DATA!$C:$C,"S"))</f>
        <v/>
      </c>
      <c r="N121" s="778" t="str">
        <f>IF($C121=0,"",SUMIFS(INPUT_DATA!BD:BD,INPUT_DATA!$A:$A,$C121,INPUT_DATA!$C:$C,"S"))</f>
        <v/>
      </c>
      <c r="O121" s="778" t="str">
        <f>IF($C121=0,"",SUMIFS(INPUT_DATA!BE:BE,INPUT_DATA!$A:$A,$C121,INPUT_DATA!$C:$C,"S"))</f>
        <v/>
      </c>
      <c r="P121" s="778" t="str">
        <f>IF($C121=0,"",SUMIFS(INPUT_DATA!BF:BF,INPUT_DATA!$A:$A,$C121,INPUT_DATA!$C:$C,"S"))</f>
        <v/>
      </c>
      <c r="Q121" s="783" t="str">
        <f t="shared" si="15"/>
        <v/>
      </c>
      <c r="R121" s="782" t="str">
        <f>IF($C121=0,"",SUMIFS(INPUT_DATA!BH:BH,INPUT_DATA!$A:$A,$C121,INPUT_DATA!$C:$C,"S"))</f>
        <v/>
      </c>
      <c r="S121" s="782" t="str">
        <f>IF($C121=0,"",SUMIFS(INPUT_DATA!BI:BI,INPUT_DATA!$A:$A,$C121,INPUT_DATA!$C:$C,"S"))</f>
        <v/>
      </c>
      <c r="T121" s="780" t="str">
        <f t="shared" si="16"/>
        <v/>
      </c>
      <c r="U121" s="785" t="str">
        <f>IF($C121=0,"",SUMIFS(INPUT_DATA!BL:BL,INPUT_DATA!$A:$A,$C121,INPUT_DATA!$C:$C,"S"))</f>
        <v/>
      </c>
      <c r="V121" s="183" t="str">
        <f t="shared" si="11"/>
        <v/>
      </c>
      <c r="W121" s="149"/>
      <c r="X121" s="764" t="str">
        <f>IF($C121=0,"",SUMIFS(INPUT_DATA!AU:AU,INPUT_DATA!$A:$A,$C121,INPUT_DATA!$C:$C,"D"))</f>
        <v/>
      </c>
      <c r="Y121" s="778" t="str">
        <f>IF($C121=0,"",SUMIFS(INPUT_DATA!AV:AV,INPUT_DATA!$A:$A,$C121,INPUT_DATA!$C:$C,"D"))</f>
        <v/>
      </c>
      <c r="Z121" s="779" t="str">
        <f>IF($C121=0,"",SUMIFS(INPUT_DATA!AW:AW,INPUT_DATA!$A:$A,$C121,INPUT_DATA!$C:$C,"D"))</f>
        <v/>
      </c>
      <c r="AA121" s="787" t="str">
        <f t="shared" si="12"/>
        <v/>
      </c>
      <c r="AB121" s="778" t="str">
        <f>IF($C121=0,"",SUMIFS(INPUT_DATA!AX:AX,INPUT_DATA!$A:$A,$C121,INPUT_DATA!$C:$C,"D"))</f>
        <v/>
      </c>
      <c r="AC121" s="778" t="str">
        <f>IF($C121=0,"",SUMIFS(INPUT_DATA!AY:AY,INPUT_DATA!$A:$A,$C121,INPUT_DATA!$C:$C,"D"))</f>
        <v/>
      </c>
      <c r="AD121" s="778" t="str">
        <f>IF($C121=0,"",SUMIFS(INPUT_DATA!AZ:AZ,INPUT_DATA!$A:$A,$C121,INPUT_DATA!$C:$C,"D"))</f>
        <v/>
      </c>
      <c r="AE121" s="778" t="str">
        <f>IF($C121=0,"",SUMIFS(INPUT_DATA!BA:BA,INPUT_DATA!$A:$A,$C121,INPUT_DATA!$C:$C,"D"))</f>
        <v/>
      </c>
      <c r="AF121" s="778" t="str">
        <f>IF($C121=0,"",SUMIFS(INPUT_DATA!BB:BB,INPUT_DATA!$A:$A,$C121,INPUT_DATA!$C:$C,"D"))</f>
        <v/>
      </c>
      <c r="AG121" s="778" t="str">
        <f>IF($C121=0,"",SUMIFS(INPUT_DATA!BC:BC,INPUT_DATA!$A:$A,$C121,INPUT_DATA!$C:$C,"D"))</f>
        <v/>
      </c>
      <c r="AH121" s="778" t="str">
        <f>IF($C121=0,"",SUMIFS(INPUT_DATA!BD:BD,INPUT_DATA!$A:$A,$C121,INPUT_DATA!$C:$C,"D"))</f>
        <v/>
      </c>
      <c r="AI121" s="778" t="str">
        <f>IF($C121=0,"",SUMIFS(INPUT_DATA!BE:BE,INPUT_DATA!$A:$A,$C121,INPUT_DATA!$C:$C,"D"))</f>
        <v/>
      </c>
      <c r="AJ121" s="788" t="str">
        <f t="shared" si="13"/>
        <v/>
      </c>
      <c r="AK121" s="784" t="str">
        <f>IF($C121=0,"",SUMIFS(INPUT_DATA!BG:BG,INPUT_DATA!$A:$A,$C121,INPUT_DATA!$C:$C,"D"))</f>
        <v/>
      </c>
      <c r="AL121" s="784" t="str">
        <f>IF($C121=0,"",SUMIFS(INPUT_DATA!BH:BH,INPUT_DATA!$A:$A,$C121,INPUT_DATA!$C:$C,"D"))</f>
        <v/>
      </c>
      <c r="AM121" s="784" t="str">
        <f>IF($C121=0,"",SUMIFS(INPUT_DATA!BI:BI,INPUT_DATA!$A:$A,$C121,INPUT_DATA!$C:$C,"D"))</f>
        <v/>
      </c>
      <c r="AN121" s="783" t="str">
        <f t="shared" si="17"/>
        <v/>
      </c>
      <c r="AO121" s="786" t="str">
        <f>IF($C121=0,"",SUMIFS(INPUT_DATA!BK:BK,INPUT_DATA!$A:$A,$C121,INPUT_DATA!$C:$C,"D"))</f>
        <v/>
      </c>
      <c r="AP121" s="789" t="str">
        <f t="shared" si="18"/>
        <v/>
      </c>
      <c r="AQ121" s="149"/>
      <c r="AS121" s="789" t="str">
        <f t="shared" si="19"/>
        <v/>
      </c>
      <c r="AU121" s="790" t="str">
        <f>IF($C121=0,"",'03 - Monthly Asset Follow up'!E125+'03 - Monthly Asset Follow up'!F125-'03 - Monthly Asset Follow up'!U125+'03 - Monthly Asset Follow up'!X125-H121)</f>
        <v/>
      </c>
      <c r="AV121" s="790" t="str">
        <f>IF($C121=0,"",'03 - Monthly Asset Follow up'!BD125+'03 - Monthly Asset Follow up'!BE125-'03 - Monthly Asset Follow up'!BT125+'03 - Monthly Asset Follow up'!BW125)</f>
        <v/>
      </c>
      <c r="AX121" s="182"/>
    </row>
  </sheetData>
  <conditionalFormatting sqref="B14:C121">
    <cfRule type="cellIs" dxfId="49" priority="2" operator="lessThanOrEqual">
      <formula>0</formula>
    </cfRule>
  </conditionalFormatting>
  <pageMargins left="0.7" right="0.7" top="0.75" bottom="0.75" header="0.3" footer="0.3"/>
  <pageSetup orientation="portrait" r:id="rId1"/>
  <ignoredErrors>
    <ignoredError xmlns:x16r3="http://schemas.microsoft.com/office/spreadsheetml/2018/08/main" sqref="C84:C121" x16r3:misleadingFormat="1"/>
    <ignoredError sqref="Q13:Q121"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C7CC8-1133-497B-B7F7-826293B5B4E8}">
  <sheetPr>
    <tabColor theme="0" tint="-0.249977111117893"/>
  </sheetPr>
  <dimension ref="A1:J72"/>
  <sheetViews>
    <sheetView showGridLines="0" zoomScale="80" zoomScaleNormal="80" workbookViewId="0">
      <selection activeCell="F12" sqref="F12"/>
    </sheetView>
  </sheetViews>
  <sheetFormatPr defaultColWidth="10.81640625" defaultRowHeight="14.5" x14ac:dyDescent="0.35"/>
  <cols>
    <col min="1" max="1" width="4.453125" style="413" customWidth="1"/>
    <col min="2" max="4" width="23" style="413" customWidth="1"/>
    <col min="5" max="6" width="29.54296875" style="413" customWidth="1"/>
    <col min="7" max="7" width="17.54296875" style="413" customWidth="1"/>
    <col min="8" max="16384" width="10.81640625" style="413"/>
  </cols>
  <sheetData>
    <row r="1" spans="1:10" x14ac:dyDescent="0.35">
      <c r="A1" s="104"/>
      <c r="B1" s="104"/>
      <c r="C1" s="104"/>
      <c r="D1" s="104"/>
      <c r="E1" s="104"/>
      <c r="F1" s="104"/>
      <c r="G1" s="104"/>
      <c r="H1" s="104"/>
      <c r="I1" s="104"/>
      <c r="J1" s="104"/>
    </row>
    <row r="2" spans="1:10" x14ac:dyDescent="0.35">
      <c r="A2" s="104"/>
      <c r="B2" s="106"/>
      <c r="C2" s="106"/>
      <c r="D2" s="106"/>
      <c r="E2" s="106"/>
      <c r="F2" s="106"/>
      <c r="G2" s="106"/>
      <c r="H2" s="106"/>
      <c r="I2" s="106"/>
      <c r="J2" s="106"/>
    </row>
    <row r="3" spans="1:10" ht="14.5" customHeight="1" x14ac:dyDescent="0.35">
      <c r="A3" s="104"/>
      <c r="B3" s="106"/>
      <c r="C3" s="106"/>
      <c r="D3" s="106"/>
      <c r="E3" s="106"/>
      <c r="F3" s="144" t="s">
        <v>134</v>
      </c>
      <c r="G3" s="144">
        <f>'00 - Cover'!$F$16</f>
        <v>45491</v>
      </c>
      <c r="H3" s="106"/>
      <c r="I3" s="105"/>
      <c r="J3" s="105"/>
    </row>
    <row r="4" spans="1:10" ht="14.5" customHeight="1" x14ac:dyDescent="0.35">
      <c r="A4" s="104"/>
      <c r="B4" s="106"/>
      <c r="C4" s="106"/>
      <c r="D4" s="106"/>
      <c r="E4" s="106"/>
      <c r="F4" s="144" t="s">
        <v>655</v>
      </c>
      <c r="G4" s="144">
        <f>'00 - Cover'!$F$15</f>
        <v>45488</v>
      </c>
      <c r="H4" s="106"/>
      <c r="I4" s="105"/>
      <c r="J4" s="105"/>
    </row>
    <row r="5" spans="1:10" ht="14.5" customHeight="1" x14ac:dyDescent="0.35">
      <c r="A5" s="104"/>
      <c r="B5" s="106"/>
      <c r="C5" s="106"/>
      <c r="D5" s="106"/>
      <c r="E5" s="106"/>
      <c r="F5" s="144" t="s">
        <v>94</v>
      </c>
      <c r="G5" s="144">
        <f>'00 - Cover'!$F$16</f>
        <v>45491</v>
      </c>
      <c r="H5" s="106"/>
      <c r="I5" s="105"/>
      <c r="J5" s="105"/>
    </row>
    <row r="6" spans="1:10" ht="14.5" customHeight="1" x14ac:dyDescent="0.35">
      <c r="A6" s="104"/>
      <c r="B6" s="106"/>
      <c r="C6" s="106"/>
      <c r="D6" s="106"/>
      <c r="E6" s="106"/>
      <c r="F6" s="144" t="s">
        <v>87</v>
      </c>
      <c r="G6" s="144">
        <f>'00 - Cover'!$F$17</f>
        <v>45498</v>
      </c>
      <c r="H6" s="106"/>
      <c r="I6" s="106"/>
      <c r="J6" s="106"/>
    </row>
    <row r="7" spans="1:10" x14ac:dyDescent="0.35">
      <c r="A7" s="104"/>
      <c r="B7" s="106"/>
      <c r="C7" s="106"/>
      <c r="D7" s="106"/>
      <c r="E7" s="106"/>
      <c r="F7" s="106"/>
      <c r="G7" s="106"/>
      <c r="H7" s="106"/>
      <c r="I7" s="106"/>
      <c r="J7" s="106"/>
    </row>
    <row r="8" spans="1:10" x14ac:dyDescent="0.35">
      <c r="A8" s="412"/>
    </row>
    <row r="9" spans="1:10" ht="18" customHeight="1" x14ac:dyDescent="0.35">
      <c r="B9" s="667" t="s">
        <v>560</v>
      </c>
      <c r="C9" s="633"/>
      <c r="D9" s="634"/>
      <c r="E9" s="635"/>
      <c r="F9" s="636"/>
    </row>
    <row r="11" spans="1:10" ht="63.65" customHeight="1" x14ac:dyDescent="0.35">
      <c r="A11" s="429"/>
      <c r="B11" s="632" t="s">
        <v>95</v>
      </c>
      <c r="C11" s="599" t="s">
        <v>689</v>
      </c>
      <c r="D11" s="599" t="s">
        <v>690</v>
      </c>
      <c r="E11" s="632" t="s">
        <v>907</v>
      </c>
      <c r="F11" s="632" t="s">
        <v>908</v>
      </c>
    </row>
    <row r="12" spans="1:10" x14ac:dyDescent="0.35">
      <c r="A12" s="429"/>
      <c r="B12" s="792">
        <f>'03 - Monthly Asset Follow up'!B17</f>
        <v>45473</v>
      </c>
      <c r="C12" s="795">
        <f>IF(OR(B12=0,F12=""),"",MAX(D12:D23))</f>
        <v>5.0177773501827901E-3</v>
      </c>
      <c r="D12" s="795">
        <f t="shared" ref="D12:D72" si="0">IF(OR(B12=0,F12=""),"",E12/F12)</f>
        <v>9.4456121676121402E-4</v>
      </c>
      <c r="E12" s="434">
        <f>IF(B12=0,"",'03 - Monthly Asset Follow up'!F17)</f>
        <v>667655.79</v>
      </c>
      <c r="F12" s="433">
        <f>IF(B12=0,"",'03 - Monthly Asset Follow up'!P18)</f>
        <v>706842265.12000024</v>
      </c>
    </row>
    <row r="13" spans="1:10" x14ac:dyDescent="0.35">
      <c r="A13" s="429"/>
      <c r="B13" s="791">
        <f>'03 - Monthly Asset Follow up'!B18</f>
        <v>45443</v>
      </c>
      <c r="C13" s="796">
        <f>IF(OR(B13=0,F13=""),"",MAX(D13:D24))</f>
        <v>5.0177773501827901E-3</v>
      </c>
      <c r="D13" s="796">
        <f t="shared" si="0"/>
        <v>8.1693512277940174E-4</v>
      </c>
      <c r="E13" s="793">
        <f>IF(B13=0,"",'03 - Monthly Asset Follow up'!F18)</f>
        <v>581914.99</v>
      </c>
      <c r="F13" s="794">
        <f>IF(B13=0,"",'03 - Monthly Asset Follow up'!P19)</f>
        <v>712314813.96000087</v>
      </c>
    </row>
    <row r="14" spans="1:10" x14ac:dyDescent="0.35">
      <c r="A14" s="429"/>
      <c r="B14" s="791">
        <f>'03 - Monthly Asset Follow up'!B19</f>
        <v>45412</v>
      </c>
      <c r="C14" s="796">
        <f t="shared" ref="C14:C72" si="1">IF(OR(B14=0,F14=""),"",MAX(D14:D25))</f>
        <v>5.0177773501827901E-3</v>
      </c>
      <c r="D14" s="796">
        <f t="shared" si="0"/>
        <v>7.181915862556963E-4</v>
      </c>
      <c r="E14" s="793">
        <f>IF(B14=0,"",'03 - Monthly Asset Follow up'!F19)</f>
        <v>515506.72</v>
      </c>
      <c r="F14" s="794">
        <f>IF(B14=0,"",'03 - Monthly Asset Follow up'!P20)</f>
        <v>717784404.41999996</v>
      </c>
    </row>
    <row r="15" spans="1:10" x14ac:dyDescent="0.35">
      <c r="B15" s="791">
        <f>'03 - Monthly Asset Follow up'!B20</f>
        <v>45382</v>
      </c>
      <c r="C15" s="796">
        <f t="shared" si="1"/>
        <v>5.0177773501827901E-3</v>
      </c>
      <c r="D15" s="796">
        <f t="shared" si="0"/>
        <v>1.8944064172423847E-3</v>
      </c>
      <c r="E15" s="793">
        <f>IF(B15=0,"",'03 - Monthly Asset Follow up'!F20)</f>
        <v>1371710.64</v>
      </c>
      <c r="F15" s="794">
        <f>IF(B15=0,"",'03 - Monthly Asset Follow up'!P21)</f>
        <v>724084667.11000001</v>
      </c>
    </row>
    <row r="16" spans="1:10" x14ac:dyDescent="0.35">
      <c r="B16" s="791">
        <f>'03 - Monthly Asset Follow up'!B21</f>
        <v>45351</v>
      </c>
      <c r="C16" s="796">
        <f t="shared" si="1"/>
        <v>5.0177773501827901E-3</v>
      </c>
      <c r="D16" s="796">
        <f t="shared" si="0"/>
        <v>5.0177773501827901E-3</v>
      </c>
      <c r="E16" s="793">
        <f>IF(B16=0,"",'03 - Monthly Asset Follow up'!F21)</f>
        <v>3676512.91</v>
      </c>
      <c r="F16" s="794">
        <f>IF(B16=0,"",'03 - Monthly Asset Follow up'!P22)</f>
        <v>732697498</v>
      </c>
    </row>
    <row r="17" spans="2:6" x14ac:dyDescent="0.35">
      <c r="B17" s="791">
        <f>'03 - Monthly Asset Follow up'!B22</f>
        <v>45322</v>
      </c>
      <c r="C17" s="796">
        <f t="shared" si="1"/>
        <v>2.0110449893448283E-3</v>
      </c>
      <c r="D17" s="796">
        <f t="shared" si="0"/>
        <v>2.0110449893448283E-3</v>
      </c>
      <c r="E17" s="793">
        <f>IF(B17=0,"",'03 - Monthly Asset Follow up'!F22)</f>
        <v>1486537.02</v>
      </c>
      <c r="F17" s="794">
        <f>IF(B17=0,"",'03 - Monthly Asset Follow up'!P23)</f>
        <v>739186357.27999997</v>
      </c>
    </row>
    <row r="18" spans="2:6" x14ac:dyDescent="0.35">
      <c r="B18" s="791">
        <f>'03 - Monthly Asset Follow up'!B23</f>
        <v>45291</v>
      </c>
      <c r="C18" s="796">
        <f t="shared" si="1"/>
        <v>1.7111986065626074E-3</v>
      </c>
      <c r="D18" s="796">
        <f t="shared" si="0"/>
        <v>8.2723997605679985E-4</v>
      </c>
      <c r="E18" s="793">
        <f>IF(B18=0,"",'03 - Monthly Asset Follow up'!F23)</f>
        <v>616128.16</v>
      </c>
      <c r="F18" s="794">
        <f>IF(B18=0,"",'03 - Monthly Asset Follow up'!P24)</f>
        <v>744799789.46000004</v>
      </c>
    </row>
    <row r="19" spans="2:6" x14ac:dyDescent="0.35">
      <c r="B19" s="791">
        <f>'03 - Monthly Asset Follow up'!B24</f>
        <v>45260</v>
      </c>
      <c r="C19" s="796">
        <f t="shared" si="1"/>
        <v>1.7111986065626074E-3</v>
      </c>
      <c r="D19" s="796">
        <f t="shared" si="0"/>
        <v>1.7111986065626074E-3</v>
      </c>
      <c r="E19" s="793">
        <f>IF(B19=0,"",'03 - Monthly Asset Follow up'!F24)</f>
        <v>1285255.6299999999</v>
      </c>
      <c r="F19" s="794">
        <f>IF(B19=0,"",'03 - Monthly Asset Follow up'!P25)</f>
        <v>751085014.37</v>
      </c>
    </row>
    <row r="20" spans="2:6" x14ac:dyDescent="0.35">
      <c r="B20" s="791">
        <f>'03 - Monthly Asset Follow up'!B25</f>
        <v>45230</v>
      </c>
      <c r="C20" s="796" t="str">
        <f t="shared" si="1"/>
        <v/>
      </c>
      <c r="D20" s="796" t="str">
        <f t="shared" si="0"/>
        <v/>
      </c>
      <c r="E20" s="793">
        <f>IF(B20=0,"",'03 - Monthly Asset Follow up'!F25)</f>
        <v>0</v>
      </c>
      <c r="F20" s="794" t="str">
        <f>IF(B20=0,"",'03 - Monthly Asset Follow up'!P26)</f>
        <v/>
      </c>
    </row>
    <row r="21" spans="2:6" x14ac:dyDescent="0.35">
      <c r="B21" s="791">
        <f>'03 - Monthly Asset Follow up'!B26</f>
        <v>0</v>
      </c>
      <c r="C21" s="796" t="str">
        <f t="shared" si="1"/>
        <v/>
      </c>
      <c r="D21" s="796" t="str">
        <f t="shared" si="0"/>
        <v/>
      </c>
      <c r="E21" s="793" t="str">
        <f>IF(B21=0,"",'03 - Monthly Asset Follow up'!F26)</f>
        <v/>
      </c>
      <c r="F21" s="794" t="str">
        <f>IF(B21=0,"",'03 - Monthly Asset Follow up'!P27)</f>
        <v/>
      </c>
    </row>
    <row r="22" spans="2:6" x14ac:dyDescent="0.35">
      <c r="B22" s="791">
        <f>'03 - Monthly Asset Follow up'!B27</f>
        <v>0</v>
      </c>
      <c r="C22" s="796" t="str">
        <f t="shared" si="1"/>
        <v/>
      </c>
      <c r="D22" s="796" t="str">
        <f t="shared" si="0"/>
        <v/>
      </c>
      <c r="E22" s="793" t="str">
        <f>IF(B22=0,"",'03 - Monthly Asset Follow up'!F27)</f>
        <v/>
      </c>
      <c r="F22" s="794" t="str">
        <f>IF(B22=0,"",'03 - Monthly Asset Follow up'!P28)</f>
        <v/>
      </c>
    </row>
    <row r="23" spans="2:6" x14ac:dyDescent="0.35">
      <c r="B23" s="791">
        <f>'03 - Monthly Asset Follow up'!B28</f>
        <v>0</v>
      </c>
      <c r="C23" s="796" t="str">
        <f t="shared" si="1"/>
        <v/>
      </c>
      <c r="D23" s="796" t="str">
        <f t="shared" si="0"/>
        <v/>
      </c>
      <c r="E23" s="793" t="str">
        <f>IF(B23=0,"",'03 - Monthly Asset Follow up'!F28)</f>
        <v/>
      </c>
      <c r="F23" s="794" t="str">
        <f>IF(B23=0,"",'03 - Monthly Asset Follow up'!P29)</f>
        <v/>
      </c>
    </row>
    <row r="24" spans="2:6" x14ac:dyDescent="0.35">
      <c r="B24" s="791">
        <f>'03 - Monthly Asset Follow up'!B29</f>
        <v>0</v>
      </c>
      <c r="C24" s="796" t="str">
        <f t="shared" si="1"/>
        <v/>
      </c>
      <c r="D24" s="796" t="str">
        <f t="shared" si="0"/>
        <v/>
      </c>
      <c r="E24" s="793" t="str">
        <f>IF(B24=0,"",'03 - Monthly Asset Follow up'!F29)</f>
        <v/>
      </c>
      <c r="F24" s="794" t="str">
        <f>IF(B24=0,"",'03 - Monthly Asset Follow up'!P30)</f>
        <v/>
      </c>
    </row>
    <row r="25" spans="2:6" x14ac:dyDescent="0.35">
      <c r="B25" s="791">
        <f>'03 - Monthly Asset Follow up'!B30</f>
        <v>0</v>
      </c>
      <c r="C25" s="796" t="str">
        <f t="shared" si="1"/>
        <v/>
      </c>
      <c r="D25" s="796" t="str">
        <f t="shared" si="0"/>
        <v/>
      </c>
      <c r="E25" s="793" t="str">
        <f>IF(B25=0,"",'03 - Monthly Asset Follow up'!F30)</f>
        <v/>
      </c>
      <c r="F25" s="794" t="str">
        <f>IF(B25=0,"",'03 - Monthly Asset Follow up'!P31)</f>
        <v/>
      </c>
    </row>
    <row r="26" spans="2:6" x14ac:dyDescent="0.35">
      <c r="B26" s="791">
        <f>'03 - Monthly Asset Follow up'!B31</f>
        <v>0</v>
      </c>
      <c r="C26" s="796" t="str">
        <f t="shared" si="1"/>
        <v/>
      </c>
      <c r="D26" s="796" t="str">
        <f t="shared" si="0"/>
        <v/>
      </c>
      <c r="E26" s="793" t="str">
        <f>IF(B26=0,"",'03 - Monthly Asset Follow up'!F31)</f>
        <v/>
      </c>
      <c r="F26" s="794" t="str">
        <f>IF(B26=0,"",'03 - Monthly Asset Follow up'!P32)</f>
        <v/>
      </c>
    </row>
    <row r="27" spans="2:6" x14ac:dyDescent="0.35">
      <c r="B27" s="791">
        <f>'03 - Monthly Asset Follow up'!B32</f>
        <v>0</v>
      </c>
      <c r="C27" s="796" t="str">
        <f t="shared" si="1"/>
        <v/>
      </c>
      <c r="D27" s="796" t="str">
        <f t="shared" si="0"/>
        <v/>
      </c>
      <c r="E27" s="793" t="str">
        <f>IF(B27=0,"",'03 - Monthly Asset Follow up'!F32)</f>
        <v/>
      </c>
      <c r="F27" s="794" t="str">
        <f>IF(B27=0,"",'03 - Monthly Asset Follow up'!P33)</f>
        <v/>
      </c>
    </row>
    <row r="28" spans="2:6" x14ac:dyDescent="0.35">
      <c r="B28" s="791">
        <f>'03 - Monthly Asset Follow up'!B33</f>
        <v>0</v>
      </c>
      <c r="C28" s="796" t="str">
        <f t="shared" si="1"/>
        <v/>
      </c>
      <c r="D28" s="796" t="str">
        <f t="shared" si="0"/>
        <v/>
      </c>
      <c r="E28" s="793" t="str">
        <f>IF(B28=0,"",'03 - Monthly Asset Follow up'!F33)</f>
        <v/>
      </c>
      <c r="F28" s="794" t="str">
        <f>IF(B28=0,"",'03 - Monthly Asset Follow up'!P34)</f>
        <v/>
      </c>
    </row>
    <row r="29" spans="2:6" x14ac:dyDescent="0.35">
      <c r="B29" s="791">
        <f>'03 - Monthly Asset Follow up'!B34</f>
        <v>0</v>
      </c>
      <c r="C29" s="796" t="str">
        <f t="shared" si="1"/>
        <v/>
      </c>
      <c r="D29" s="796" t="str">
        <f t="shared" si="0"/>
        <v/>
      </c>
      <c r="E29" s="793" t="str">
        <f>IF(B29=0,"",'03 - Monthly Asset Follow up'!F34)</f>
        <v/>
      </c>
      <c r="F29" s="794" t="str">
        <f>IF(B29=0,"",'03 - Monthly Asset Follow up'!P35)</f>
        <v/>
      </c>
    </row>
    <row r="30" spans="2:6" x14ac:dyDescent="0.35">
      <c r="B30" s="791">
        <f>'03 - Monthly Asset Follow up'!B35</f>
        <v>0</v>
      </c>
      <c r="C30" s="796" t="str">
        <f t="shared" si="1"/>
        <v/>
      </c>
      <c r="D30" s="796" t="str">
        <f t="shared" si="0"/>
        <v/>
      </c>
      <c r="E30" s="793" t="str">
        <f>IF(B30=0,"",'03 - Monthly Asset Follow up'!F35)</f>
        <v/>
      </c>
      <c r="F30" s="794" t="str">
        <f>IF(B30=0,"",'03 - Monthly Asset Follow up'!P36)</f>
        <v/>
      </c>
    </row>
    <row r="31" spans="2:6" x14ac:dyDescent="0.35">
      <c r="B31" s="791">
        <f>'03 - Monthly Asset Follow up'!B36</f>
        <v>0</v>
      </c>
      <c r="C31" s="796" t="str">
        <f t="shared" si="1"/>
        <v/>
      </c>
      <c r="D31" s="796" t="str">
        <f t="shared" si="0"/>
        <v/>
      </c>
      <c r="E31" s="793" t="str">
        <f>IF(B31=0,"",'03 - Monthly Asset Follow up'!F36)</f>
        <v/>
      </c>
      <c r="F31" s="794" t="str">
        <f>IF(B31=0,"",'03 - Monthly Asset Follow up'!P37)</f>
        <v/>
      </c>
    </row>
    <row r="32" spans="2:6" x14ac:dyDescent="0.35">
      <c r="B32" s="791">
        <f>'03 - Monthly Asset Follow up'!B37</f>
        <v>0</v>
      </c>
      <c r="C32" s="796" t="str">
        <f t="shared" si="1"/>
        <v/>
      </c>
      <c r="D32" s="796" t="str">
        <f t="shared" si="0"/>
        <v/>
      </c>
      <c r="E32" s="793" t="str">
        <f>IF(B32=0,"",'03 - Monthly Asset Follow up'!F37)</f>
        <v/>
      </c>
      <c r="F32" s="794" t="str">
        <f>IF(B32=0,"",'03 - Monthly Asset Follow up'!P38)</f>
        <v/>
      </c>
    </row>
    <row r="33" spans="2:6" x14ac:dyDescent="0.35">
      <c r="B33" s="791">
        <f>'03 - Monthly Asset Follow up'!B38</f>
        <v>0</v>
      </c>
      <c r="C33" s="796" t="str">
        <f t="shared" si="1"/>
        <v/>
      </c>
      <c r="D33" s="796" t="str">
        <f t="shared" si="0"/>
        <v/>
      </c>
      <c r="E33" s="793" t="str">
        <f>IF(B33=0,"",'03 - Monthly Asset Follow up'!F38)</f>
        <v/>
      </c>
      <c r="F33" s="794" t="str">
        <f>IF(B33=0,"",'03 - Monthly Asset Follow up'!P39)</f>
        <v/>
      </c>
    </row>
    <row r="34" spans="2:6" x14ac:dyDescent="0.35">
      <c r="B34" s="791">
        <f>'03 - Monthly Asset Follow up'!B39</f>
        <v>0</v>
      </c>
      <c r="C34" s="796" t="str">
        <f t="shared" si="1"/>
        <v/>
      </c>
      <c r="D34" s="796" t="str">
        <f t="shared" si="0"/>
        <v/>
      </c>
      <c r="E34" s="793" t="str">
        <f>IF(B34=0,"",'03 - Monthly Asset Follow up'!F39)</f>
        <v/>
      </c>
      <c r="F34" s="794" t="str">
        <f>IF(B34=0,"",'03 - Monthly Asset Follow up'!P40)</f>
        <v/>
      </c>
    </row>
    <row r="35" spans="2:6" x14ac:dyDescent="0.35">
      <c r="B35" s="791">
        <f>'03 - Monthly Asset Follow up'!B40</f>
        <v>0</v>
      </c>
      <c r="C35" s="796" t="str">
        <f t="shared" si="1"/>
        <v/>
      </c>
      <c r="D35" s="796" t="str">
        <f t="shared" si="0"/>
        <v/>
      </c>
      <c r="E35" s="793" t="str">
        <f>IF(B35=0,"",'03 - Monthly Asset Follow up'!F40)</f>
        <v/>
      </c>
      <c r="F35" s="794" t="str">
        <f>IF(B35=0,"",'03 - Monthly Asset Follow up'!P41)</f>
        <v/>
      </c>
    </row>
    <row r="36" spans="2:6" x14ac:dyDescent="0.35">
      <c r="B36" s="791">
        <f>'03 - Monthly Asset Follow up'!B41</f>
        <v>0</v>
      </c>
      <c r="C36" s="796" t="str">
        <f t="shared" si="1"/>
        <v/>
      </c>
      <c r="D36" s="796" t="str">
        <f t="shared" si="0"/>
        <v/>
      </c>
      <c r="E36" s="793" t="str">
        <f>IF(B36=0,"",'03 - Monthly Asset Follow up'!F41)</f>
        <v/>
      </c>
      <c r="F36" s="794" t="str">
        <f>IF(B36=0,"",'03 - Monthly Asset Follow up'!P42)</f>
        <v/>
      </c>
    </row>
    <row r="37" spans="2:6" x14ac:dyDescent="0.35">
      <c r="B37" s="791">
        <f>'03 - Monthly Asset Follow up'!B42</f>
        <v>0</v>
      </c>
      <c r="C37" s="796" t="str">
        <f t="shared" si="1"/>
        <v/>
      </c>
      <c r="D37" s="796" t="str">
        <f t="shared" si="0"/>
        <v/>
      </c>
      <c r="E37" s="793" t="str">
        <f>IF(B37=0,"",'03 - Monthly Asset Follow up'!F42)</f>
        <v/>
      </c>
      <c r="F37" s="794" t="str">
        <f>IF(B37=0,"",'03 - Monthly Asset Follow up'!P43)</f>
        <v/>
      </c>
    </row>
    <row r="38" spans="2:6" x14ac:dyDescent="0.35">
      <c r="B38" s="791">
        <f>'03 - Monthly Asset Follow up'!B43</f>
        <v>0</v>
      </c>
      <c r="C38" s="796" t="str">
        <f t="shared" si="1"/>
        <v/>
      </c>
      <c r="D38" s="796" t="str">
        <f t="shared" si="0"/>
        <v/>
      </c>
      <c r="E38" s="793" t="str">
        <f>IF(B38=0,"",'03 - Monthly Asset Follow up'!F43)</f>
        <v/>
      </c>
      <c r="F38" s="794" t="str">
        <f>IF(B38=0,"",'03 - Monthly Asset Follow up'!P44)</f>
        <v/>
      </c>
    </row>
    <row r="39" spans="2:6" x14ac:dyDescent="0.35">
      <c r="B39" s="791">
        <f>'03 - Monthly Asset Follow up'!B44</f>
        <v>0</v>
      </c>
      <c r="C39" s="796" t="str">
        <f t="shared" si="1"/>
        <v/>
      </c>
      <c r="D39" s="796" t="str">
        <f t="shared" si="0"/>
        <v/>
      </c>
      <c r="E39" s="793" t="str">
        <f>IF(B39=0,"",'03 - Monthly Asset Follow up'!F44)</f>
        <v/>
      </c>
      <c r="F39" s="794" t="str">
        <f>IF(B39=0,"",'03 - Monthly Asset Follow up'!P45)</f>
        <v/>
      </c>
    </row>
    <row r="40" spans="2:6" x14ac:dyDescent="0.35">
      <c r="B40" s="791">
        <f>'03 - Monthly Asset Follow up'!B45</f>
        <v>0</v>
      </c>
      <c r="C40" s="796" t="str">
        <f t="shared" si="1"/>
        <v/>
      </c>
      <c r="D40" s="796" t="str">
        <f t="shared" si="0"/>
        <v/>
      </c>
      <c r="E40" s="793" t="str">
        <f>IF(B40=0,"",'03 - Monthly Asset Follow up'!F45)</f>
        <v/>
      </c>
      <c r="F40" s="794" t="str">
        <f>IF(B40=0,"",'03 - Monthly Asset Follow up'!P46)</f>
        <v/>
      </c>
    </row>
    <row r="41" spans="2:6" x14ac:dyDescent="0.35">
      <c r="B41" s="791">
        <f>'03 - Monthly Asset Follow up'!B46</f>
        <v>0</v>
      </c>
      <c r="C41" s="796" t="str">
        <f t="shared" si="1"/>
        <v/>
      </c>
      <c r="D41" s="796" t="str">
        <f t="shared" si="0"/>
        <v/>
      </c>
      <c r="E41" s="793" t="str">
        <f>IF(B41=0,"",'03 - Monthly Asset Follow up'!F46)</f>
        <v/>
      </c>
      <c r="F41" s="794" t="str">
        <f>IF(B41=0,"",'03 - Monthly Asset Follow up'!P47)</f>
        <v/>
      </c>
    </row>
    <row r="42" spans="2:6" x14ac:dyDescent="0.35">
      <c r="B42" s="791">
        <f>'03 - Monthly Asset Follow up'!B47</f>
        <v>0</v>
      </c>
      <c r="C42" s="796" t="str">
        <f t="shared" si="1"/>
        <v/>
      </c>
      <c r="D42" s="796" t="str">
        <f t="shared" si="0"/>
        <v/>
      </c>
      <c r="E42" s="793" t="str">
        <f>IF(B42=0,"",'03 - Monthly Asset Follow up'!F47)</f>
        <v/>
      </c>
      <c r="F42" s="794" t="str">
        <f>IF(B42=0,"",'03 - Monthly Asset Follow up'!P48)</f>
        <v/>
      </c>
    </row>
    <row r="43" spans="2:6" x14ac:dyDescent="0.35">
      <c r="B43" s="791">
        <f>'03 - Monthly Asset Follow up'!B48</f>
        <v>0</v>
      </c>
      <c r="C43" s="796" t="str">
        <f t="shared" si="1"/>
        <v/>
      </c>
      <c r="D43" s="796" t="str">
        <f t="shared" si="0"/>
        <v/>
      </c>
      <c r="E43" s="793" t="str">
        <f>IF(B43=0,"",'03 - Monthly Asset Follow up'!F48)</f>
        <v/>
      </c>
      <c r="F43" s="794" t="str">
        <f>IF(B43=0,"",'03 - Monthly Asset Follow up'!P49)</f>
        <v/>
      </c>
    </row>
    <row r="44" spans="2:6" x14ac:dyDescent="0.35">
      <c r="B44" s="791">
        <f>'03 - Monthly Asset Follow up'!B49</f>
        <v>0</v>
      </c>
      <c r="C44" s="796" t="str">
        <f t="shared" si="1"/>
        <v/>
      </c>
      <c r="D44" s="796" t="str">
        <f t="shared" si="0"/>
        <v/>
      </c>
      <c r="E44" s="793" t="str">
        <f>IF(B44=0,"",'03 - Monthly Asset Follow up'!F49)</f>
        <v/>
      </c>
      <c r="F44" s="794" t="str">
        <f>IF(B44=0,"",'03 - Monthly Asset Follow up'!P50)</f>
        <v/>
      </c>
    </row>
    <row r="45" spans="2:6" x14ac:dyDescent="0.35">
      <c r="B45" s="791">
        <f>'03 - Monthly Asset Follow up'!B50</f>
        <v>0</v>
      </c>
      <c r="C45" s="796" t="str">
        <f t="shared" si="1"/>
        <v/>
      </c>
      <c r="D45" s="796" t="str">
        <f t="shared" si="0"/>
        <v/>
      </c>
      <c r="E45" s="793" t="str">
        <f>IF(B45=0,"",'03 - Monthly Asset Follow up'!F50)</f>
        <v/>
      </c>
      <c r="F45" s="794" t="str">
        <f>IF(B45=0,"",'03 - Monthly Asset Follow up'!P51)</f>
        <v/>
      </c>
    </row>
    <row r="46" spans="2:6" x14ac:dyDescent="0.35">
      <c r="B46" s="791">
        <f>'03 - Monthly Asset Follow up'!B51</f>
        <v>0</v>
      </c>
      <c r="C46" s="796" t="str">
        <f t="shared" si="1"/>
        <v/>
      </c>
      <c r="D46" s="796" t="str">
        <f t="shared" si="0"/>
        <v/>
      </c>
      <c r="E46" s="793" t="str">
        <f>IF(B46=0,"",'03 - Monthly Asset Follow up'!F51)</f>
        <v/>
      </c>
      <c r="F46" s="794" t="str">
        <f>IF(B46=0,"",'03 - Monthly Asset Follow up'!P52)</f>
        <v/>
      </c>
    </row>
    <row r="47" spans="2:6" x14ac:dyDescent="0.35">
      <c r="B47" s="791">
        <f>'03 - Monthly Asset Follow up'!B52</f>
        <v>0</v>
      </c>
      <c r="C47" s="796" t="str">
        <f t="shared" si="1"/>
        <v/>
      </c>
      <c r="D47" s="796" t="str">
        <f t="shared" si="0"/>
        <v/>
      </c>
      <c r="E47" s="793" t="str">
        <f>IF(B47=0,"",'03 - Monthly Asset Follow up'!F52)</f>
        <v/>
      </c>
      <c r="F47" s="794" t="str">
        <f>IF(B47=0,"",'03 - Monthly Asset Follow up'!P53)</f>
        <v/>
      </c>
    </row>
    <row r="48" spans="2:6" x14ac:dyDescent="0.35">
      <c r="B48" s="791">
        <f>'03 - Monthly Asset Follow up'!B53</f>
        <v>0</v>
      </c>
      <c r="C48" s="796" t="str">
        <f t="shared" si="1"/>
        <v/>
      </c>
      <c r="D48" s="796" t="str">
        <f t="shared" si="0"/>
        <v/>
      </c>
      <c r="E48" s="793" t="str">
        <f>IF(B48=0,"",'03 - Monthly Asset Follow up'!F53)</f>
        <v/>
      </c>
      <c r="F48" s="794" t="str">
        <f>IF(B48=0,"",'03 - Monthly Asset Follow up'!P54)</f>
        <v/>
      </c>
    </row>
    <row r="49" spans="2:6" x14ac:dyDescent="0.35">
      <c r="B49" s="791">
        <f>'03 - Monthly Asset Follow up'!B54</f>
        <v>0</v>
      </c>
      <c r="C49" s="796" t="str">
        <f t="shared" si="1"/>
        <v/>
      </c>
      <c r="D49" s="796" t="str">
        <f t="shared" si="0"/>
        <v/>
      </c>
      <c r="E49" s="793" t="str">
        <f>IF(B49=0,"",'03 - Monthly Asset Follow up'!F54)</f>
        <v/>
      </c>
      <c r="F49" s="794" t="str">
        <f>IF(B49=0,"",'03 - Monthly Asset Follow up'!P55)</f>
        <v/>
      </c>
    </row>
    <row r="50" spans="2:6" x14ac:dyDescent="0.35">
      <c r="B50" s="791">
        <f>'03 - Monthly Asset Follow up'!B55</f>
        <v>0</v>
      </c>
      <c r="C50" s="796" t="str">
        <f t="shared" si="1"/>
        <v/>
      </c>
      <c r="D50" s="796" t="str">
        <f t="shared" si="0"/>
        <v/>
      </c>
      <c r="E50" s="793" t="str">
        <f>IF(B50=0,"",'03 - Monthly Asset Follow up'!F55)</f>
        <v/>
      </c>
      <c r="F50" s="794" t="str">
        <f>IF(B50=0,"",'03 - Monthly Asset Follow up'!P56)</f>
        <v/>
      </c>
    </row>
    <row r="51" spans="2:6" x14ac:dyDescent="0.35">
      <c r="B51" s="791">
        <f>'03 - Monthly Asset Follow up'!B56</f>
        <v>0</v>
      </c>
      <c r="C51" s="796" t="str">
        <f t="shared" si="1"/>
        <v/>
      </c>
      <c r="D51" s="796" t="str">
        <f t="shared" si="0"/>
        <v/>
      </c>
      <c r="E51" s="793" t="str">
        <f>IF(B51=0,"",'03 - Monthly Asset Follow up'!F56)</f>
        <v/>
      </c>
      <c r="F51" s="794" t="str">
        <f>IF(B51=0,"",'03 - Monthly Asset Follow up'!P57)</f>
        <v/>
      </c>
    </row>
    <row r="52" spans="2:6" x14ac:dyDescent="0.35">
      <c r="B52" s="791">
        <f>'03 - Monthly Asset Follow up'!B57</f>
        <v>0</v>
      </c>
      <c r="C52" s="796" t="str">
        <f t="shared" si="1"/>
        <v/>
      </c>
      <c r="D52" s="796" t="str">
        <f t="shared" si="0"/>
        <v/>
      </c>
      <c r="E52" s="793" t="str">
        <f>IF(B52=0,"",'03 - Monthly Asset Follow up'!F57)</f>
        <v/>
      </c>
      <c r="F52" s="794" t="str">
        <f>IF(B52=0,"",'03 - Monthly Asset Follow up'!P58)</f>
        <v/>
      </c>
    </row>
    <row r="53" spans="2:6" x14ac:dyDescent="0.35">
      <c r="B53" s="791">
        <f>'03 - Monthly Asset Follow up'!B58</f>
        <v>0</v>
      </c>
      <c r="C53" s="796" t="str">
        <f t="shared" si="1"/>
        <v/>
      </c>
      <c r="D53" s="796" t="str">
        <f t="shared" si="0"/>
        <v/>
      </c>
      <c r="E53" s="793" t="str">
        <f>IF(B53=0,"",'03 - Monthly Asset Follow up'!F58)</f>
        <v/>
      </c>
      <c r="F53" s="794" t="str">
        <f>IF(B53=0,"",'03 - Monthly Asset Follow up'!P59)</f>
        <v/>
      </c>
    </row>
    <row r="54" spans="2:6" x14ac:dyDescent="0.35">
      <c r="B54" s="791">
        <f>'03 - Monthly Asset Follow up'!B59</f>
        <v>0</v>
      </c>
      <c r="C54" s="796" t="str">
        <f t="shared" si="1"/>
        <v/>
      </c>
      <c r="D54" s="796" t="str">
        <f t="shared" si="0"/>
        <v/>
      </c>
      <c r="E54" s="793" t="str">
        <f>IF(B54=0,"",'03 - Monthly Asset Follow up'!F59)</f>
        <v/>
      </c>
      <c r="F54" s="794" t="str">
        <f>IF(B54=0,"",'03 - Monthly Asset Follow up'!P60)</f>
        <v/>
      </c>
    </row>
    <row r="55" spans="2:6" x14ac:dyDescent="0.35">
      <c r="B55" s="791">
        <f>'03 - Monthly Asset Follow up'!B60</f>
        <v>0</v>
      </c>
      <c r="C55" s="796" t="str">
        <f t="shared" si="1"/>
        <v/>
      </c>
      <c r="D55" s="796" t="str">
        <f t="shared" si="0"/>
        <v/>
      </c>
      <c r="E55" s="793" t="str">
        <f>IF(B55=0,"",'03 - Monthly Asset Follow up'!F60)</f>
        <v/>
      </c>
      <c r="F55" s="794" t="str">
        <f>IF(B55=0,"",'03 - Monthly Asset Follow up'!P61)</f>
        <v/>
      </c>
    </row>
    <row r="56" spans="2:6" x14ac:dyDescent="0.35">
      <c r="B56" s="791">
        <f>'03 - Monthly Asset Follow up'!B61</f>
        <v>0</v>
      </c>
      <c r="C56" s="796" t="str">
        <f t="shared" si="1"/>
        <v/>
      </c>
      <c r="D56" s="796" t="str">
        <f t="shared" si="0"/>
        <v/>
      </c>
      <c r="E56" s="793" t="str">
        <f>IF(B56=0,"",'03 - Monthly Asset Follow up'!F61)</f>
        <v/>
      </c>
      <c r="F56" s="794" t="str">
        <f>IF(B56=0,"",'03 - Monthly Asset Follow up'!P62)</f>
        <v/>
      </c>
    </row>
    <row r="57" spans="2:6" x14ac:dyDescent="0.35">
      <c r="B57" s="791">
        <f>'03 - Monthly Asset Follow up'!B62</f>
        <v>0</v>
      </c>
      <c r="C57" s="796" t="str">
        <f t="shared" si="1"/>
        <v/>
      </c>
      <c r="D57" s="796" t="str">
        <f t="shared" si="0"/>
        <v/>
      </c>
      <c r="E57" s="793" t="str">
        <f>IF(B57=0,"",'03 - Monthly Asset Follow up'!F62)</f>
        <v/>
      </c>
      <c r="F57" s="794" t="str">
        <f>IF(B57=0,"",'03 - Monthly Asset Follow up'!P63)</f>
        <v/>
      </c>
    </row>
    <row r="58" spans="2:6" x14ac:dyDescent="0.35">
      <c r="B58" s="791">
        <f>'03 - Monthly Asset Follow up'!B63</f>
        <v>0</v>
      </c>
      <c r="C58" s="796" t="str">
        <f t="shared" si="1"/>
        <v/>
      </c>
      <c r="D58" s="796" t="str">
        <f t="shared" si="0"/>
        <v/>
      </c>
      <c r="E58" s="793" t="str">
        <f>IF(B58=0,"",'03 - Monthly Asset Follow up'!F63)</f>
        <v/>
      </c>
      <c r="F58" s="794" t="str">
        <f>IF(B58=0,"",'03 - Monthly Asset Follow up'!P64)</f>
        <v/>
      </c>
    </row>
    <row r="59" spans="2:6" x14ac:dyDescent="0.35">
      <c r="B59" s="791">
        <f>'03 - Monthly Asset Follow up'!B64</f>
        <v>0</v>
      </c>
      <c r="C59" s="796" t="str">
        <f t="shared" si="1"/>
        <v/>
      </c>
      <c r="D59" s="796" t="str">
        <f t="shared" si="0"/>
        <v/>
      </c>
      <c r="E59" s="793" t="str">
        <f>IF(B59=0,"",'03 - Monthly Asset Follow up'!F64)</f>
        <v/>
      </c>
      <c r="F59" s="794" t="str">
        <f>IF(B59=0,"",'03 - Monthly Asset Follow up'!P65)</f>
        <v/>
      </c>
    </row>
    <row r="60" spans="2:6" x14ac:dyDescent="0.35">
      <c r="B60" s="791">
        <f>'03 - Monthly Asset Follow up'!B65</f>
        <v>0</v>
      </c>
      <c r="C60" s="796" t="str">
        <f t="shared" si="1"/>
        <v/>
      </c>
      <c r="D60" s="796" t="str">
        <f t="shared" si="0"/>
        <v/>
      </c>
      <c r="E60" s="793" t="str">
        <f>IF(B60=0,"",'03 - Monthly Asset Follow up'!F65)</f>
        <v/>
      </c>
      <c r="F60" s="794" t="str">
        <f>IF(B60=0,"",'03 - Monthly Asset Follow up'!P66)</f>
        <v/>
      </c>
    </row>
    <row r="61" spans="2:6" x14ac:dyDescent="0.35">
      <c r="B61" s="791">
        <f>'03 - Monthly Asset Follow up'!B66</f>
        <v>0</v>
      </c>
      <c r="C61" s="796" t="str">
        <f t="shared" si="1"/>
        <v/>
      </c>
      <c r="D61" s="796" t="str">
        <f t="shared" si="0"/>
        <v/>
      </c>
      <c r="E61" s="793" t="str">
        <f>IF(B61=0,"",'03 - Monthly Asset Follow up'!F66)</f>
        <v/>
      </c>
      <c r="F61" s="794" t="str">
        <f>IF(B61=0,"",'03 - Monthly Asset Follow up'!P67)</f>
        <v/>
      </c>
    </row>
    <row r="62" spans="2:6" x14ac:dyDescent="0.35">
      <c r="B62" s="791">
        <f>'03 - Monthly Asset Follow up'!B67</f>
        <v>0</v>
      </c>
      <c r="C62" s="796" t="str">
        <f t="shared" si="1"/>
        <v/>
      </c>
      <c r="D62" s="796" t="str">
        <f t="shared" si="0"/>
        <v/>
      </c>
      <c r="E62" s="793" t="str">
        <f>IF(B62=0,"",'03 - Monthly Asset Follow up'!F67)</f>
        <v/>
      </c>
      <c r="F62" s="794" t="str">
        <f>IF(B62=0,"",'03 - Monthly Asset Follow up'!P68)</f>
        <v/>
      </c>
    </row>
    <row r="63" spans="2:6" x14ac:dyDescent="0.35">
      <c r="B63" s="791">
        <f>'03 - Monthly Asset Follow up'!B68</f>
        <v>0</v>
      </c>
      <c r="C63" s="796" t="str">
        <f t="shared" si="1"/>
        <v/>
      </c>
      <c r="D63" s="796" t="str">
        <f t="shared" si="0"/>
        <v/>
      </c>
      <c r="E63" s="793" t="str">
        <f>IF(B63=0,"",'03 - Monthly Asset Follow up'!F68)</f>
        <v/>
      </c>
      <c r="F63" s="794" t="str">
        <f>IF(B63=0,"",'03 - Monthly Asset Follow up'!P69)</f>
        <v/>
      </c>
    </row>
    <row r="64" spans="2:6" x14ac:dyDescent="0.35">
      <c r="B64" s="791">
        <f>'03 - Monthly Asset Follow up'!B69</f>
        <v>0</v>
      </c>
      <c r="C64" s="796" t="str">
        <f t="shared" si="1"/>
        <v/>
      </c>
      <c r="D64" s="796" t="str">
        <f t="shared" si="0"/>
        <v/>
      </c>
      <c r="E64" s="793" t="str">
        <f>IF(B64=0,"",'03 - Monthly Asset Follow up'!F69)</f>
        <v/>
      </c>
      <c r="F64" s="794" t="str">
        <f>IF(B64=0,"",'03 - Monthly Asset Follow up'!P70)</f>
        <v/>
      </c>
    </row>
    <row r="65" spans="2:6" x14ac:dyDescent="0.35">
      <c r="B65" s="791">
        <f>'03 - Monthly Asset Follow up'!B70</f>
        <v>0</v>
      </c>
      <c r="C65" s="796" t="str">
        <f t="shared" si="1"/>
        <v/>
      </c>
      <c r="D65" s="796" t="str">
        <f t="shared" si="0"/>
        <v/>
      </c>
      <c r="E65" s="793" t="str">
        <f>IF(B65=0,"",'03 - Monthly Asset Follow up'!F70)</f>
        <v/>
      </c>
      <c r="F65" s="794" t="str">
        <f>IF(B65=0,"",'03 - Monthly Asset Follow up'!P71)</f>
        <v/>
      </c>
    </row>
    <row r="66" spans="2:6" x14ac:dyDescent="0.35">
      <c r="B66" s="791">
        <f>'03 - Monthly Asset Follow up'!B71</f>
        <v>0</v>
      </c>
      <c r="C66" s="796" t="str">
        <f t="shared" si="1"/>
        <v/>
      </c>
      <c r="D66" s="796" t="str">
        <f t="shared" si="0"/>
        <v/>
      </c>
      <c r="E66" s="793" t="str">
        <f>IF(B66=0,"",'03 - Monthly Asset Follow up'!F71)</f>
        <v/>
      </c>
      <c r="F66" s="794" t="str">
        <f>IF(B66=0,"",'03 - Monthly Asset Follow up'!P72)</f>
        <v/>
      </c>
    </row>
    <row r="67" spans="2:6" x14ac:dyDescent="0.35">
      <c r="B67" s="791">
        <f>'03 - Monthly Asset Follow up'!B72</f>
        <v>0</v>
      </c>
      <c r="C67" s="796" t="str">
        <f t="shared" si="1"/>
        <v/>
      </c>
      <c r="D67" s="796" t="str">
        <f t="shared" si="0"/>
        <v/>
      </c>
      <c r="E67" s="793" t="str">
        <f>IF(B67=0,"",'03 - Monthly Asset Follow up'!F72)</f>
        <v/>
      </c>
      <c r="F67" s="794" t="str">
        <f>IF(B67=0,"",'03 - Monthly Asset Follow up'!P73)</f>
        <v/>
      </c>
    </row>
    <row r="68" spans="2:6" x14ac:dyDescent="0.35">
      <c r="B68" s="791">
        <f>'03 - Monthly Asset Follow up'!B73</f>
        <v>0</v>
      </c>
      <c r="C68" s="796" t="str">
        <f t="shared" si="1"/>
        <v/>
      </c>
      <c r="D68" s="796" t="str">
        <f t="shared" si="0"/>
        <v/>
      </c>
      <c r="E68" s="793" t="str">
        <f>IF(B68=0,"",'03 - Monthly Asset Follow up'!F73)</f>
        <v/>
      </c>
      <c r="F68" s="794" t="str">
        <f>IF(B68=0,"",'03 - Monthly Asset Follow up'!P74)</f>
        <v/>
      </c>
    </row>
    <row r="69" spans="2:6" x14ac:dyDescent="0.35">
      <c r="B69" s="791">
        <f>'03 - Monthly Asset Follow up'!B74</f>
        <v>0</v>
      </c>
      <c r="C69" s="796" t="str">
        <f t="shared" si="1"/>
        <v/>
      </c>
      <c r="D69" s="796" t="str">
        <f t="shared" si="0"/>
        <v/>
      </c>
      <c r="E69" s="793" t="str">
        <f>IF(B69=0,"",'03 - Monthly Asset Follow up'!F74)</f>
        <v/>
      </c>
      <c r="F69" s="794" t="str">
        <f>IF(B69=0,"",'03 - Monthly Asset Follow up'!P75)</f>
        <v/>
      </c>
    </row>
    <row r="70" spans="2:6" x14ac:dyDescent="0.35">
      <c r="B70" s="791">
        <f>'03 - Monthly Asset Follow up'!B75</f>
        <v>0</v>
      </c>
      <c r="C70" s="796" t="str">
        <f t="shared" si="1"/>
        <v/>
      </c>
      <c r="D70" s="796" t="str">
        <f t="shared" si="0"/>
        <v/>
      </c>
      <c r="E70" s="793" t="str">
        <f>IF(B70=0,"",'03 - Monthly Asset Follow up'!F75)</f>
        <v/>
      </c>
      <c r="F70" s="794" t="str">
        <f>IF(B70=0,"",'03 - Monthly Asset Follow up'!P76)</f>
        <v/>
      </c>
    </row>
    <row r="71" spans="2:6" x14ac:dyDescent="0.35">
      <c r="B71" s="791">
        <f>'03 - Monthly Asset Follow up'!B76</f>
        <v>0</v>
      </c>
      <c r="C71" s="796" t="str">
        <f t="shared" si="1"/>
        <v/>
      </c>
      <c r="D71" s="796" t="str">
        <f t="shared" si="0"/>
        <v/>
      </c>
      <c r="E71" s="793" t="str">
        <f>IF(B71=0,"",'03 - Monthly Asset Follow up'!F76)</f>
        <v/>
      </c>
      <c r="F71" s="794" t="str">
        <f>IF(B71=0,"",'03 - Monthly Asset Follow up'!P77)</f>
        <v/>
      </c>
    </row>
    <row r="72" spans="2:6" x14ac:dyDescent="0.35">
      <c r="B72" s="791">
        <f>'03 - Monthly Asset Follow up'!B77</f>
        <v>0</v>
      </c>
      <c r="C72" s="796" t="str">
        <f t="shared" si="1"/>
        <v/>
      </c>
      <c r="D72" s="796" t="str">
        <f t="shared" si="0"/>
        <v/>
      </c>
      <c r="E72" s="793" t="str">
        <f>IF(B72=0,"",'03 - Monthly Asset Follow up'!F77)</f>
        <v/>
      </c>
      <c r="F72" s="794" t="str">
        <f>IF(B72=0,"",'03 - Monthly Asset Follow up'!P78)</f>
        <v/>
      </c>
    </row>
  </sheetData>
  <conditionalFormatting sqref="B12:B72">
    <cfRule type="cellIs" dxfId="48" priority="1" operator="lessThanOrEqual">
      <formula>0</formula>
    </cfRule>
  </conditionalFormatting>
  <pageMargins left="0.7" right="0.7" top="0.75" bottom="0.75" header="0.3" footer="0.3"/>
  <pageSetup paperSize="9"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0652C-D54C-4968-98F2-DA965AC4B45A}">
  <sheetPr>
    <tabColor theme="0" tint="-0.249977111117893"/>
  </sheetPr>
  <dimension ref="A3:H301"/>
  <sheetViews>
    <sheetView showGridLines="0" zoomScale="80" zoomScaleNormal="80" workbookViewId="0">
      <selection activeCell="E31" sqref="E31"/>
    </sheetView>
  </sheetViews>
  <sheetFormatPr defaultColWidth="9.1796875" defaultRowHeight="12.5" x14ac:dyDescent="0.25"/>
  <cols>
    <col min="1" max="1" width="4" style="392" bestFit="1" customWidth="1"/>
    <col min="2" max="2" width="16.81640625" style="300" customWidth="1"/>
    <col min="3" max="3" width="1.453125" style="300" customWidth="1"/>
    <col min="4" max="6" width="27.453125" style="300" customWidth="1"/>
    <col min="7" max="7" width="20.1796875" style="300" customWidth="1"/>
    <col min="8" max="8" width="15.453125" style="300" customWidth="1"/>
    <col min="9" max="16384" width="9.1796875" style="300"/>
  </cols>
  <sheetData>
    <row r="3" spans="1:8" ht="14.5" x14ac:dyDescent="0.25">
      <c r="F3" s="351"/>
      <c r="G3" s="144" t="s">
        <v>134</v>
      </c>
      <c r="H3" s="144">
        <f>'00 - Cover'!$F$16</f>
        <v>45491</v>
      </c>
    </row>
    <row r="4" spans="1:8" ht="14.5" x14ac:dyDescent="0.25">
      <c r="F4" s="351"/>
      <c r="G4" s="144" t="s">
        <v>655</v>
      </c>
      <c r="H4" s="144">
        <f>'00 - Cover'!$F$15</f>
        <v>45488</v>
      </c>
    </row>
    <row r="5" spans="1:8" ht="14.5" x14ac:dyDescent="0.25">
      <c r="F5" s="351"/>
      <c r="G5" s="144" t="s">
        <v>94</v>
      </c>
      <c r="H5" s="144">
        <f>'00 - Cover'!$F$16</f>
        <v>45491</v>
      </c>
    </row>
    <row r="6" spans="1:8" ht="13" x14ac:dyDescent="0.25">
      <c r="G6" s="144" t="s">
        <v>87</v>
      </c>
      <c r="H6" s="144">
        <f>'00 - Cover'!$F$17</f>
        <v>45498</v>
      </c>
    </row>
    <row r="8" spans="1:8" ht="15.5" x14ac:dyDescent="0.25">
      <c r="B8" s="597" t="s">
        <v>732</v>
      </c>
      <c r="C8" s="598"/>
      <c r="D8" s="598"/>
      <c r="E8" s="598"/>
      <c r="F8" s="598"/>
      <c r="G8" s="598"/>
      <c r="H8" s="598"/>
    </row>
    <row r="9" spans="1:8" ht="13" thickBot="1" x14ac:dyDescent="0.3"/>
    <row r="10" spans="1:8" ht="18.649999999999999" customHeight="1" x14ac:dyDescent="0.4">
      <c r="A10" s="393"/>
      <c r="B10" s="1098" t="s">
        <v>209</v>
      </c>
      <c r="C10" s="317"/>
      <c r="D10" s="1098" t="s">
        <v>651</v>
      </c>
      <c r="E10" s="1098" t="s">
        <v>653</v>
      </c>
      <c r="F10" s="1098" t="s">
        <v>652</v>
      </c>
      <c r="G10" s="316"/>
    </row>
    <row r="11" spans="1:8" ht="18" x14ac:dyDescent="0.4">
      <c r="A11" s="393"/>
      <c r="B11" s="1099"/>
      <c r="C11" s="317"/>
      <c r="D11" s="1099"/>
      <c r="E11" s="1099"/>
      <c r="F11" s="1099"/>
      <c r="G11" s="316"/>
    </row>
    <row r="12" spans="1:8" ht="13.5" thickBot="1" x14ac:dyDescent="0.3">
      <c r="A12" s="393"/>
      <c r="B12" s="1100"/>
      <c r="C12" s="318"/>
      <c r="D12" s="1100"/>
      <c r="E12" s="1100"/>
      <c r="F12" s="1100"/>
      <c r="G12" s="316"/>
    </row>
    <row r="13" spans="1:8" ht="13" x14ac:dyDescent="0.25">
      <c r="A13" s="393"/>
      <c r="B13" s="319">
        <v>45504</v>
      </c>
      <c r="C13" s="320"/>
      <c r="D13" s="321">
        <v>701287262.87000012</v>
      </c>
      <c r="E13" s="322">
        <v>4939737.97</v>
      </c>
      <c r="F13" s="322">
        <v>845668.64000000211</v>
      </c>
      <c r="G13" s="323"/>
      <c r="H13" s="905">
        <f>D13-'03 - Monthly Asset Follow up'!O17</f>
        <v>0</v>
      </c>
    </row>
    <row r="14" spans="1:8" ht="13" x14ac:dyDescent="0.25">
      <c r="A14" s="393"/>
      <c r="B14" s="324">
        <v>45535</v>
      </c>
      <c r="C14" s="320"/>
      <c r="D14" s="325">
        <v>696347524.9000001</v>
      </c>
      <c r="E14" s="326">
        <v>4837025.4699999932</v>
      </c>
      <c r="F14" s="326">
        <v>833321.10999999871</v>
      </c>
      <c r="G14" s="316"/>
    </row>
    <row r="15" spans="1:8" ht="13" x14ac:dyDescent="0.25">
      <c r="A15" s="393"/>
      <c r="B15" s="324">
        <v>45565</v>
      </c>
      <c r="C15" s="320"/>
      <c r="D15" s="325">
        <v>691510499.43000007</v>
      </c>
      <c r="E15" s="326">
        <v>5830629.7799999863</v>
      </c>
      <c r="F15" s="326">
        <v>827354.60999999801</v>
      </c>
      <c r="G15" s="316"/>
    </row>
    <row r="16" spans="1:8" ht="13" x14ac:dyDescent="0.25">
      <c r="A16" s="393"/>
      <c r="B16" s="324">
        <v>45596</v>
      </c>
      <c r="C16" s="320"/>
      <c r="D16" s="325">
        <v>685679869.6500001</v>
      </c>
      <c r="E16" s="326">
        <v>6864047.0599999987</v>
      </c>
      <c r="F16" s="326">
        <v>821973.47999999707</v>
      </c>
      <c r="G16" s="316"/>
    </row>
    <row r="17" spans="1:7" ht="13" x14ac:dyDescent="0.25">
      <c r="A17" s="393"/>
      <c r="B17" s="324">
        <v>45626</v>
      </c>
      <c r="C17" s="320"/>
      <c r="D17" s="325">
        <v>678815822.59000015</v>
      </c>
      <c r="E17" s="326">
        <v>4810570.1999999974</v>
      </c>
      <c r="F17" s="326">
        <v>802592.61000000103</v>
      </c>
      <c r="G17" s="316"/>
    </row>
    <row r="18" spans="1:7" ht="13" x14ac:dyDescent="0.25">
      <c r="A18" s="393"/>
      <c r="B18" s="324">
        <v>45657</v>
      </c>
      <c r="C18" s="320"/>
      <c r="D18" s="325">
        <v>674005252.3900001</v>
      </c>
      <c r="E18" s="326">
        <v>5073644.3100000024</v>
      </c>
      <c r="F18" s="326">
        <v>798635.34000000043</v>
      </c>
      <c r="G18" s="316"/>
    </row>
    <row r="19" spans="1:7" ht="13" x14ac:dyDescent="0.25">
      <c r="A19" s="393"/>
      <c r="B19" s="324">
        <v>45688</v>
      </c>
      <c r="C19" s="320"/>
      <c r="D19" s="325">
        <v>668931608.08000016</v>
      </c>
      <c r="E19" s="326">
        <v>4834817.7900000103</v>
      </c>
      <c r="F19" s="326">
        <v>794029.17000000027</v>
      </c>
      <c r="G19" s="316"/>
    </row>
    <row r="20" spans="1:7" ht="13" x14ac:dyDescent="0.25">
      <c r="A20" s="393"/>
      <c r="B20" s="324">
        <v>45716</v>
      </c>
      <c r="C20" s="320"/>
      <c r="D20" s="325">
        <v>664096790.2900002</v>
      </c>
      <c r="E20" s="326">
        <v>4003341.9899999993</v>
      </c>
      <c r="F20" s="326">
        <v>650929.92999999865</v>
      </c>
      <c r="G20" s="316"/>
    </row>
    <row r="21" spans="1:7" ht="13" x14ac:dyDescent="0.25">
      <c r="A21" s="393"/>
      <c r="B21" s="324">
        <v>45747</v>
      </c>
      <c r="C21" s="320"/>
      <c r="D21" s="325">
        <v>660093448.30000019</v>
      </c>
      <c r="E21" s="326">
        <v>5747189.7699999977</v>
      </c>
      <c r="F21" s="326">
        <v>910275.08999999799</v>
      </c>
      <c r="G21" s="316"/>
    </row>
    <row r="22" spans="1:7" ht="13" x14ac:dyDescent="0.25">
      <c r="A22" s="393"/>
      <c r="B22" s="324">
        <v>45777</v>
      </c>
      <c r="C22" s="320"/>
      <c r="D22" s="325">
        <v>654346258.53000021</v>
      </c>
      <c r="E22" s="326">
        <v>4799104.8500000052</v>
      </c>
      <c r="F22" s="326">
        <v>774259.62999999872</v>
      </c>
      <c r="G22" s="316"/>
    </row>
    <row r="23" spans="1:7" ht="13" x14ac:dyDescent="0.25">
      <c r="A23" s="393"/>
      <c r="B23" s="324">
        <v>45808</v>
      </c>
      <c r="C23" s="320"/>
      <c r="D23" s="325">
        <v>649547153.68000019</v>
      </c>
      <c r="E23" s="326">
        <v>4740454.6699999869</v>
      </c>
      <c r="F23" s="326">
        <v>764786.97999999847</v>
      </c>
      <c r="G23" s="316"/>
    </row>
    <row r="24" spans="1:7" ht="13" x14ac:dyDescent="0.25">
      <c r="A24" s="393"/>
      <c r="B24" s="324">
        <v>45838</v>
      </c>
      <c r="C24" s="320"/>
      <c r="D24" s="325">
        <v>644806699.01000023</v>
      </c>
      <c r="E24" s="326">
        <v>4714684.7900000056</v>
      </c>
      <c r="F24" s="326">
        <v>758491.91999999876</v>
      </c>
      <c r="G24" s="316"/>
    </row>
    <row r="25" spans="1:7" ht="13" x14ac:dyDescent="0.25">
      <c r="A25" s="393"/>
      <c r="B25" s="324">
        <v>45869</v>
      </c>
      <c r="C25" s="320"/>
      <c r="D25" s="325">
        <v>640092014.22000027</v>
      </c>
      <c r="E25" s="326">
        <v>4761875.0699999938</v>
      </c>
      <c r="F25" s="326">
        <v>757405.97000000102</v>
      </c>
      <c r="G25" s="316"/>
    </row>
    <row r="26" spans="1:7" ht="13" x14ac:dyDescent="0.25">
      <c r="A26" s="393"/>
      <c r="B26" s="324">
        <v>45900</v>
      </c>
      <c r="C26" s="320"/>
      <c r="D26" s="325">
        <v>635330139.15000021</v>
      </c>
      <c r="E26" s="326">
        <v>4620528.9900000039</v>
      </c>
      <c r="F26" s="326">
        <v>745762.71999999962</v>
      </c>
      <c r="G26" s="316"/>
    </row>
    <row r="27" spans="1:7" ht="13" x14ac:dyDescent="0.25">
      <c r="A27" s="393"/>
      <c r="B27" s="324">
        <v>45930</v>
      </c>
      <c r="C27" s="320"/>
      <c r="D27" s="325">
        <v>630709610.16000021</v>
      </c>
      <c r="E27" s="326">
        <v>4631846.8799999934</v>
      </c>
      <c r="F27" s="326">
        <v>740340.57999999914</v>
      </c>
      <c r="G27" s="316"/>
    </row>
    <row r="28" spans="1:7" ht="13" x14ac:dyDescent="0.25">
      <c r="A28" s="393"/>
      <c r="B28" s="324">
        <v>45961</v>
      </c>
      <c r="C28" s="320"/>
      <c r="D28" s="325">
        <v>626077763.28000021</v>
      </c>
      <c r="E28" s="326">
        <v>4577838.3099999977</v>
      </c>
      <c r="F28" s="326">
        <v>738854.56000000075</v>
      </c>
      <c r="G28" s="316"/>
    </row>
    <row r="29" spans="1:7" ht="13" x14ac:dyDescent="0.25">
      <c r="A29" s="393"/>
      <c r="B29" s="324">
        <v>45991</v>
      </c>
      <c r="C29" s="320"/>
      <c r="D29" s="325">
        <v>621499924.97000027</v>
      </c>
      <c r="E29" s="326">
        <v>4502644.7699999968</v>
      </c>
      <c r="F29" s="326">
        <v>727602.51000000094</v>
      </c>
      <c r="G29" s="316"/>
    </row>
    <row r="30" spans="1:7" ht="13" x14ac:dyDescent="0.25">
      <c r="A30" s="393"/>
      <c r="B30" s="324">
        <v>46022</v>
      </c>
      <c r="C30" s="320"/>
      <c r="D30" s="325">
        <v>616997280.20000029</v>
      </c>
      <c r="E30" s="326">
        <v>4463052.4799999958</v>
      </c>
      <c r="F30" s="326">
        <v>724252.27000000072</v>
      </c>
      <c r="G30" s="316"/>
    </row>
    <row r="31" spans="1:7" ht="13" x14ac:dyDescent="0.25">
      <c r="A31" s="393"/>
      <c r="B31" s="324">
        <v>46053</v>
      </c>
      <c r="C31" s="320"/>
      <c r="D31" s="325">
        <v>612534227.72000027</v>
      </c>
      <c r="E31" s="326">
        <v>4455447.8600000031</v>
      </c>
      <c r="F31" s="326">
        <v>721263.03000000096</v>
      </c>
      <c r="G31" s="316"/>
    </row>
    <row r="32" spans="1:7" ht="13" x14ac:dyDescent="0.25">
      <c r="A32" s="393"/>
      <c r="B32" s="324">
        <v>46081</v>
      </c>
      <c r="C32" s="320"/>
      <c r="D32" s="325">
        <v>608078779.86000025</v>
      </c>
      <c r="E32" s="326">
        <v>3662049.1900000065</v>
      </c>
      <c r="F32" s="326">
        <v>589743.4800000001</v>
      </c>
      <c r="G32" s="316"/>
    </row>
    <row r="33" spans="1:7" ht="13" x14ac:dyDescent="0.25">
      <c r="A33" s="393"/>
      <c r="B33" s="324">
        <v>46112</v>
      </c>
      <c r="C33" s="320"/>
      <c r="D33" s="325">
        <v>604416730.6700002</v>
      </c>
      <c r="E33" s="326">
        <v>5108743.1600000188</v>
      </c>
      <c r="F33" s="326">
        <v>828897.7500000007</v>
      </c>
      <c r="G33" s="316"/>
    </row>
    <row r="34" spans="1:7" ht="13" x14ac:dyDescent="0.25">
      <c r="A34" s="393"/>
      <c r="B34" s="324">
        <v>46142</v>
      </c>
      <c r="C34" s="320"/>
      <c r="D34" s="325">
        <v>599307987.51000023</v>
      </c>
      <c r="E34" s="326">
        <v>4394358.0600000052</v>
      </c>
      <c r="F34" s="326">
        <v>704281.5899999995</v>
      </c>
      <c r="G34" s="316"/>
    </row>
    <row r="35" spans="1:7" ht="13" x14ac:dyDescent="0.25">
      <c r="A35" s="393"/>
      <c r="B35" s="324">
        <v>46173</v>
      </c>
      <c r="C35" s="320"/>
      <c r="D35" s="325">
        <v>594913629.45000017</v>
      </c>
      <c r="E35" s="326">
        <v>4348267.6600000039</v>
      </c>
      <c r="F35" s="326">
        <v>695885.14000000048</v>
      </c>
      <c r="G35" s="316"/>
    </row>
    <row r="36" spans="1:7" ht="13" x14ac:dyDescent="0.25">
      <c r="A36" s="393"/>
      <c r="B36" s="324">
        <v>46203</v>
      </c>
      <c r="C36" s="320"/>
      <c r="D36" s="325">
        <v>590565361.7900002</v>
      </c>
      <c r="E36" s="326">
        <v>4335268.359999992</v>
      </c>
      <c r="F36" s="326">
        <v>690418.89999999979</v>
      </c>
      <c r="G36" s="316"/>
    </row>
    <row r="37" spans="1:7" ht="13" x14ac:dyDescent="0.25">
      <c r="A37" s="393"/>
      <c r="B37" s="324">
        <v>46234</v>
      </c>
      <c r="C37" s="320"/>
      <c r="D37" s="325">
        <v>586230093.43000019</v>
      </c>
      <c r="E37" s="326">
        <v>4367372.9300000099</v>
      </c>
      <c r="F37" s="326">
        <v>689338.25000000047</v>
      </c>
      <c r="G37" s="316"/>
    </row>
    <row r="38" spans="1:7" ht="13" x14ac:dyDescent="0.25">
      <c r="A38" s="393"/>
      <c r="B38" s="324">
        <v>46265</v>
      </c>
      <c r="C38" s="320"/>
      <c r="D38" s="325">
        <v>581862720.50000012</v>
      </c>
      <c r="E38" s="326">
        <v>4309255.9099999871</v>
      </c>
      <c r="F38" s="326">
        <v>679297.62999999942</v>
      </c>
      <c r="G38" s="316"/>
    </row>
    <row r="39" spans="1:7" ht="13" x14ac:dyDescent="0.25">
      <c r="A39" s="393"/>
      <c r="B39" s="324">
        <v>46295</v>
      </c>
      <c r="C39" s="320"/>
      <c r="D39" s="325">
        <v>577553464.59000015</v>
      </c>
      <c r="E39" s="326">
        <v>4300983.6799999932</v>
      </c>
      <c r="F39" s="326">
        <v>674476.08000000147</v>
      </c>
      <c r="G39" s="316"/>
    </row>
    <row r="40" spans="1:7" ht="13" x14ac:dyDescent="0.25">
      <c r="A40" s="393"/>
      <c r="B40" s="324">
        <v>46326</v>
      </c>
      <c r="C40" s="320"/>
      <c r="D40" s="325">
        <v>573252480.91000021</v>
      </c>
      <c r="E40" s="326">
        <v>4340189.3400000026</v>
      </c>
      <c r="F40" s="326">
        <v>673406.02999999945</v>
      </c>
      <c r="G40" s="316"/>
    </row>
    <row r="41" spans="1:7" ht="13" x14ac:dyDescent="0.25">
      <c r="A41" s="393"/>
      <c r="B41" s="324">
        <v>46356</v>
      </c>
      <c r="C41" s="320"/>
      <c r="D41" s="325">
        <v>568912291.57000017</v>
      </c>
      <c r="E41" s="326">
        <v>4280286.5700000031</v>
      </c>
      <c r="F41" s="326">
        <v>662913.89999999991</v>
      </c>
      <c r="G41" s="316"/>
    </row>
    <row r="42" spans="1:7" ht="13" x14ac:dyDescent="0.25">
      <c r="A42" s="393"/>
      <c r="B42" s="324">
        <v>46387</v>
      </c>
      <c r="C42" s="320"/>
      <c r="D42" s="325">
        <v>564632005.00000012</v>
      </c>
      <c r="E42" s="326">
        <v>4803017.2099999972</v>
      </c>
      <c r="F42" s="326">
        <v>659835.3900000006</v>
      </c>
      <c r="G42" s="316"/>
    </row>
    <row r="43" spans="1:7" ht="13" x14ac:dyDescent="0.25">
      <c r="A43" s="393"/>
      <c r="B43" s="324">
        <v>46418</v>
      </c>
      <c r="C43" s="320"/>
      <c r="D43" s="325">
        <v>559828987.79000008</v>
      </c>
      <c r="E43" s="326">
        <v>4289784.5999999959</v>
      </c>
      <c r="F43" s="326">
        <v>656614.30000000121</v>
      </c>
      <c r="G43" s="316"/>
    </row>
    <row r="44" spans="1:7" ht="13" x14ac:dyDescent="0.25">
      <c r="A44" s="393"/>
      <c r="B44" s="324">
        <v>46446</v>
      </c>
      <c r="C44" s="320"/>
      <c r="D44" s="325">
        <v>555539203.19000006</v>
      </c>
      <c r="E44" s="326">
        <v>3527089.1800000048</v>
      </c>
      <c r="F44" s="326">
        <v>535224.93000000133</v>
      </c>
      <c r="G44" s="316"/>
    </row>
    <row r="45" spans="1:7" ht="13" x14ac:dyDescent="0.25">
      <c r="A45" s="393"/>
      <c r="B45" s="324">
        <v>46477</v>
      </c>
      <c r="C45" s="320"/>
      <c r="D45" s="325">
        <v>552012114.01000011</v>
      </c>
      <c r="E45" s="326">
        <v>4928346.3200000096</v>
      </c>
      <c r="F45" s="326">
        <v>755482.32000000158</v>
      </c>
      <c r="G45" s="316"/>
    </row>
    <row r="46" spans="1:7" ht="13" x14ac:dyDescent="0.25">
      <c r="A46" s="393"/>
      <c r="B46" s="324">
        <v>46507</v>
      </c>
      <c r="C46" s="320"/>
      <c r="D46" s="325">
        <v>547083767.69000006</v>
      </c>
      <c r="E46" s="326">
        <v>4449473.6400000015</v>
      </c>
      <c r="F46" s="326">
        <v>640564.77999999921</v>
      </c>
      <c r="G46" s="316"/>
    </row>
    <row r="47" spans="1:7" ht="13" x14ac:dyDescent="0.25">
      <c r="A47" s="393"/>
      <c r="B47" s="324">
        <v>46538</v>
      </c>
      <c r="C47" s="320"/>
      <c r="D47" s="325">
        <v>542634294.05000007</v>
      </c>
      <c r="E47" s="326">
        <v>4197637.390000008</v>
      </c>
      <c r="F47" s="326">
        <v>632519.4799999987</v>
      </c>
      <c r="G47" s="316"/>
    </row>
    <row r="48" spans="1:7" ht="13" x14ac:dyDescent="0.25">
      <c r="A48" s="393"/>
      <c r="B48" s="324">
        <v>46568</v>
      </c>
      <c r="C48" s="320"/>
      <c r="D48" s="325">
        <v>538436656.66000009</v>
      </c>
      <c r="E48" s="326">
        <v>4184412.8899999955</v>
      </c>
      <c r="F48" s="326">
        <v>627292.7799999991</v>
      </c>
      <c r="G48" s="316"/>
    </row>
    <row r="49" spans="1:7" ht="13" x14ac:dyDescent="0.25">
      <c r="A49" s="393"/>
      <c r="B49" s="324">
        <v>46599</v>
      </c>
      <c r="C49" s="320"/>
      <c r="D49" s="325">
        <v>534252243.7700001</v>
      </c>
      <c r="E49" s="326">
        <v>4218574.8599999947</v>
      </c>
      <c r="F49" s="326">
        <v>626240.2300000008</v>
      </c>
      <c r="G49" s="316"/>
    </row>
    <row r="50" spans="1:7" ht="13" x14ac:dyDescent="0.25">
      <c r="A50" s="393"/>
      <c r="B50" s="324">
        <v>46630</v>
      </c>
      <c r="C50" s="320"/>
      <c r="D50" s="325">
        <v>530033668.91000009</v>
      </c>
      <c r="E50" s="326">
        <v>4160913.6299999896</v>
      </c>
      <c r="F50" s="326">
        <v>616718.13000000047</v>
      </c>
      <c r="G50" s="316"/>
    </row>
    <row r="51" spans="1:7" ht="13" x14ac:dyDescent="0.25">
      <c r="A51" s="393"/>
      <c r="B51" s="324">
        <v>46660</v>
      </c>
      <c r="C51" s="320"/>
      <c r="D51" s="325">
        <v>525872755.28000009</v>
      </c>
      <c r="E51" s="326">
        <v>4156470.2799999984</v>
      </c>
      <c r="F51" s="326">
        <v>612081.08000000042</v>
      </c>
      <c r="G51" s="316"/>
    </row>
    <row r="52" spans="1:7" ht="13" x14ac:dyDescent="0.25">
      <c r="A52" s="393"/>
      <c r="B52" s="324">
        <v>46691</v>
      </c>
      <c r="C52" s="320"/>
      <c r="D52" s="325">
        <v>521716285.00000012</v>
      </c>
      <c r="E52" s="326">
        <v>4181380.1399999978</v>
      </c>
      <c r="F52" s="326">
        <v>611007.4700000009</v>
      </c>
      <c r="G52" s="316"/>
    </row>
    <row r="53" spans="1:7" ht="13" x14ac:dyDescent="0.25">
      <c r="A53" s="393"/>
      <c r="B53" s="324">
        <v>46721</v>
      </c>
      <c r="C53" s="320"/>
      <c r="D53" s="325">
        <v>517534904.86000013</v>
      </c>
      <c r="E53" s="326">
        <v>4116927.9600000065</v>
      </c>
      <c r="F53" s="326">
        <v>601072.11000000045</v>
      </c>
      <c r="G53" s="316"/>
    </row>
    <row r="54" spans="1:7" ht="13" x14ac:dyDescent="0.25">
      <c r="A54" s="393"/>
      <c r="B54" s="324">
        <v>46752</v>
      </c>
      <c r="C54" s="320"/>
      <c r="D54" s="325">
        <v>513417976.90000015</v>
      </c>
      <c r="E54" s="326">
        <v>4127920.2599999984</v>
      </c>
      <c r="F54" s="326">
        <v>598103.89000000036</v>
      </c>
      <c r="G54" s="316"/>
    </row>
    <row r="55" spans="1:7" ht="13" x14ac:dyDescent="0.25">
      <c r="A55" s="393"/>
      <c r="B55" s="324">
        <v>46783</v>
      </c>
      <c r="C55" s="320"/>
      <c r="D55" s="325">
        <v>509290056.64000016</v>
      </c>
      <c r="E55" s="326">
        <v>4327725.0600000024</v>
      </c>
      <c r="F55" s="326">
        <v>595410.65000000107</v>
      </c>
      <c r="G55" s="316"/>
    </row>
    <row r="56" spans="1:7" ht="13" x14ac:dyDescent="0.25">
      <c r="A56" s="393"/>
      <c r="B56" s="324">
        <v>46812</v>
      </c>
      <c r="C56" s="320"/>
      <c r="D56" s="325">
        <v>504962331.58000016</v>
      </c>
      <c r="E56" s="326">
        <v>3408815.94</v>
      </c>
      <c r="F56" s="326">
        <v>484899.35000000009</v>
      </c>
      <c r="G56" s="316"/>
    </row>
    <row r="57" spans="1:7" ht="13" x14ac:dyDescent="0.25">
      <c r="A57" s="393"/>
      <c r="B57" s="324">
        <v>46843</v>
      </c>
      <c r="C57" s="320"/>
      <c r="D57" s="325">
        <v>501553515.64000016</v>
      </c>
      <c r="E57" s="326">
        <v>4734700.6900000013</v>
      </c>
      <c r="F57" s="326">
        <v>684167.49000000046</v>
      </c>
      <c r="G57" s="316"/>
    </row>
    <row r="58" spans="1:7" ht="13" x14ac:dyDescent="0.25">
      <c r="A58" s="393"/>
      <c r="B58" s="324">
        <v>46873</v>
      </c>
      <c r="C58" s="320"/>
      <c r="D58" s="325">
        <v>496818814.95000017</v>
      </c>
      <c r="E58" s="326">
        <v>4086080.9499999983</v>
      </c>
      <c r="F58" s="326">
        <v>579872.13999999966</v>
      </c>
      <c r="G58" s="316"/>
    </row>
    <row r="59" spans="1:7" ht="13" x14ac:dyDescent="0.25">
      <c r="A59" s="393"/>
      <c r="B59" s="324">
        <v>46904</v>
      </c>
      <c r="C59" s="320"/>
      <c r="D59" s="325">
        <v>492732734.00000018</v>
      </c>
      <c r="E59" s="326">
        <v>4035278.5500000012</v>
      </c>
      <c r="F59" s="326">
        <v>572311.5099999985</v>
      </c>
      <c r="G59" s="316"/>
    </row>
    <row r="60" spans="1:7" ht="13" x14ac:dyDescent="0.25">
      <c r="A60" s="393"/>
      <c r="B60" s="324">
        <v>46934</v>
      </c>
      <c r="C60" s="320"/>
      <c r="D60" s="325">
        <v>488697455.45000017</v>
      </c>
      <c r="E60" s="326">
        <v>4026970.1900000097</v>
      </c>
      <c r="F60" s="326">
        <v>567291.92000000004</v>
      </c>
      <c r="G60" s="316"/>
    </row>
    <row r="61" spans="1:7" ht="13" x14ac:dyDescent="0.25">
      <c r="A61" s="393"/>
      <c r="B61" s="324">
        <v>46965</v>
      </c>
      <c r="C61" s="320"/>
      <c r="D61" s="325">
        <v>484670485.26000017</v>
      </c>
      <c r="E61" s="326">
        <v>4052020.389999995</v>
      </c>
      <c r="F61" s="326">
        <v>566227.76000000199</v>
      </c>
      <c r="G61" s="316"/>
    </row>
    <row r="62" spans="1:7" ht="13" x14ac:dyDescent="0.25">
      <c r="A62" s="393"/>
      <c r="B62" s="324">
        <v>46996</v>
      </c>
      <c r="C62" s="320"/>
      <c r="D62" s="325">
        <v>480618464.87000018</v>
      </c>
      <c r="E62" s="326">
        <v>4170018.209999992</v>
      </c>
      <c r="F62" s="326">
        <v>557205.16000000027</v>
      </c>
      <c r="G62" s="316"/>
    </row>
    <row r="63" spans="1:7" ht="13" x14ac:dyDescent="0.25">
      <c r="A63" s="393"/>
      <c r="B63" s="324">
        <v>47026</v>
      </c>
      <c r="C63" s="320"/>
      <c r="D63" s="325">
        <v>476448446.66000021</v>
      </c>
      <c r="E63" s="326">
        <v>3894913.6999999979</v>
      </c>
      <c r="F63" s="326">
        <v>552661.21000000066</v>
      </c>
      <c r="G63" s="316"/>
    </row>
    <row r="64" spans="1:7" ht="13" x14ac:dyDescent="0.25">
      <c r="A64" s="393"/>
      <c r="B64" s="324">
        <v>47057</v>
      </c>
      <c r="C64" s="320"/>
      <c r="D64" s="325">
        <v>472553532.96000022</v>
      </c>
      <c r="E64" s="326">
        <v>3930722.0899999961</v>
      </c>
      <c r="F64" s="326">
        <v>551631.32999999949</v>
      </c>
      <c r="G64" s="316"/>
    </row>
    <row r="65" spans="1:7" ht="13" x14ac:dyDescent="0.25">
      <c r="A65" s="393"/>
      <c r="B65" s="324">
        <v>47087</v>
      </c>
      <c r="C65" s="320"/>
      <c r="D65" s="325">
        <v>468622810.87000024</v>
      </c>
      <c r="E65" s="326">
        <v>3861604.900000006</v>
      </c>
      <c r="F65" s="326">
        <v>542257.4099999998</v>
      </c>
      <c r="G65" s="316"/>
    </row>
    <row r="66" spans="1:7" ht="13" x14ac:dyDescent="0.25">
      <c r="A66" s="393"/>
      <c r="B66" s="324">
        <v>47118</v>
      </c>
      <c r="C66" s="320"/>
      <c r="D66" s="325">
        <v>464761205.97000027</v>
      </c>
      <c r="E66" s="326">
        <v>3854977.5500000031</v>
      </c>
      <c r="F66" s="326">
        <v>539404.44000000064</v>
      </c>
      <c r="G66" s="316"/>
    </row>
    <row r="67" spans="1:7" ht="13" x14ac:dyDescent="0.25">
      <c r="A67" s="393"/>
      <c r="B67" s="324">
        <v>47149</v>
      </c>
      <c r="C67" s="320"/>
      <c r="D67" s="325">
        <v>460906228.42000026</v>
      </c>
      <c r="E67" s="326">
        <v>3874791.7100000046</v>
      </c>
      <c r="F67" s="326">
        <v>536859.35999999975</v>
      </c>
      <c r="G67" s="316"/>
    </row>
    <row r="68" spans="1:7" ht="13" x14ac:dyDescent="0.25">
      <c r="A68" s="393"/>
      <c r="B68" s="324">
        <v>47177</v>
      </c>
      <c r="C68" s="320"/>
      <c r="D68" s="325">
        <v>457031436.71000028</v>
      </c>
      <c r="E68" s="326">
        <v>3204629.2499999958</v>
      </c>
      <c r="F68" s="326">
        <v>434496.69999999949</v>
      </c>
      <c r="G68" s="316"/>
    </row>
    <row r="69" spans="1:7" ht="13" x14ac:dyDescent="0.25">
      <c r="A69" s="393"/>
      <c r="B69" s="324">
        <v>47208</v>
      </c>
      <c r="C69" s="320"/>
      <c r="D69" s="325">
        <v>453826807.46000028</v>
      </c>
      <c r="E69" s="326">
        <v>4452247.7500000037</v>
      </c>
      <c r="F69" s="326">
        <v>618913.8199999989</v>
      </c>
      <c r="G69" s="316"/>
    </row>
    <row r="70" spans="1:7" ht="13" x14ac:dyDescent="0.25">
      <c r="A70" s="393"/>
      <c r="B70" s="324">
        <v>47238</v>
      </c>
      <c r="C70" s="320"/>
      <c r="D70" s="325">
        <v>449374559.71000028</v>
      </c>
      <c r="E70" s="326">
        <v>3855551.21</v>
      </c>
      <c r="F70" s="326">
        <v>522217.29999999987</v>
      </c>
      <c r="G70" s="316"/>
    </row>
    <row r="71" spans="1:7" ht="13" x14ac:dyDescent="0.25">
      <c r="A71" s="393"/>
      <c r="B71" s="324">
        <v>47269</v>
      </c>
      <c r="C71" s="320"/>
      <c r="D71" s="325">
        <v>445519008.5000003</v>
      </c>
      <c r="E71" s="326">
        <v>3812859.7899999972</v>
      </c>
      <c r="F71" s="326">
        <v>515044.99000000046</v>
      </c>
      <c r="G71" s="316"/>
    </row>
    <row r="72" spans="1:7" ht="13" x14ac:dyDescent="0.25">
      <c r="A72" s="393"/>
      <c r="B72" s="324">
        <v>47299</v>
      </c>
      <c r="C72" s="320"/>
      <c r="D72" s="325">
        <v>441706148.71000028</v>
      </c>
      <c r="E72" s="326">
        <v>3796610.8100000024</v>
      </c>
      <c r="F72" s="326">
        <v>510194.93</v>
      </c>
      <c r="G72" s="316"/>
    </row>
    <row r="73" spans="1:7" ht="13" x14ac:dyDescent="0.25">
      <c r="A73" s="393"/>
      <c r="B73" s="324">
        <v>47330</v>
      </c>
      <c r="C73" s="320"/>
      <c r="D73" s="325">
        <v>437909537.90000027</v>
      </c>
      <c r="E73" s="326">
        <v>3820988.180000009</v>
      </c>
      <c r="F73" s="326">
        <v>509105.53999999951</v>
      </c>
      <c r="G73" s="316"/>
    </row>
    <row r="74" spans="1:7" ht="13" x14ac:dyDescent="0.25">
      <c r="A74" s="393"/>
      <c r="B74" s="324">
        <v>47361</v>
      </c>
      <c r="C74" s="320"/>
      <c r="D74" s="325">
        <v>434088549.72000027</v>
      </c>
      <c r="E74" s="326">
        <v>3729872.9399999995</v>
      </c>
      <c r="F74" s="326">
        <v>500573.86000000132</v>
      </c>
      <c r="G74" s="316"/>
    </row>
    <row r="75" spans="1:7" ht="13" x14ac:dyDescent="0.25">
      <c r="A75" s="393"/>
      <c r="B75" s="324">
        <v>47391</v>
      </c>
      <c r="C75" s="320"/>
      <c r="D75" s="325">
        <v>430358676.78000027</v>
      </c>
      <c r="E75" s="326">
        <v>3715718.03000001</v>
      </c>
      <c r="F75" s="326">
        <v>496337.17000000022</v>
      </c>
      <c r="G75" s="316"/>
    </row>
    <row r="76" spans="1:7" ht="13" x14ac:dyDescent="0.25">
      <c r="A76" s="393"/>
      <c r="B76" s="324">
        <v>47422</v>
      </c>
      <c r="C76" s="320"/>
      <c r="D76" s="325">
        <v>426642958.75000024</v>
      </c>
      <c r="E76" s="326">
        <v>3736405.2699999926</v>
      </c>
      <c r="F76" s="326">
        <v>495343.19999999995</v>
      </c>
      <c r="G76" s="316"/>
    </row>
    <row r="77" spans="1:7" ht="13" x14ac:dyDescent="0.25">
      <c r="A77" s="393"/>
      <c r="B77" s="324">
        <v>47452</v>
      </c>
      <c r="C77" s="320"/>
      <c r="D77" s="325">
        <v>422906553.48000026</v>
      </c>
      <c r="E77" s="326">
        <v>3624447.9500000016</v>
      </c>
      <c r="F77" s="326">
        <v>486585.01000000071</v>
      </c>
      <c r="G77" s="316"/>
    </row>
    <row r="78" spans="1:7" ht="13" x14ac:dyDescent="0.25">
      <c r="A78" s="393"/>
      <c r="B78" s="324">
        <v>47483</v>
      </c>
      <c r="C78" s="320"/>
      <c r="D78" s="325">
        <v>419282105.53000027</v>
      </c>
      <c r="E78" s="326">
        <v>3591792.0199999991</v>
      </c>
      <c r="F78" s="326">
        <v>483975.38000000041</v>
      </c>
      <c r="G78" s="316"/>
    </row>
    <row r="79" spans="1:7" ht="13" x14ac:dyDescent="0.25">
      <c r="A79" s="393"/>
      <c r="B79" s="324">
        <v>47514</v>
      </c>
      <c r="C79" s="320"/>
      <c r="D79" s="325">
        <v>415690313.51000029</v>
      </c>
      <c r="E79" s="326">
        <v>3584830.5500000068</v>
      </c>
      <c r="F79" s="326">
        <v>481744.45000000024</v>
      </c>
      <c r="G79" s="316"/>
    </row>
    <row r="80" spans="1:7" ht="13" x14ac:dyDescent="0.25">
      <c r="A80" s="393"/>
      <c r="B80" s="324">
        <v>47542</v>
      </c>
      <c r="C80" s="320"/>
      <c r="D80" s="325">
        <v>412105482.96000028</v>
      </c>
      <c r="E80" s="326">
        <v>2903513.7900000024</v>
      </c>
      <c r="F80" s="326">
        <v>388628.68999999989</v>
      </c>
      <c r="G80" s="316"/>
    </row>
    <row r="81" spans="1:7" ht="13" x14ac:dyDescent="0.25">
      <c r="A81" s="393"/>
      <c r="B81" s="324">
        <v>47573</v>
      </c>
      <c r="C81" s="320"/>
      <c r="D81" s="325">
        <v>409201969.17000026</v>
      </c>
      <c r="E81" s="326">
        <v>4439102.1399999978</v>
      </c>
      <c r="F81" s="326">
        <v>556493.18000000133</v>
      </c>
      <c r="G81" s="316"/>
    </row>
    <row r="82" spans="1:7" ht="13" x14ac:dyDescent="0.25">
      <c r="A82" s="393"/>
      <c r="B82" s="324">
        <v>47603</v>
      </c>
      <c r="C82" s="320"/>
      <c r="D82" s="325">
        <v>404762867.03000027</v>
      </c>
      <c r="E82" s="326">
        <v>4033844.2400000026</v>
      </c>
      <c r="F82" s="326">
        <v>468442.16000000085</v>
      </c>
      <c r="G82" s="316"/>
    </row>
    <row r="83" spans="1:7" ht="13" x14ac:dyDescent="0.25">
      <c r="A83" s="393"/>
      <c r="B83" s="324">
        <v>47634</v>
      </c>
      <c r="C83" s="320"/>
      <c r="D83" s="325">
        <v>400729022.79000026</v>
      </c>
      <c r="E83" s="326">
        <v>3469172.7199999932</v>
      </c>
      <c r="F83" s="326">
        <v>461641.79000000056</v>
      </c>
      <c r="G83" s="316"/>
    </row>
    <row r="84" spans="1:7" ht="13" x14ac:dyDescent="0.25">
      <c r="A84" s="393"/>
      <c r="B84" s="324">
        <v>47664</v>
      </c>
      <c r="C84" s="320"/>
      <c r="D84" s="325">
        <v>397259850.07000029</v>
      </c>
      <c r="E84" s="326">
        <v>3439458.4500000016</v>
      </c>
      <c r="F84" s="326">
        <v>457371.49000000005</v>
      </c>
      <c r="G84" s="316"/>
    </row>
    <row r="85" spans="1:7" ht="13" x14ac:dyDescent="0.25">
      <c r="A85" s="393"/>
      <c r="B85" s="324">
        <v>47695</v>
      </c>
      <c r="C85" s="320"/>
      <c r="D85" s="325">
        <v>393820391.6200003</v>
      </c>
      <c r="E85" s="326">
        <v>3662851.8299999968</v>
      </c>
      <c r="F85" s="326">
        <v>456646.88999999996</v>
      </c>
      <c r="G85" s="316"/>
    </row>
    <row r="86" spans="1:7" ht="13" x14ac:dyDescent="0.25">
      <c r="A86" s="393"/>
      <c r="B86" s="324">
        <v>47726</v>
      </c>
      <c r="C86" s="320"/>
      <c r="D86" s="325">
        <v>390157539.79000032</v>
      </c>
      <c r="E86" s="326">
        <v>3402880.049999997</v>
      </c>
      <c r="F86" s="326">
        <v>448865.11</v>
      </c>
      <c r="G86" s="316"/>
    </row>
    <row r="87" spans="1:7" ht="13" x14ac:dyDescent="0.25">
      <c r="A87" s="393"/>
      <c r="B87" s="324">
        <v>47756</v>
      </c>
      <c r="C87" s="320"/>
      <c r="D87" s="325">
        <v>386754659.74000031</v>
      </c>
      <c r="E87" s="326">
        <v>4490304.5699999938</v>
      </c>
      <c r="F87" s="326">
        <v>445117.0400000001</v>
      </c>
      <c r="G87" s="316"/>
    </row>
    <row r="88" spans="1:7" ht="13" x14ac:dyDescent="0.25">
      <c r="A88" s="393"/>
      <c r="B88" s="324">
        <v>47787</v>
      </c>
      <c r="C88" s="320"/>
      <c r="D88" s="325">
        <v>382264355.17000031</v>
      </c>
      <c r="E88" s="326">
        <v>3408965.7899999958</v>
      </c>
      <c r="F88" s="326">
        <v>443673.92000000051</v>
      </c>
      <c r="G88" s="316"/>
    </row>
    <row r="89" spans="1:7" ht="13" x14ac:dyDescent="0.25">
      <c r="A89" s="393"/>
      <c r="B89" s="324">
        <v>47817</v>
      </c>
      <c r="C89" s="320"/>
      <c r="D89" s="325">
        <v>378855389.38000029</v>
      </c>
      <c r="E89" s="326">
        <v>3334171.0599999973</v>
      </c>
      <c r="F89" s="326">
        <v>435725.78</v>
      </c>
      <c r="G89" s="316"/>
    </row>
    <row r="90" spans="1:7" ht="13" x14ac:dyDescent="0.25">
      <c r="A90" s="393"/>
      <c r="B90" s="324">
        <v>47848</v>
      </c>
      <c r="C90" s="320"/>
      <c r="D90" s="325">
        <v>375521218.32000029</v>
      </c>
      <c r="E90" s="326">
        <v>3333664.0400000042</v>
      </c>
      <c r="F90" s="326">
        <v>433390.64999999985</v>
      </c>
      <c r="G90" s="316"/>
    </row>
    <row r="91" spans="1:7" ht="13" x14ac:dyDescent="0.25">
      <c r="A91" s="393"/>
      <c r="B91" s="324">
        <v>47879</v>
      </c>
      <c r="C91" s="320"/>
      <c r="D91" s="325">
        <v>372187554.28000027</v>
      </c>
      <c r="E91" s="326">
        <v>3326802.6400000048</v>
      </c>
      <c r="F91" s="326">
        <v>431380.74999999994</v>
      </c>
      <c r="G91" s="316"/>
    </row>
    <row r="92" spans="1:7" ht="13" x14ac:dyDescent="0.25">
      <c r="A92" s="393"/>
      <c r="B92" s="324">
        <v>47907</v>
      </c>
      <c r="C92" s="320"/>
      <c r="D92" s="325">
        <v>368860751.64000028</v>
      </c>
      <c r="E92" s="326">
        <v>2694517.8899999983</v>
      </c>
      <c r="F92" s="326">
        <v>347108.3899999999</v>
      </c>
      <c r="G92" s="316"/>
    </row>
    <row r="93" spans="1:7" ht="13" x14ac:dyDescent="0.25">
      <c r="A93" s="393"/>
      <c r="B93" s="324">
        <v>47938</v>
      </c>
      <c r="C93" s="320"/>
      <c r="D93" s="325">
        <v>366166233.7500003</v>
      </c>
      <c r="E93" s="326">
        <v>3854145.5599999996</v>
      </c>
      <c r="F93" s="326">
        <v>498748.76000000007</v>
      </c>
      <c r="G93" s="316"/>
    </row>
    <row r="94" spans="1:7" ht="13" x14ac:dyDescent="0.25">
      <c r="A94" s="393"/>
      <c r="B94" s="324">
        <v>47968</v>
      </c>
      <c r="C94" s="320"/>
      <c r="D94" s="325">
        <v>362312088.1900003</v>
      </c>
      <c r="E94" s="326">
        <v>3300746.0799999968</v>
      </c>
      <c r="F94" s="326">
        <v>419387.99999999959</v>
      </c>
      <c r="G94" s="316"/>
    </row>
    <row r="95" spans="1:7" ht="13" x14ac:dyDescent="0.25">
      <c r="A95" s="393"/>
      <c r="B95" s="324">
        <v>47999</v>
      </c>
      <c r="C95" s="320"/>
      <c r="D95" s="325">
        <v>359011342.11000031</v>
      </c>
      <c r="E95" s="326">
        <v>3257136.4199999985</v>
      </c>
      <c r="F95" s="326">
        <v>413470.34999999934</v>
      </c>
      <c r="G95" s="316"/>
    </row>
    <row r="96" spans="1:7" ht="13" x14ac:dyDescent="0.25">
      <c r="A96" s="393"/>
      <c r="B96" s="324">
        <v>48029</v>
      </c>
      <c r="C96" s="320"/>
      <c r="D96" s="325">
        <v>355754205.6900003</v>
      </c>
      <c r="E96" s="326">
        <v>3252684.2900000024</v>
      </c>
      <c r="F96" s="326">
        <v>409464.61000000022</v>
      </c>
      <c r="G96" s="316"/>
    </row>
    <row r="97" spans="1:7" ht="13" x14ac:dyDescent="0.25">
      <c r="A97" s="393"/>
      <c r="B97" s="324">
        <v>48060</v>
      </c>
      <c r="C97" s="320"/>
      <c r="D97" s="325">
        <v>352501521.40000027</v>
      </c>
      <c r="E97" s="326">
        <v>3291414.7399999932</v>
      </c>
      <c r="F97" s="326">
        <v>408775.60999999923</v>
      </c>
      <c r="G97" s="316"/>
    </row>
    <row r="98" spans="1:7" ht="13" x14ac:dyDescent="0.25">
      <c r="A98" s="393"/>
      <c r="B98" s="324">
        <v>48091</v>
      </c>
      <c r="C98" s="320"/>
      <c r="D98" s="325">
        <v>349210106.66000026</v>
      </c>
      <c r="E98" s="326">
        <v>3234045.2999999961</v>
      </c>
      <c r="F98" s="326">
        <v>401652.52999999915</v>
      </c>
      <c r="G98" s="316"/>
    </row>
    <row r="99" spans="1:7" ht="13" x14ac:dyDescent="0.25">
      <c r="A99" s="393"/>
      <c r="B99" s="324">
        <v>48121</v>
      </c>
      <c r="C99" s="320"/>
      <c r="D99" s="325">
        <v>345976061.36000025</v>
      </c>
      <c r="E99" s="326">
        <v>3382538.7200000063</v>
      </c>
      <c r="F99" s="326">
        <v>398098.35000000027</v>
      </c>
      <c r="G99" s="316"/>
    </row>
    <row r="100" spans="1:7" ht="13" x14ac:dyDescent="0.25">
      <c r="A100" s="393"/>
      <c r="B100" s="324">
        <v>48152</v>
      </c>
      <c r="C100" s="320"/>
      <c r="D100" s="325">
        <v>342593522.64000022</v>
      </c>
      <c r="E100" s="326">
        <v>3266754.1100000059</v>
      </c>
      <c r="F100" s="326">
        <v>397283.80999999918</v>
      </c>
      <c r="G100" s="316"/>
    </row>
    <row r="101" spans="1:7" ht="13" x14ac:dyDescent="0.25">
      <c r="A101" s="393"/>
      <c r="B101" s="324">
        <v>48182</v>
      </c>
      <c r="C101" s="320"/>
      <c r="D101" s="325">
        <v>339326768.53000021</v>
      </c>
      <c r="E101" s="326">
        <v>3196634.4200000046</v>
      </c>
      <c r="F101" s="326">
        <v>389852.14999999962</v>
      </c>
      <c r="G101" s="316"/>
    </row>
    <row r="102" spans="1:7" ht="13" x14ac:dyDescent="0.25">
      <c r="A102" s="393"/>
      <c r="B102" s="324">
        <v>48213</v>
      </c>
      <c r="C102" s="320"/>
      <c r="D102" s="325">
        <v>336130134.11000019</v>
      </c>
      <c r="E102" s="326">
        <v>3199895.64</v>
      </c>
      <c r="F102" s="326">
        <v>387560.20999999967</v>
      </c>
      <c r="G102" s="316"/>
    </row>
    <row r="103" spans="1:7" ht="13" x14ac:dyDescent="0.25">
      <c r="A103" s="393"/>
      <c r="B103" s="324">
        <v>48244</v>
      </c>
      <c r="C103" s="320"/>
      <c r="D103" s="325">
        <v>332930238.47000021</v>
      </c>
      <c r="E103" s="326">
        <v>3743910.589999998</v>
      </c>
      <c r="F103" s="326">
        <v>385605.40000000113</v>
      </c>
      <c r="G103" s="316"/>
    </row>
    <row r="104" spans="1:7" ht="13" x14ac:dyDescent="0.25">
      <c r="A104" s="393"/>
      <c r="B104" s="324">
        <v>48273</v>
      </c>
      <c r="C104" s="320"/>
      <c r="D104" s="325">
        <v>329186327.88000023</v>
      </c>
      <c r="E104" s="326">
        <v>2722201.87</v>
      </c>
      <c r="F104" s="326">
        <v>309890.12000000087</v>
      </c>
      <c r="G104" s="316"/>
    </row>
    <row r="105" spans="1:7" ht="13" x14ac:dyDescent="0.25">
      <c r="A105" s="393"/>
      <c r="B105" s="324">
        <v>48304</v>
      </c>
      <c r="C105" s="320"/>
      <c r="D105" s="325">
        <v>326464126.01000023</v>
      </c>
      <c r="E105" s="326">
        <v>4105896.330000001</v>
      </c>
      <c r="F105" s="326">
        <v>444645.87999999913</v>
      </c>
      <c r="G105" s="316"/>
    </row>
    <row r="106" spans="1:7" ht="13" x14ac:dyDescent="0.25">
      <c r="A106" s="393"/>
      <c r="B106" s="324">
        <v>48334</v>
      </c>
      <c r="C106" s="320"/>
      <c r="D106" s="325">
        <v>322358229.68000025</v>
      </c>
      <c r="E106" s="326">
        <v>3156958.6200000029</v>
      </c>
      <c r="F106" s="326">
        <v>373497.12000000023</v>
      </c>
      <c r="G106" s="316"/>
    </row>
    <row r="107" spans="1:7" ht="13" x14ac:dyDescent="0.25">
      <c r="A107" s="393"/>
      <c r="B107" s="324">
        <v>48365</v>
      </c>
      <c r="C107" s="320"/>
      <c r="D107" s="325">
        <v>319201271.06000024</v>
      </c>
      <c r="E107" s="326">
        <v>3094842.8000000007</v>
      </c>
      <c r="F107" s="326">
        <v>367965.37999999942</v>
      </c>
      <c r="G107" s="316"/>
    </row>
    <row r="108" spans="1:7" ht="13" x14ac:dyDescent="0.25">
      <c r="A108" s="393"/>
      <c r="B108" s="324">
        <v>48395</v>
      </c>
      <c r="C108" s="320"/>
      <c r="D108" s="325">
        <v>316106428.26000023</v>
      </c>
      <c r="E108" s="326">
        <v>3084180.6099999989</v>
      </c>
      <c r="F108" s="326">
        <v>364158.75999999978</v>
      </c>
      <c r="G108" s="316"/>
    </row>
    <row r="109" spans="1:7" ht="13" x14ac:dyDescent="0.25">
      <c r="A109" s="393"/>
      <c r="B109" s="324">
        <v>48426</v>
      </c>
      <c r="C109" s="320"/>
      <c r="D109" s="325">
        <v>313022247.65000021</v>
      </c>
      <c r="E109" s="326">
        <v>3124921.0900000059</v>
      </c>
      <c r="F109" s="326">
        <v>363462.67</v>
      </c>
      <c r="G109" s="316"/>
    </row>
    <row r="110" spans="1:7" ht="13" x14ac:dyDescent="0.25">
      <c r="A110" s="393"/>
      <c r="B110" s="324">
        <v>48457</v>
      </c>
      <c r="C110" s="320"/>
      <c r="D110" s="325">
        <v>309897326.56000018</v>
      </c>
      <c r="E110" s="326">
        <v>3263914.4299999974</v>
      </c>
      <c r="F110" s="326">
        <v>356843.24999999994</v>
      </c>
      <c r="G110" s="316"/>
    </row>
    <row r="111" spans="1:7" ht="13" x14ac:dyDescent="0.25">
      <c r="A111" s="393"/>
      <c r="B111" s="324">
        <v>48487</v>
      </c>
      <c r="C111" s="320"/>
      <c r="D111" s="325">
        <v>306633412.13000017</v>
      </c>
      <c r="E111" s="326">
        <v>4514002.4799999986</v>
      </c>
      <c r="F111" s="326">
        <v>353312.96000000078</v>
      </c>
      <c r="G111" s="316"/>
    </row>
    <row r="112" spans="1:7" ht="13" x14ac:dyDescent="0.25">
      <c r="A112" s="393"/>
      <c r="B112" s="324">
        <v>48518</v>
      </c>
      <c r="C112" s="320"/>
      <c r="D112" s="325">
        <v>302119409.65000015</v>
      </c>
      <c r="E112" s="326">
        <v>4486935.3299999926</v>
      </c>
      <c r="F112" s="326">
        <v>351392.71000000008</v>
      </c>
      <c r="G112" s="316"/>
    </row>
    <row r="113" spans="1:7" ht="13" x14ac:dyDescent="0.25">
      <c r="A113" s="393"/>
      <c r="B113" s="324">
        <v>48548</v>
      </c>
      <c r="C113" s="320"/>
      <c r="D113" s="325">
        <v>297632474.32000017</v>
      </c>
      <c r="E113" s="326">
        <v>3020905.1100000013</v>
      </c>
      <c r="F113" s="326">
        <v>342516.83000000013</v>
      </c>
      <c r="G113" s="316"/>
    </row>
    <row r="114" spans="1:7" ht="13" x14ac:dyDescent="0.25">
      <c r="A114" s="393"/>
      <c r="B114" s="324">
        <v>48579</v>
      </c>
      <c r="C114" s="320"/>
      <c r="D114" s="325">
        <v>294611569.21000016</v>
      </c>
      <c r="E114" s="326">
        <v>3030262.1399999983</v>
      </c>
      <c r="F114" s="326">
        <v>340310.18000000023</v>
      </c>
      <c r="G114" s="316"/>
    </row>
    <row r="115" spans="1:7" ht="13" x14ac:dyDescent="0.25">
      <c r="A115" s="393"/>
      <c r="B115" s="324">
        <v>48610</v>
      </c>
      <c r="C115" s="320"/>
      <c r="D115" s="325">
        <v>291581307.07000017</v>
      </c>
      <c r="E115" s="326">
        <v>3051275.5600000028</v>
      </c>
      <c r="F115" s="326">
        <v>338447.53999999946</v>
      </c>
      <c r="G115" s="316"/>
    </row>
    <row r="116" spans="1:7" ht="13" x14ac:dyDescent="0.25">
      <c r="A116" s="393"/>
      <c r="B116" s="324">
        <v>48638</v>
      </c>
      <c r="C116" s="320"/>
      <c r="D116" s="325">
        <v>288530031.51000017</v>
      </c>
      <c r="E116" s="326">
        <v>2449720.0000000009</v>
      </c>
      <c r="F116" s="326">
        <v>272058.91000000032</v>
      </c>
      <c r="G116" s="316"/>
    </row>
    <row r="117" spans="1:7" ht="13" x14ac:dyDescent="0.25">
      <c r="A117" s="393"/>
      <c r="B117" s="324">
        <v>48669</v>
      </c>
      <c r="C117" s="320"/>
      <c r="D117" s="325">
        <v>286080311.51000017</v>
      </c>
      <c r="E117" s="326">
        <v>3502725.0499999993</v>
      </c>
      <c r="F117" s="326">
        <v>389917.40999999986</v>
      </c>
      <c r="G117" s="316"/>
    </row>
    <row r="118" spans="1:7" ht="13" x14ac:dyDescent="0.25">
      <c r="A118" s="393"/>
      <c r="B118" s="324">
        <v>48699</v>
      </c>
      <c r="C118" s="320"/>
      <c r="D118" s="325">
        <v>282577586.46000016</v>
      </c>
      <c r="E118" s="326">
        <v>3819454.7099999939</v>
      </c>
      <c r="F118" s="326">
        <v>327722.27000000083</v>
      </c>
      <c r="G118" s="316"/>
    </row>
    <row r="119" spans="1:7" ht="13" x14ac:dyDescent="0.25">
      <c r="A119" s="393"/>
      <c r="B119" s="324">
        <v>48730</v>
      </c>
      <c r="C119" s="320"/>
      <c r="D119" s="325">
        <v>278758131.75000018</v>
      </c>
      <c r="E119" s="326">
        <v>2949539.9299999997</v>
      </c>
      <c r="F119" s="326">
        <v>321501.54999999976</v>
      </c>
      <c r="G119" s="316"/>
    </row>
    <row r="120" spans="1:7" ht="13" x14ac:dyDescent="0.25">
      <c r="A120" s="393"/>
      <c r="B120" s="324">
        <v>48760</v>
      </c>
      <c r="C120" s="320"/>
      <c r="D120" s="325">
        <v>275808591.82000017</v>
      </c>
      <c r="E120" s="326">
        <v>4540829.6800000127</v>
      </c>
      <c r="F120" s="326">
        <v>317879.79000000039</v>
      </c>
      <c r="G120" s="316"/>
    </row>
    <row r="121" spans="1:7" ht="13" x14ac:dyDescent="0.25">
      <c r="A121" s="393"/>
      <c r="B121" s="324">
        <v>48791</v>
      </c>
      <c r="C121" s="320"/>
      <c r="D121" s="325">
        <v>271267762.14000016</v>
      </c>
      <c r="E121" s="326">
        <v>2971705.1900000037</v>
      </c>
      <c r="F121" s="326">
        <v>315422.39999999979</v>
      </c>
      <c r="G121" s="316"/>
    </row>
    <row r="122" spans="1:7" ht="13" x14ac:dyDescent="0.25">
      <c r="A122" s="393"/>
      <c r="B122" s="324">
        <v>48822</v>
      </c>
      <c r="C122" s="320"/>
      <c r="D122" s="325">
        <v>268296056.95000017</v>
      </c>
      <c r="E122" s="326">
        <v>3240729.0399999996</v>
      </c>
      <c r="F122" s="326">
        <v>309316.05999999918</v>
      </c>
      <c r="G122" s="316"/>
    </row>
    <row r="123" spans="1:7" ht="13" x14ac:dyDescent="0.25">
      <c r="A123" s="393"/>
      <c r="B123" s="324">
        <v>48852</v>
      </c>
      <c r="C123" s="320"/>
      <c r="D123" s="325">
        <v>265055327.91000018</v>
      </c>
      <c r="E123" s="326">
        <v>2884702.8800000041</v>
      </c>
      <c r="F123" s="326">
        <v>305814.13000000035</v>
      </c>
      <c r="G123" s="316"/>
    </row>
    <row r="124" spans="1:7" ht="13" x14ac:dyDescent="0.25">
      <c r="A124" s="393"/>
      <c r="B124" s="324">
        <v>48883</v>
      </c>
      <c r="C124" s="320"/>
      <c r="D124" s="325">
        <v>262170625.03000018</v>
      </c>
      <c r="E124" s="326">
        <v>2912628.0900000003</v>
      </c>
      <c r="F124" s="326">
        <v>305115.1700000001</v>
      </c>
      <c r="G124" s="316"/>
    </row>
    <row r="125" spans="1:7" ht="13" x14ac:dyDescent="0.25">
      <c r="A125" s="393"/>
      <c r="B125" s="324">
        <v>48913</v>
      </c>
      <c r="C125" s="320"/>
      <c r="D125" s="325">
        <v>259257996.94000018</v>
      </c>
      <c r="E125" s="326">
        <v>2844268.3399999961</v>
      </c>
      <c r="F125" s="326">
        <v>298823.17999999959</v>
      </c>
      <c r="G125" s="316"/>
    </row>
    <row r="126" spans="1:7" ht="13" x14ac:dyDescent="0.25">
      <c r="A126" s="393"/>
      <c r="B126" s="324">
        <v>48944</v>
      </c>
      <c r="C126" s="320"/>
      <c r="D126" s="325">
        <v>256413728.60000017</v>
      </c>
      <c r="E126" s="326">
        <v>3456499.99</v>
      </c>
      <c r="F126" s="326">
        <v>296730.61999999953</v>
      </c>
      <c r="G126" s="316"/>
    </row>
    <row r="127" spans="1:7" ht="13" x14ac:dyDescent="0.25">
      <c r="A127" s="393"/>
      <c r="B127" s="324">
        <v>48975</v>
      </c>
      <c r="C127" s="320"/>
      <c r="D127" s="325">
        <v>252957228.61000016</v>
      </c>
      <c r="E127" s="326">
        <v>2879510.870000001</v>
      </c>
      <c r="F127" s="326">
        <v>294426.5099999996</v>
      </c>
      <c r="G127" s="316"/>
    </row>
    <row r="128" spans="1:7" ht="13" x14ac:dyDescent="0.25">
      <c r="A128" s="393"/>
      <c r="B128" s="324">
        <v>49003</v>
      </c>
      <c r="C128" s="320"/>
      <c r="D128" s="325">
        <v>250077717.74000016</v>
      </c>
      <c r="E128" s="326">
        <v>2312200.419999999</v>
      </c>
      <c r="F128" s="326">
        <v>235747.1</v>
      </c>
      <c r="G128" s="316"/>
    </row>
    <row r="129" spans="1:7" ht="13" x14ac:dyDescent="0.25">
      <c r="A129" s="393"/>
      <c r="B129" s="324">
        <v>49034</v>
      </c>
      <c r="C129" s="320"/>
      <c r="D129" s="325">
        <v>247765517.32000017</v>
      </c>
      <c r="E129" s="326">
        <v>3353982.8300000089</v>
      </c>
      <c r="F129" s="326">
        <v>339312.52000000025</v>
      </c>
      <c r="G129" s="316"/>
    </row>
    <row r="130" spans="1:7" ht="13" x14ac:dyDescent="0.25">
      <c r="A130" s="393"/>
      <c r="B130" s="324">
        <v>49064</v>
      </c>
      <c r="C130" s="320"/>
      <c r="D130" s="325">
        <v>244411534.49000016</v>
      </c>
      <c r="E130" s="326">
        <v>2860205.850000002</v>
      </c>
      <c r="F130" s="326">
        <v>284377.10999999987</v>
      </c>
      <c r="G130" s="316"/>
    </row>
    <row r="131" spans="1:7" ht="13" x14ac:dyDescent="0.25">
      <c r="A131" s="393"/>
      <c r="B131" s="324">
        <v>49095</v>
      </c>
      <c r="C131" s="320"/>
      <c r="D131" s="325">
        <v>241551328.64000016</v>
      </c>
      <c r="E131" s="326">
        <v>2813120.6400000029</v>
      </c>
      <c r="F131" s="326">
        <v>279624.17999999941</v>
      </c>
      <c r="G131" s="316"/>
    </row>
    <row r="132" spans="1:7" ht="13" x14ac:dyDescent="0.25">
      <c r="A132" s="393"/>
      <c r="B132" s="324">
        <v>49125</v>
      </c>
      <c r="C132" s="320"/>
      <c r="D132" s="325">
        <v>238738208.00000015</v>
      </c>
      <c r="E132" s="326">
        <v>2786256.7599999988</v>
      </c>
      <c r="F132" s="326">
        <v>276166.58999999944</v>
      </c>
      <c r="G132" s="316"/>
    </row>
    <row r="133" spans="1:7" ht="13" x14ac:dyDescent="0.25">
      <c r="A133" s="393"/>
      <c r="B133" s="324">
        <v>49156</v>
      </c>
      <c r="C133" s="320"/>
      <c r="D133" s="325">
        <v>235951951.24000016</v>
      </c>
      <c r="E133" s="326">
        <v>2815711.649999999</v>
      </c>
      <c r="F133" s="326">
        <v>275413.41000000015</v>
      </c>
      <c r="G133" s="316"/>
    </row>
    <row r="134" spans="1:7" ht="13" x14ac:dyDescent="0.25">
      <c r="A134" s="393"/>
      <c r="B134" s="324">
        <v>49187</v>
      </c>
      <c r="C134" s="320"/>
      <c r="D134" s="325">
        <v>233136239.59000015</v>
      </c>
      <c r="E134" s="326">
        <v>3944051.3900000062</v>
      </c>
      <c r="F134" s="326">
        <v>269800.18999999977</v>
      </c>
      <c r="G134" s="316"/>
    </row>
    <row r="135" spans="1:7" ht="13" x14ac:dyDescent="0.25">
      <c r="A135" s="393"/>
      <c r="B135" s="324">
        <v>49217</v>
      </c>
      <c r="C135" s="320"/>
      <c r="D135" s="325">
        <v>229192188.20000014</v>
      </c>
      <c r="E135" s="326">
        <v>2715704.7699999991</v>
      </c>
      <c r="F135" s="326">
        <v>265406.63000000012</v>
      </c>
      <c r="G135" s="316"/>
    </row>
    <row r="136" spans="1:7" ht="13" x14ac:dyDescent="0.25">
      <c r="A136" s="393"/>
      <c r="B136" s="324">
        <v>49248</v>
      </c>
      <c r="C136" s="320"/>
      <c r="D136" s="325">
        <v>226476483.43000013</v>
      </c>
      <c r="E136" s="326">
        <v>2728027.6800000025</v>
      </c>
      <c r="F136" s="326">
        <v>264700.45000000007</v>
      </c>
      <c r="G136" s="316"/>
    </row>
    <row r="137" spans="1:7" ht="13" x14ac:dyDescent="0.25">
      <c r="A137" s="393"/>
      <c r="B137" s="324">
        <v>49278</v>
      </c>
      <c r="C137" s="320"/>
      <c r="D137" s="325">
        <v>223748455.75000012</v>
      </c>
      <c r="E137" s="326">
        <v>2646600.3200000026</v>
      </c>
      <c r="F137" s="326">
        <v>258988.17000000007</v>
      </c>
      <c r="G137" s="316"/>
    </row>
    <row r="138" spans="1:7" ht="13" x14ac:dyDescent="0.25">
      <c r="A138" s="393"/>
      <c r="B138" s="324">
        <v>49309</v>
      </c>
      <c r="C138" s="320"/>
      <c r="D138" s="325">
        <v>221101855.43000013</v>
      </c>
      <c r="E138" s="326">
        <v>2633535.59</v>
      </c>
      <c r="F138" s="326">
        <v>257029.61999999965</v>
      </c>
      <c r="G138" s="316"/>
    </row>
    <row r="139" spans="1:7" ht="13" x14ac:dyDescent="0.25">
      <c r="A139" s="393"/>
      <c r="B139" s="324">
        <v>49340</v>
      </c>
      <c r="C139" s="320"/>
      <c r="D139" s="325">
        <v>218468319.84000012</v>
      </c>
      <c r="E139" s="326">
        <v>2654000.8499999978</v>
      </c>
      <c r="F139" s="326">
        <v>255481.99999999991</v>
      </c>
      <c r="G139" s="316"/>
    </row>
    <row r="140" spans="1:7" ht="13" x14ac:dyDescent="0.25">
      <c r="A140" s="393"/>
      <c r="B140" s="324">
        <v>49368</v>
      </c>
      <c r="C140" s="320"/>
      <c r="D140" s="325">
        <v>215814318.99000013</v>
      </c>
      <c r="E140" s="326">
        <v>2097038.8899999983</v>
      </c>
      <c r="F140" s="326">
        <v>204045.86000000002</v>
      </c>
      <c r="G140" s="316"/>
    </row>
    <row r="141" spans="1:7" ht="13" x14ac:dyDescent="0.25">
      <c r="A141" s="393"/>
      <c r="B141" s="324">
        <v>49399</v>
      </c>
      <c r="C141" s="320"/>
      <c r="D141" s="325">
        <v>213717280.10000014</v>
      </c>
      <c r="E141" s="326">
        <v>3068182.5499999984</v>
      </c>
      <c r="F141" s="326">
        <v>294582.02000000054</v>
      </c>
      <c r="G141" s="316"/>
    </row>
    <row r="142" spans="1:7" ht="13" x14ac:dyDescent="0.25">
      <c r="A142" s="393"/>
      <c r="B142" s="324">
        <v>49429</v>
      </c>
      <c r="C142" s="320"/>
      <c r="D142" s="325">
        <v>210649097.55000013</v>
      </c>
      <c r="E142" s="326">
        <v>2604606.809999994</v>
      </c>
      <c r="F142" s="326">
        <v>246541.86999999991</v>
      </c>
      <c r="G142" s="316"/>
    </row>
    <row r="143" spans="1:7" ht="13" x14ac:dyDescent="0.25">
      <c r="A143" s="393"/>
      <c r="B143" s="324">
        <v>49460</v>
      </c>
      <c r="C143" s="320"/>
      <c r="D143" s="325">
        <v>208044490.74000013</v>
      </c>
      <c r="E143" s="326">
        <v>2557031.6899999967</v>
      </c>
      <c r="F143" s="326">
        <v>242351.4299999997</v>
      </c>
      <c r="G143" s="316"/>
    </row>
    <row r="144" spans="1:7" ht="13" x14ac:dyDescent="0.25">
      <c r="A144" s="393"/>
      <c r="B144" s="324">
        <v>49490</v>
      </c>
      <c r="C144" s="320"/>
      <c r="D144" s="325">
        <v>205487459.05000013</v>
      </c>
      <c r="E144" s="326">
        <v>2553269.13</v>
      </c>
      <c r="F144" s="326">
        <v>239245.42999999982</v>
      </c>
      <c r="G144" s="316"/>
    </row>
    <row r="145" spans="1:7" ht="13" x14ac:dyDescent="0.25">
      <c r="A145" s="393"/>
      <c r="B145" s="324">
        <v>49521</v>
      </c>
      <c r="C145" s="320"/>
      <c r="D145" s="325">
        <v>202934189.92000014</v>
      </c>
      <c r="E145" s="326">
        <v>2585899.7200000058</v>
      </c>
      <c r="F145" s="326">
        <v>238594.90999999989</v>
      </c>
      <c r="G145" s="316"/>
    </row>
    <row r="146" spans="1:7" ht="13" x14ac:dyDescent="0.25">
      <c r="A146" s="393"/>
      <c r="B146" s="324">
        <v>49552</v>
      </c>
      <c r="C146" s="320"/>
      <c r="D146" s="325">
        <v>200348290.20000014</v>
      </c>
      <c r="E146" s="326">
        <v>2525039.2300000056</v>
      </c>
      <c r="F146" s="326">
        <v>233591.78999999972</v>
      </c>
      <c r="G146" s="316"/>
    </row>
    <row r="147" spans="1:7" ht="13" x14ac:dyDescent="0.25">
      <c r="A147" s="393"/>
      <c r="B147" s="324">
        <v>49582</v>
      </c>
      <c r="C147" s="320"/>
      <c r="D147" s="325">
        <v>197823250.97000012</v>
      </c>
      <c r="E147" s="326">
        <v>2521725.06</v>
      </c>
      <c r="F147" s="326">
        <v>230796.97999999934</v>
      </c>
      <c r="G147" s="316"/>
    </row>
    <row r="148" spans="1:7" ht="13" x14ac:dyDescent="0.25">
      <c r="A148" s="393"/>
      <c r="B148" s="324">
        <v>49613</v>
      </c>
      <c r="C148" s="320"/>
      <c r="D148" s="325">
        <v>195301525.91000012</v>
      </c>
      <c r="E148" s="326">
        <v>2558746.5899999966</v>
      </c>
      <c r="F148" s="326">
        <v>230113.48000000021</v>
      </c>
      <c r="G148" s="316"/>
    </row>
    <row r="149" spans="1:7" ht="13" x14ac:dyDescent="0.25">
      <c r="A149" s="393"/>
      <c r="B149" s="324">
        <v>49643</v>
      </c>
      <c r="C149" s="320"/>
      <c r="D149" s="325">
        <v>192742779.32000011</v>
      </c>
      <c r="E149" s="326">
        <v>3190235.470000003</v>
      </c>
      <c r="F149" s="326">
        <v>224927.42</v>
      </c>
      <c r="G149" s="316"/>
    </row>
    <row r="150" spans="1:7" ht="13" x14ac:dyDescent="0.25">
      <c r="A150" s="393"/>
      <c r="B150" s="324">
        <v>49674</v>
      </c>
      <c r="C150" s="320"/>
      <c r="D150" s="325">
        <v>189552543.85000011</v>
      </c>
      <c r="E150" s="326">
        <v>2634029.3999999966</v>
      </c>
      <c r="F150" s="326">
        <v>222315.96999999971</v>
      </c>
      <c r="G150" s="316"/>
    </row>
    <row r="151" spans="1:7" ht="13" x14ac:dyDescent="0.25">
      <c r="A151" s="393"/>
      <c r="B151" s="324">
        <v>49705</v>
      </c>
      <c r="C151" s="320"/>
      <c r="D151" s="325">
        <v>186918514.45000011</v>
      </c>
      <c r="E151" s="326">
        <v>2514064.7299999995</v>
      </c>
      <c r="F151" s="326">
        <v>220619.84</v>
      </c>
      <c r="G151" s="316"/>
    </row>
    <row r="152" spans="1:7" ht="13" x14ac:dyDescent="0.25">
      <c r="A152" s="393"/>
      <c r="B152" s="324">
        <v>49734</v>
      </c>
      <c r="C152" s="320"/>
      <c r="D152" s="325">
        <v>184404449.72000012</v>
      </c>
      <c r="E152" s="326">
        <v>2577669.600000001</v>
      </c>
      <c r="F152" s="326">
        <v>176202.19999999969</v>
      </c>
      <c r="G152" s="316"/>
    </row>
    <row r="153" spans="1:7" ht="13" x14ac:dyDescent="0.25">
      <c r="A153" s="393"/>
      <c r="B153" s="324">
        <v>49765</v>
      </c>
      <c r="C153" s="320"/>
      <c r="D153" s="325">
        <v>181826780.12000012</v>
      </c>
      <c r="E153" s="326">
        <v>3207057.8799999976</v>
      </c>
      <c r="F153" s="326">
        <v>252858.68000000014</v>
      </c>
      <c r="G153" s="316"/>
    </row>
    <row r="154" spans="1:7" ht="13" x14ac:dyDescent="0.25">
      <c r="A154" s="393"/>
      <c r="B154" s="324">
        <v>49795</v>
      </c>
      <c r="C154" s="320"/>
      <c r="D154" s="325">
        <v>178619722.24000013</v>
      </c>
      <c r="E154" s="326">
        <v>2487936.040000001</v>
      </c>
      <c r="F154" s="326">
        <v>211021.72999999981</v>
      </c>
      <c r="G154" s="316"/>
    </row>
    <row r="155" spans="1:7" ht="13" x14ac:dyDescent="0.25">
      <c r="A155" s="393"/>
      <c r="B155" s="324">
        <v>49826</v>
      </c>
      <c r="C155" s="320"/>
      <c r="D155" s="325">
        <v>176131786.20000014</v>
      </c>
      <c r="E155" s="326">
        <v>2836895.53</v>
      </c>
      <c r="F155" s="326">
        <v>207114.36999999991</v>
      </c>
      <c r="G155" s="316"/>
    </row>
    <row r="156" spans="1:7" ht="13" x14ac:dyDescent="0.25">
      <c r="A156" s="393"/>
      <c r="B156" s="324">
        <v>49856</v>
      </c>
      <c r="C156" s="320"/>
      <c r="D156" s="325">
        <v>173294890.67000014</v>
      </c>
      <c r="E156" s="326">
        <v>2782794.9000000022</v>
      </c>
      <c r="F156" s="326">
        <v>203683.37999999989</v>
      </c>
      <c r="G156" s="316"/>
    </row>
    <row r="157" spans="1:7" ht="13" x14ac:dyDescent="0.25">
      <c r="A157" s="393"/>
      <c r="B157" s="324">
        <v>49887</v>
      </c>
      <c r="C157" s="320"/>
      <c r="D157" s="325">
        <v>170512095.77000013</v>
      </c>
      <c r="E157" s="326">
        <v>2473450.9699999974</v>
      </c>
      <c r="F157" s="326">
        <v>202545.16999999963</v>
      </c>
      <c r="G157" s="316"/>
    </row>
    <row r="158" spans="1:7" ht="13" x14ac:dyDescent="0.25">
      <c r="A158" s="393"/>
      <c r="B158" s="324">
        <v>49918</v>
      </c>
      <c r="C158" s="320"/>
      <c r="D158" s="325">
        <v>168038644.80000013</v>
      </c>
      <c r="E158" s="326">
        <v>2409679.9099999997</v>
      </c>
      <c r="F158" s="326">
        <v>197924.79999999944</v>
      </c>
      <c r="G158" s="316"/>
    </row>
    <row r="159" spans="1:7" ht="13" x14ac:dyDescent="0.25">
      <c r="A159" s="393"/>
      <c r="B159" s="324">
        <v>49948</v>
      </c>
      <c r="C159" s="320"/>
      <c r="D159" s="325">
        <v>165628964.89000013</v>
      </c>
      <c r="E159" s="326">
        <v>2465452.0399999926</v>
      </c>
      <c r="F159" s="326">
        <v>195162.65999999995</v>
      </c>
      <c r="G159" s="316"/>
    </row>
    <row r="160" spans="1:7" ht="13" x14ac:dyDescent="0.25">
      <c r="A160" s="393"/>
      <c r="B160" s="324">
        <v>49979</v>
      </c>
      <c r="C160" s="320"/>
      <c r="D160" s="325">
        <v>163163512.85000014</v>
      </c>
      <c r="E160" s="326">
        <v>2441214.859999998</v>
      </c>
      <c r="F160" s="326">
        <v>194263.68999999986</v>
      </c>
      <c r="G160" s="316"/>
    </row>
    <row r="161" spans="1:7" ht="13" x14ac:dyDescent="0.25">
      <c r="A161" s="393"/>
      <c r="B161" s="324">
        <v>50009</v>
      </c>
      <c r="C161" s="320"/>
      <c r="D161" s="325">
        <v>160722297.99000016</v>
      </c>
      <c r="E161" s="326">
        <v>2662729.1400000034</v>
      </c>
      <c r="F161" s="326">
        <v>189487.0600000002</v>
      </c>
      <c r="G161" s="316"/>
    </row>
    <row r="162" spans="1:7" ht="13" x14ac:dyDescent="0.25">
      <c r="A162" s="393"/>
      <c r="B162" s="324">
        <v>50040</v>
      </c>
      <c r="C162" s="320"/>
      <c r="D162" s="325">
        <v>158059568.85000014</v>
      </c>
      <c r="E162" s="326">
        <v>2883883.0499999952</v>
      </c>
      <c r="F162" s="326">
        <v>187013.61</v>
      </c>
      <c r="G162" s="316"/>
    </row>
    <row r="163" spans="1:7" ht="13" x14ac:dyDescent="0.25">
      <c r="A163" s="393"/>
      <c r="B163" s="324">
        <v>50071</v>
      </c>
      <c r="C163" s="320"/>
      <c r="D163" s="325">
        <v>155175685.80000016</v>
      </c>
      <c r="E163" s="326">
        <v>2395427.3300000038</v>
      </c>
      <c r="F163" s="326">
        <v>184893.29000000007</v>
      </c>
      <c r="G163" s="316"/>
    </row>
    <row r="164" spans="1:7" ht="13" x14ac:dyDescent="0.25">
      <c r="A164" s="393"/>
      <c r="B164" s="324">
        <v>50099</v>
      </c>
      <c r="C164" s="320"/>
      <c r="D164" s="325">
        <v>152780258.47000015</v>
      </c>
      <c r="E164" s="326">
        <v>2000619.1100000013</v>
      </c>
      <c r="F164" s="326">
        <v>147549.91000000018</v>
      </c>
      <c r="G164" s="316"/>
    </row>
    <row r="165" spans="1:7" ht="13" x14ac:dyDescent="0.25">
      <c r="A165" s="393"/>
      <c r="B165" s="324">
        <v>50130</v>
      </c>
      <c r="C165" s="320"/>
      <c r="D165" s="325">
        <v>150779639.36000013</v>
      </c>
      <c r="E165" s="326">
        <v>4680639.3000000166</v>
      </c>
      <c r="F165" s="326">
        <v>211280.25000000003</v>
      </c>
      <c r="G165" s="316"/>
    </row>
    <row r="166" spans="1:7" ht="13" x14ac:dyDescent="0.25">
      <c r="A166" s="393"/>
      <c r="B166" s="324">
        <v>50160</v>
      </c>
      <c r="C166" s="320"/>
      <c r="D166" s="325">
        <v>146099000.06000012</v>
      </c>
      <c r="E166" s="326">
        <v>2380430.2100000009</v>
      </c>
      <c r="F166" s="326">
        <v>174549.24999999956</v>
      </c>
      <c r="G166" s="316"/>
    </row>
    <row r="167" spans="1:7" ht="13" x14ac:dyDescent="0.25">
      <c r="A167" s="393"/>
      <c r="B167" s="324">
        <v>50191</v>
      </c>
      <c r="C167" s="320"/>
      <c r="D167" s="325">
        <v>143718569.85000011</v>
      </c>
      <c r="E167" s="326">
        <v>5140925.8499999978</v>
      </c>
      <c r="F167" s="326">
        <v>170903.01000000018</v>
      </c>
      <c r="G167" s="316"/>
    </row>
    <row r="168" spans="1:7" ht="13" x14ac:dyDescent="0.25">
      <c r="A168" s="393"/>
      <c r="B168" s="324">
        <v>50221</v>
      </c>
      <c r="C168" s="320"/>
      <c r="D168" s="325">
        <v>138577644.00000012</v>
      </c>
      <c r="E168" s="326">
        <v>2750772.7499999995</v>
      </c>
      <c r="F168" s="326">
        <v>165685.33999999988</v>
      </c>
      <c r="G168" s="316"/>
    </row>
    <row r="169" spans="1:7" ht="13" x14ac:dyDescent="0.25">
      <c r="A169" s="393"/>
      <c r="B169" s="324">
        <v>50252</v>
      </c>
      <c r="C169" s="320"/>
      <c r="D169" s="325">
        <v>135826871.25000012</v>
      </c>
      <c r="E169" s="326">
        <v>2547894.1699999995</v>
      </c>
      <c r="F169" s="326">
        <v>164370.50000000029</v>
      </c>
      <c r="G169" s="316"/>
    </row>
    <row r="170" spans="1:7" ht="13" x14ac:dyDescent="0.25">
      <c r="A170" s="393"/>
      <c r="B170" s="324">
        <v>50283</v>
      </c>
      <c r="C170" s="320"/>
      <c r="D170" s="325">
        <v>133278977.08000012</v>
      </c>
      <c r="E170" s="326">
        <v>3159196.5100000035</v>
      </c>
      <c r="F170" s="326">
        <v>159954.31000000011</v>
      </c>
      <c r="G170" s="316"/>
    </row>
    <row r="171" spans="1:7" ht="13" x14ac:dyDescent="0.25">
      <c r="A171" s="393"/>
      <c r="B171" s="324">
        <v>50313</v>
      </c>
      <c r="C171" s="320"/>
      <c r="D171" s="325">
        <v>130119780.57000011</v>
      </c>
      <c r="E171" s="326">
        <v>2877147.4200000046</v>
      </c>
      <c r="F171" s="326">
        <v>156718.43000000011</v>
      </c>
      <c r="G171" s="316"/>
    </row>
    <row r="172" spans="1:7" ht="13" x14ac:dyDescent="0.25">
      <c r="A172" s="393"/>
      <c r="B172" s="324">
        <v>50344</v>
      </c>
      <c r="C172" s="320"/>
      <c r="D172" s="325">
        <v>127242633.15000011</v>
      </c>
      <c r="E172" s="326">
        <v>2590962.7700000033</v>
      </c>
      <c r="F172" s="326">
        <v>154852.14000000013</v>
      </c>
      <c r="G172" s="316"/>
    </row>
    <row r="173" spans="1:7" ht="13" x14ac:dyDescent="0.25">
      <c r="A173" s="393"/>
      <c r="B173" s="324">
        <v>50374</v>
      </c>
      <c r="C173" s="320"/>
      <c r="D173" s="325">
        <v>124651670.38000011</v>
      </c>
      <c r="E173" s="326">
        <v>2556988.629999999</v>
      </c>
      <c r="F173" s="326">
        <v>149968.87999999989</v>
      </c>
      <c r="G173" s="316"/>
    </row>
    <row r="174" spans="1:7" ht="13" x14ac:dyDescent="0.25">
      <c r="A174" s="393"/>
      <c r="B174" s="324">
        <v>50405</v>
      </c>
      <c r="C174" s="320"/>
      <c r="D174" s="325">
        <v>122094681.75000012</v>
      </c>
      <c r="E174" s="326">
        <v>2410038.6300000004</v>
      </c>
      <c r="F174" s="326">
        <v>147305.37000000011</v>
      </c>
      <c r="G174" s="316"/>
    </row>
    <row r="175" spans="1:7" ht="13" x14ac:dyDescent="0.25">
      <c r="A175" s="393"/>
      <c r="B175" s="324">
        <v>50436</v>
      </c>
      <c r="C175" s="320"/>
      <c r="D175" s="325">
        <v>119684643.12000012</v>
      </c>
      <c r="E175" s="326">
        <v>2160671.3100000005</v>
      </c>
      <c r="F175" s="326">
        <v>145303.86000000025</v>
      </c>
      <c r="G175" s="316"/>
    </row>
    <row r="176" spans="1:7" ht="13" x14ac:dyDescent="0.25">
      <c r="A176" s="393"/>
      <c r="B176" s="324">
        <v>50464</v>
      </c>
      <c r="C176" s="320"/>
      <c r="D176" s="325">
        <v>117523971.81000012</v>
      </c>
      <c r="E176" s="326">
        <v>1696918.5300000005</v>
      </c>
      <c r="F176" s="326">
        <v>115218.1900000001</v>
      </c>
      <c r="G176" s="316"/>
    </row>
    <row r="177" spans="1:7" ht="13" x14ac:dyDescent="0.25">
      <c r="A177" s="393"/>
      <c r="B177" s="324">
        <v>50495</v>
      </c>
      <c r="C177" s="320"/>
      <c r="D177" s="325">
        <v>115827053.28000012</v>
      </c>
      <c r="E177" s="326">
        <v>4248045.610000005</v>
      </c>
      <c r="F177" s="326">
        <v>165593.61000000022</v>
      </c>
      <c r="G177" s="316"/>
    </row>
    <row r="178" spans="1:7" ht="13" x14ac:dyDescent="0.25">
      <c r="A178" s="393"/>
      <c r="B178" s="324">
        <v>50525</v>
      </c>
      <c r="C178" s="320"/>
      <c r="D178" s="325">
        <v>111579007.67000012</v>
      </c>
      <c r="E178" s="326">
        <v>2095029.3399999985</v>
      </c>
      <c r="F178" s="326">
        <v>134169.88999999987</v>
      </c>
      <c r="G178" s="316"/>
    </row>
    <row r="179" spans="1:7" ht="13" x14ac:dyDescent="0.25">
      <c r="A179" s="393"/>
      <c r="B179" s="324">
        <v>50556</v>
      </c>
      <c r="C179" s="320"/>
      <c r="D179" s="325">
        <v>109483978.33000012</v>
      </c>
      <c r="E179" s="326">
        <v>2068094.88</v>
      </c>
      <c r="F179" s="326">
        <v>130991.23000000019</v>
      </c>
      <c r="G179" s="316"/>
    </row>
    <row r="180" spans="1:7" ht="13" x14ac:dyDescent="0.25">
      <c r="A180" s="393"/>
      <c r="B180" s="324">
        <v>50586</v>
      </c>
      <c r="C180" s="320"/>
      <c r="D180" s="325">
        <v>107415883.45000012</v>
      </c>
      <c r="E180" s="326">
        <v>2438432.5200000019</v>
      </c>
      <c r="F180" s="326">
        <v>128225.26999999992</v>
      </c>
      <c r="G180" s="316"/>
    </row>
    <row r="181" spans="1:7" ht="13" x14ac:dyDescent="0.25">
      <c r="A181" s="393"/>
      <c r="B181" s="324">
        <v>50617</v>
      </c>
      <c r="C181" s="320"/>
      <c r="D181" s="325">
        <v>104977450.93000013</v>
      </c>
      <c r="E181" s="326">
        <v>2048960.8399999982</v>
      </c>
      <c r="F181" s="326">
        <v>126598.74999999997</v>
      </c>
      <c r="G181" s="316"/>
    </row>
    <row r="182" spans="1:7" ht="13" x14ac:dyDescent="0.25">
      <c r="A182" s="393"/>
      <c r="B182" s="324">
        <v>50648</v>
      </c>
      <c r="C182" s="320"/>
      <c r="D182" s="325">
        <v>102928490.09000012</v>
      </c>
      <c r="E182" s="326">
        <v>2085148.7200000004</v>
      </c>
      <c r="F182" s="326">
        <v>122985.85999999997</v>
      </c>
      <c r="G182" s="316"/>
    </row>
    <row r="183" spans="1:7" ht="13" x14ac:dyDescent="0.25">
      <c r="A183" s="393"/>
      <c r="B183" s="324">
        <v>50678</v>
      </c>
      <c r="C183" s="320"/>
      <c r="D183" s="325">
        <v>100843341.37000012</v>
      </c>
      <c r="E183" s="326">
        <v>1947159.5299999989</v>
      </c>
      <c r="F183" s="326">
        <v>120449.44000000013</v>
      </c>
      <c r="G183" s="316"/>
    </row>
    <row r="184" spans="1:7" ht="13" x14ac:dyDescent="0.25">
      <c r="A184" s="393"/>
      <c r="B184" s="324">
        <v>50709</v>
      </c>
      <c r="C184" s="320"/>
      <c r="D184" s="325">
        <v>98896181.840000123</v>
      </c>
      <c r="E184" s="326">
        <v>2073265.8900000006</v>
      </c>
      <c r="F184" s="326">
        <v>119651.47999999985</v>
      </c>
      <c r="G184" s="316"/>
    </row>
    <row r="185" spans="1:7" ht="13" x14ac:dyDescent="0.25">
      <c r="A185" s="393"/>
      <c r="B185" s="324">
        <v>50739</v>
      </c>
      <c r="C185" s="320"/>
      <c r="D185" s="325">
        <v>96822915.950000122</v>
      </c>
      <c r="E185" s="326">
        <v>1899593.9100000004</v>
      </c>
      <c r="F185" s="326">
        <v>115745.09000000003</v>
      </c>
      <c r="G185" s="316"/>
    </row>
    <row r="186" spans="1:7" ht="13" x14ac:dyDescent="0.25">
      <c r="A186" s="393"/>
      <c r="B186" s="324">
        <v>50770</v>
      </c>
      <c r="C186" s="320"/>
      <c r="D186" s="325">
        <v>94923322.040000126</v>
      </c>
      <c r="E186" s="326">
        <v>1897407.4700000007</v>
      </c>
      <c r="F186" s="326">
        <v>113948.69</v>
      </c>
      <c r="G186" s="316"/>
    </row>
    <row r="187" spans="1:7" ht="13" x14ac:dyDescent="0.25">
      <c r="A187" s="393"/>
      <c r="B187" s="324">
        <v>50801</v>
      </c>
      <c r="C187" s="320"/>
      <c r="D187" s="325">
        <v>93025914.570000127</v>
      </c>
      <c r="E187" s="326">
        <v>1923179.9799999993</v>
      </c>
      <c r="F187" s="326">
        <v>112629.86000000026</v>
      </c>
      <c r="G187" s="316"/>
    </row>
    <row r="188" spans="1:7" ht="13" x14ac:dyDescent="0.25">
      <c r="A188" s="393"/>
      <c r="B188" s="324">
        <v>50829</v>
      </c>
      <c r="C188" s="320"/>
      <c r="D188" s="325">
        <v>91102734.590000123</v>
      </c>
      <c r="E188" s="326">
        <v>1517570.3700000006</v>
      </c>
      <c r="F188" s="326">
        <v>89296.14000000013</v>
      </c>
      <c r="G188" s="316"/>
    </row>
    <row r="189" spans="1:7" ht="13" x14ac:dyDescent="0.25">
      <c r="A189" s="393"/>
      <c r="B189" s="324">
        <v>50860</v>
      </c>
      <c r="C189" s="320"/>
      <c r="D189" s="325">
        <v>89585164.220000118</v>
      </c>
      <c r="E189" s="326">
        <v>2223351.1799999997</v>
      </c>
      <c r="F189" s="326">
        <v>127632.20999999995</v>
      </c>
      <c r="G189" s="316"/>
    </row>
    <row r="190" spans="1:7" ht="13" x14ac:dyDescent="0.25">
      <c r="A190" s="393"/>
      <c r="B190" s="324">
        <v>50890</v>
      </c>
      <c r="C190" s="320"/>
      <c r="D190" s="325">
        <v>87361813.040000111</v>
      </c>
      <c r="E190" s="326">
        <v>1902553.8999999978</v>
      </c>
      <c r="F190" s="326">
        <v>106058.92000000001</v>
      </c>
      <c r="G190" s="316"/>
    </row>
    <row r="191" spans="1:7" ht="13" x14ac:dyDescent="0.25">
      <c r="A191" s="393"/>
      <c r="B191" s="324">
        <v>50921</v>
      </c>
      <c r="C191" s="320"/>
      <c r="D191" s="325">
        <v>85459259.14000012</v>
      </c>
      <c r="E191" s="326">
        <v>1855232.1800000004</v>
      </c>
      <c r="F191" s="326">
        <v>103359.32999999993</v>
      </c>
      <c r="G191" s="316"/>
    </row>
    <row r="192" spans="1:7" ht="13" x14ac:dyDescent="0.25">
      <c r="A192" s="393"/>
      <c r="B192" s="324">
        <v>50951</v>
      </c>
      <c r="C192" s="320"/>
      <c r="D192" s="325">
        <v>83604026.960000113</v>
      </c>
      <c r="E192" s="326">
        <v>1813330.8600000013</v>
      </c>
      <c r="F192" s="326">
        <v>100943.47000000009</v>
      </c>
      <c r="G192" s="316"/>
    </row>
    <row r="193" spans="1:7" ht="13" x14ac:dyDescent="0.25">
      <c r="A193" s="393"/>
      <c r="B193" s="324">
        <v>50982</v>
      </c>
      <c r="C193" s="320"/>
      <c r="D193" s="325">
        <v>81790696.100000113</v>
      </c>
      <c r="E193" s="326">
        <v>1853391.6299999976</v>
      </c>
      <c r="F193" s="326">
        <v>100053.91999999997</v>
      </c>
      <c r="G193" s="316"/>
    </row>
    <row r="194" spans="1:7" ht="13" x14ac:dyDescent="0.25">
      <c r="A194" s="393"/>
      <c r="B194" s="324">
        <v>51013</v>
      </c>
      <c r="C194" s="320"/>
      <c r="D194" s="325">
        <v>79937304.470000118</v>
      </c>
      <c r="E194" s="326">
        <v>1792088.5599999987</v>
      </c>
      <c r="F194" s="326">
        <v>96986.840000000127</v>
      </c>
      <c r="G194" s="316"/>
    </row>
    <row r="195" spans="1:7" ht="13" x14ac:dyDescent="0.25">
      <c r="A195" s="393"/>
      <c r="B195" s="324">
        <v>51043</v>
      </c>
      <c r="C195" s="320"/>
      <c r="D195" s="325">
        <v>78145215.910000116</v>
      </c>
      <c r="E195" s="326">
        <v>1783249.4400000002</v>
      </c>
      <c r="F195" s="326">
        <v>94795.200000000055</v>
      </c>
      <c r="G195" s="316"/>
    </row>
    <row r="196" spans="1:7" ht="13" x14ac:dyDescent="0.25">
      <c r="A196" s="393"/>
      <c r="B196" s="324">
        <v>51074</v>
      </c>
      <c r="C196" s="320"/>
      <c r="D196" s="325">
        <v>76361966.470000118</v>
      </c>
      <c r="E196" s="326">
        <v>1820339.7200000002</v>
      </c>
      <c r="F196" s="326">
        <v>93847.309999999925</v>
      </c>
      <c r="G196" s="316"/>
    </row>
    <row r="197" spans="1:7" ht="13" x14ac:dyDescent="0.25">
      <c r="A197" s="393"/>
      <c r="B197" s="324">
        <v>51104</v>
      </c>
      <c r="C197" s="320"/>
      <c r="D197" s="325">
        <v>74541626.750000119</v>
      </c>
      <c r="E197" s="326">
        <v>1757900.0899999968</v>
      </c>
      <c r="F197" s="326">
        <v>90736.629999999961</v>
      </c>
      <c r="G197" s="316"/>
    </row>
    <row r="198" spans="1:7" ht="13" x14ac:dyDescent="0.25">
      <c r="A198" s="393"/>
      <c r="B198" s="324">
        <v>51135</v>
      </c>
      <c r="C198" s="320"/>
      <c r="D198" s="325">
        <v>72783726.660000116</v>
      </c>
      <c r="E198" s="326">
        <v>1763076.4099999983</v>
      </c>
      <c r="F198" s="326">
        <v>89003.170000000013</v>
      </c>
      <c r="G198" s="316"/>
    </row>
    <row r="199" spans="1:7" ht="13" x14ac:dyDescent="0.25">
      <c r="A199" s="393"/>
      <c r="B199" s="324">
        <v>51166</v>
      </c>
      <c r="C199" s="320"/>
      <c r="D199" s="325">
        <v>71020650.250000119</v>
      </c>
      <c r="E199" s="326">
        <v>1772263.4099999988</v>
      </c>
      <c r="F199" s="326">
        <v>87567.719999999987</v>
      </c>
      <c r="G199" s="316"/>
    </row>
    <row r="200" spans="1:7" ht="13" x14ac:dyDescent="0.25">
      <c r="A200" s="393"/>
      <c r="B200" s="324">
        <v>51195</v>
      </c>
      <c r="C200" s="320"/>
      <c r="D200" s="325">
        <v>69248386.840000123</v>
      </c>
      <c r="E200" s="326">
        <v>1404647.899999999</v>
      </c>
      <c r="F200" s="326">
        <v>69129.06</v>
      </c>
      <c r="G200" s="316"/>
    </row>
    <row r="201" spans="1:7" ht="13" x14ac:dyDescent="0.25">
      <c r="A201" s="393"/>
      <c r="B201" s="324">
        <v>51226</v>
      </c>
      <c r="C201" s="320"/>
      <c r="D201" s="325">
        <v>67843738.940000117</v>
      </c>
      <c r="E201" s="326">
        <v>1990828.4500000025</v>
      </c>
      <c r="F201" s="326">
        <v>98572.829999999871</v>
      </c>
      <c r="G201" s="316"/>
    </row>
    <row r="202" spans="1:7" ht="13" x14ac:dyDescent="0.25">
      <c r="A202" s="393"/>
      <c r="B202" s="324">
        <v>51256</v>
      </c>
      <c r="C202" s="320"/>
      <c r="D202" s="325">
        <v>65852910.490000114</v>
      </c>
      <c r="E202" s="326">
        <v>1718345.5599999977</v>
      </c>
      <c r="F202" s="326">
        <v>81424.910000000047</v>
      </c>
      <c r="G202" s="316"/>
    </row>
    <row r="203" spans="1:7" ht="13" x14ac:dyDescent="0.25">
      <c r="A203" s="393"/>
      <c r="B203" s="324">
        <v>51287</v>
      </c>
      <c r="C203" s="320"/>
      <c r="D203" s="325">
        <v>64134564.930000119</v>
      </c>
      <c r="E203" s="326">
        <v>1676492.8100000017</v>
      </c>
      <c r="F203" s="326">
        <v>79061.940000000017</v>
      </c>
      <c r="G203" s="316"/>
    </row>
    <row r="204" spans="1:7" ht="13" x14ac:dyDescent="0.25">
      <c r="A204" s="393"/>
      <c r="B204" s="324">
        <v>51317</v>
      </c>
      <c r="C204" s="320"/>
      <c r="D204" s="325">
        <v>62458072.120000117</v>
      </c>
      <c r="E204" s="326">
        <v>1644650.4499999993</v>
      </c>
      <c r="F204" s="326">
        <v>76852.960000000036</v>
      </c>
      <c r="G204" s="316"/>
    </row>
    <row r="205" spans="1:7" ht="13" x14ac:dyDescent="0.25">
      <c r="A205" s="393"/>
      <c r="B205" s="324">
        <v>51348</v>
      </c>
      <c r="C205" s="320"/>
      <c r="D205" s="325">
        <v>60813421.670000121</v>
      </c>
      <c r="E205" s="326">
        <v>1691374.0400000012</v>
      </c>
      <c r="F205" s="326">
        <v>75754.120000000054</v>
      </c>
      <c r="G205" s="316"/>
    </row>
    <row r="206" spans="1:7" ht="13" x14ac:dyDescent="0.25">
      <c r="A206" s="393"/>
      <c r="B206" s="324">
        <v>51379</v>
      </c>
      <c r="C206" s="320"/>
      <c r="D206" s="325">
        <v>59122047.630000122</v>
      </c>
      <c r="E206" s="326">
        <v>1621924.0500000012</v>
      </c>
      <c r="F206" s="326">
        <v>73099.400000000023</v>
      </c>
      <c r="G206" s="316"/>
    </row>
    <row r="207" spans="1:7" ht="13" x14ac:dyDescent="0.25">
      <c r="A207" s="393"/>
      <c r="B207" s="324">
        <v>51409</v>
      </c>
      <c r="C207" s="320"/>
      <c r="D207" s="325">
        <v>57500123.580000117</v>
      </c>
      <c r="E207" s="326">
        <v>1586489.4800000018</v>
      </c>
      <c r="F207" s="326">
        <v>71066.429999999906</v>
      </c>
      <c r="G207" s="316"/>
    </row>
    <row r="208" spans="1:7" ht="13" x14ac:dyDescent="0.25">
      <c r="A208" s="393"/>
      <c r="B208" s="324">
        <v>51440</v>
      </c>
      <c r="C208" s="320"/>
      <c r="D208" s="325">
        <v>55913634.100000113</v>
      </c>
      <c r="E208" s="326">
        <v>1610982.0899999992</v>
      </c>
      <c r="F208" s="326">
        <v>69929.879999999961</v>
      </c>
      <c r="G208" s="316"/>
    </row>
    <row r="209" spans="1:7" ht="13" x14ac:dyDescent="0.25">
      <c r="A209" s="393"/>
      <c r="B209" s="324">
        <v>51470</v>
      </c>
      <c r="C209" s="320"/>
      <c r="D209" s="325">
        <v>54302652.010000117</v>
      </c>
      <c r="E209" s="326">
        <v>1526040.0199999991</v>
      </c>
      <c r="F209" s="326">
        <v>67306.039999999964</v>
      </c>
      <c r="G209" s="316"/>
    </row>
    <row r="210" spans="1:7" ht="13" x14ac:dyDescent="0.25">
      <c r="A210" s="393"/>
      <c r="B210" s="324">
        <v>51501</v>
      </c>
      <c r="C210" s="320"/>
      <c r="D210" s="325">
        <v>52776611.990000121</v>
      </c>
      <c r="E210" s="326">
        <v>1504608.070000001</v>
      </c>
      <c r="F210" s="326">
        <v>65677.679999999964</v>
      </c>
      <c r="G210" s="316"/>
    </row>
    <row r="211" spans="1:7" ht="13" x14ac:dyDescent="0.25">
      <c r="A211" s="393"/>
      <c r="B211" s="324">
        <v>51532</v>
      </c>
      <c r="C211" s="320"/>
      <c r="D211" s="325">
        <v>51272003.920000121</v>
      </c>
      <c r="E211" s="326">
        <v>1527533.5900000005</v>
      </c>
      <c r="F211" s="326">
        <v>64213.129999999954</v>
      </c>
      <c r="G211" s="316"/>
    </row>
    <row r="212" spans="1:7" ht="13" x14ac:dyDescent="0.25">
      <c r="A212" s="393"/>
      <c r="B212" s="324">
        <v>51560</v>
      </c>
      <c r="C212" s="320"/>
      <c r="D212" s="325">
        <v>49744470.330000117</v>
      </c>
      <c r="E212" s="326">
        <v>1188309.2699999991</v>
      </c>
      <c r="F212" s="326">
        <v>50374.11000000003</v>
      </c>
      <c r="G212" s="316"/>
    </row>
    <row r="213" spans="1:7" ht="13" x14ac:dyDescent="0.25">
      <c r="A213" s="393"/>
      <c r="B213" s="324">
        <v>51591</v>
      </c>
      <c r="C213" s="320"/>
      <c r="D213" s="325">
        <v>48556161.060000122</v>
      </c>
      <c r="E213" s="326">
        <v>1719355.8500000006</v>
      </c>
      <c r="F213" s="326">
        <v>71731.81</v>
      </c>
      <c r="G213" s="316"/>
    </row>
    <row r="214" spans="1:7" ht="13" x14ac:dyDescent="0.25">
      <c r="A214" s="393"/>
      <c r="B214" s="324">
        <v>51621</v>
      </c>
      <c r="C214" s="320"/>
      <c r="D214" s="325">
        <v>46836805.21000012</v>
      </c>
      <c r="E214" s="326">
        <v>1466368.6100000031</v>
      </c>
      <c r="F214" s="326">
        <v>58689.450000000055</v>
      </c>
      <c r="G214" s="316"/>
    </row>
    <row r="215" spans="1:7" ht="13" x14ac:dyDescent="0.25">
      <c r="A215" s="393"/>
      <c r="B215" s="324">
        <v>51652</v>
      </c>
      <c r="C215" s="320"/>
      <c r="D215" s="325">
        <v>45370436.600000113</v>
      </c>
      <c r="E215" s="326">
        <v>1395511.780000001</v>
      </c>
      <c r="F215" s="326">
        <v>56721.380000000063</v>
      </c>
      <c r="G215" s="316"/>
    </row>
    <row r="216" spans="1:7" ht="13" x14ac:dyDescent="0.25">
      <c r="A216" s="393"/>
      <c r="B216" s="324">
        <v>51682</v>
      </c>
      <c r="C216" s="320"/>
      <c r="D216" s="325">
        <v>43974924.820000112</v>
      </c>
      <c r="E216" s="326">
        <v>1380756.6200000006</v>
      </c>
      <c r="F216" s="326">
        <v>54808.83000000006</v>
      </c>
      <c r="G216" s="316"/>
    </row>
    <row r="217" spans="1:7" ht="13" x14ac:dyDescent="0.25">
      <c r="A217" s="393"/>
      <c r="B217" s="324">
        <v>51713</v>
      </c>
      <c r="C217" s="320"/>
      <c r="D217" s="325">
        <v>42594168.200000115</v>
      </c>
      <c r="E217" s="326">
        <v>1405055.6699999992</v>
      </c>
      <c r="F217" s="326">
        <v>53589.05</v>
      </c>
      <c r="G217" s="316"/>
    </row>
    <row r="218" spans="1:7" ht="13" x14ac:dyDescent="0.25">
      <c r="A218" s="393"/>
      <c r="B218" s="324">
        <v>51744</v>
      </c>
      <c r="C218" s="320"/>
      <c r="D218" s="325">
        <v>41189112.530000113</v>
      </c>
      <c r="E218" s="326">
        <v>1321565.5100000002</v>
      </c>
      <c r="F218" s="326">
        <v>51463.549999999974</v>
      </c>
      <c r="G218" s="316"/>
    </row>
    <row r="219" spans="1:7" ht="13" x14ac:dyDescent="0.25">
      <c r="A219" s="393"/>
      <c r="B219" s="324">
        <v>51774</v>
      </c>
      <c r="C219" s="320"/>
      <c r="D219" s="325">
        <v>39867547.020000115</v>
      </c>
      <c r="E219" s="326">
        <v>1307392.6699999995</v>
      </c>
      <c r="F219" s="326">
        <v>49697.160000000018</v>
      </c>
      <c r="G219" s="316"/>
    </row>
    <row r="220" spans="1:7" ht="13" x14ac:dyDescent="0.25">
      <c r="A220" s="393"/>
      <c r="B220" s="324">
        <v>51805</v>
      </c>
      <c r="C220" s="320"/>
      <c r="D220" s="325">
        <v>38560154.350000113</v>
      </c>
      <c r="E220" s="326">
        <v>1326937.7200000002</v>
      </c>
      <c r="F220" s="326">
        <v>48450.420000000006</v>
      </c>
      <c r="G220" s="316"/>
    </row>
    <row r="221" spans="1:7" ht="13" x14ac:dyDescent="0.25">
      <c r="A221" s="393"/>
      <c r="B221" s="324">
        <v>51835</v>
      </c>
      <c r="C221" s="320"/>
      <c r="D221" s="325">
        <v>37233216.630000114</v>
      </c>
      <c r="E221" s="326">
        <v>1267097.0300000003</v>
      </c>
      <c r="F221" s="326">
        <v>46372.050000000017</v>
      </c>
      <c r="G221" s="316"/>
    </row>
    <row r="222" spans="1:7" ht="13" x14ac:dyDescent="0.25">
      <c r="A222" s="393"/>
      <c r="B222" s="324">
        <v>51866</v>
      </c>
      <c r="C222" s="320"/>
      <c r="D222" s="325">
        <v>35966119.600000113</v>
      </c>
      <c r="E222" s="326">
        <v>1242182.0800000003</v>
      </c>
      <c r="F222" s="326">
        <v>44881.960000000036</v>
      </c>
      <c r="G222" s="316"/>
    </row>
    <row r="223" spans="1:7" ht="13" x14ac:dyDescent="0.25">
      <c r="A223" s="393"/>
      <c r="B223" s="324">
        <v>51897</v>
      </c>
      <c r="C223" s="320"/>
      <c r="D223" s="325">
        <v>34723937.520000115</v>
      </c>
      <c r="E223" s="326">
        <v>1262211.7000000011</v>
      </c>
      <c r="F223" s="326">
        <v>43376.139999999992</v>
      </c>
      <c r="G223" s="316"/>
    </row>
    <row r="224" spans="1:7" ht="13" x14ac:dyDescent="0.25">
      <c r="A224" s="393"/>
      <c r="B224" s="324">
        <v>51925</v>
      </c>
      <c r="C224" s="320"/>
      <c r="D224" s="325">
        <v>33461725.820000112</v>
      </c>
      <c r="E224" s="326">
        <v>973500.48000000045</v>
      </c>
      <c r="F224" s="326">
        <v>33706.910000000018</v>
      </c>
      <c r="G224" s="316"/>
    </row>
    <row r="225" spans="1:7" ht="13" x14ac:dyDescent="0.25">
      <c r="A225" s="393"/>
      <c r="B225" s="324">
        <v>51956</v>
      </c>
      <c r="C225" s="320"/>
      <c r="D225" s="325">
        <v>32488225.340000112</v>
      </c>
      <c r="E225" s="326">
        <v>1425151.2599999981</v>
      </c>
      <c r="F225" s="326">
        <v>47821.019999999968</v>
      </c>
      <c r="G225" s="316"/>
    </row>
    <row r="226" spans="1:7" ht="13" x14ac:dyDescent="0.25">
      <c r="A226" s="393"/>
      <c r="B226" s="324">
        <v>51986</v>
      </c>
      <c r="C226" s="320"/>
      <c r="D226" s="325">
        <v>31063074.080000114</v>
      </c>
      <c r="E226" s="326">
        <v>1224650.1800000006</v>
      </c>
      <c r="F226" s="326">
        <v>38427.759999999973</v>
      </c>
      <c r="G226" s="316"/>
    </row>
    <row r="227" spans="1:7" ht="13" x14ac:dyDescent="0.25">
      <c r="A227" s="393"/>
      <c r="B227" s="324">
        <v>52017</v>
      </c>
      <c r="C227" s="320"/>
      <c r="D227" s="325">
        <v>29838423.900000114</v>
      </c>
      <c r="E227" s="326">
        <v>1166512.0500000003</v>
      </c>
      <c r="F227" s="326">
        <v>36847.32</v>
      </c>
      <c r="G227" s="316"/>
    </row>
    <row r="228" spans="1:7" ht="13" x14ac:dyDescent="0.25">
      <c r="A228" s="393"/>
      <c r="B228" s="324">
        <v>52047</v>
      </c>
      <c r="C228" s="320"/>
      <c r="D228" s="325">
        <v>28671911.850000113</v>
      </c>
      <c r="E228" s="326">
        <v>1130305.9799999991</v>
      </c>
      <c r="F228" s="326">
        <v>35131.089999999975</v>
      </c>
      <c r="G228" s="316"/>
    </row>
    <row r="229" spans="1:7" ht="13" x14ac:dyDescent="0.25">
      <c r="A229" s="393"/>
      <c r="B229" s="324">
        <v>52078</v>
      </c>
      <c r="C229" s="320"/>
      <c r="D229" s="325">
        <v>27541605.870000113</v>
      </c>
      <c r="E229" s="326">
        <v>1141180.45</v>
      </c>
      <c r="F229" s="326">
        <v>33772.17000000002</v>
      </c>
      <c r="G229" s="316"/>
    </row>
    <row r="230" spans="1:7" ht="13" x14ac:dyDescent="0.25">
      <c r="A230" s="393"/>
      <c r="B230" s="324">
        <v>52109</v>
      </c>
      <c r="C230" s="320"/>
      <c r="D230" s="325">
        <v>26400425.420000114</v>
      </c>
      <c r="E230" s="326">
        <v>1033235.1599999999</v>
      </c>
      <c r="F230" s="326">
        <v>32111.409999999978</v>
      </c>
      <c r="G230" s="316"/>
    </row>
    <row r="231" spans="1:7" ht="13" x14ac:dyDescent="0.25">
      <c r="A231" s="393"/>
      <c r="B231" s="324">
        <v>52139</v>
      </c>
      <c r="C231" s="320"/>
      <c r="D231" s="325">
        <v>25367190.260000113</v>
      </c>
      <c r="E231" s="326">
        <v>1008998.6599999992</v>
      </c>
      <c r="F231" s="326">
        <v>30571.410000000025</v>
      </c>
      <c r="G231" s="316"/>
    </row>
    <row r="232" spans="1:7" ht="13" x14ac:dyDescent="0.25">
      <c r="A232" s="393"/>
      <c r="B232" s="324">
        <v>52170</v>
      </c>
      <c r="C232" s="320"/>
      <c r="D232" s="325">
        <v>24358191.600000113</v>
      </c>
      <c r="E232" s="326">
        <v>949272.20999999973</v>
      </c>
      <c r="F232" s="326">
        <v>29238.259999999977</v>
      </c>
      <c r="G232" s="316"/>
    </row>
    <row r="233" spans="1:7" ht="13" x14ac:dyDescent="0.25">
      <c r="A233" s="393"/>
      <c r="B233" s="324">
        <v>52200</v>
      </c>
      <c r="C233" s="320"/>
      <c r="D233" s="325">
        <v>23408919.390000112</v>
      </c>
      <c r="E233" s="326">
        <v>898924.39999999956</v>
      </c>
      <c r="F233" s="326">
        <v>27732.559999999983</v>
      </c>
      <c r="G233" s="316"/>
    </row>
    <row r="234" spans="1:7" ht="13" x14ac:dyDescent="0.25">
      <c r="A234" s="393"/>
      <c r="B234" s="324">
        <v>52231</v>
      </c>
      <c r="C234" s="320"/>
      <c r="D234" s="325">
        <v>22509994.990000114</v>
      </c>
      <c r="E234" s="326">
        <v>857374.07000000053</v>
      </c>
      <c r="F234" s="326">
        <v>26511.770000000004</v>
      </c>
      <c r="G234" s="316"/>
    </row>
    <row r="235" spans="1:7" ht="13" x14ac:dyDescent="0.25">
      <c r="A235" s="393"/>
      <c r="B235" s="324">
        <v>52262</v>
      </c>
      <c r="C235" s="320"/>
      <c r="D235" s="325">
        <v>21652620.920000114</v>
      </c>
      <c r="E235" s="326">
        <v>822636.8399999995</v>
      </c>
      <c r="F235" s="326">
        <v>25177.310000000012</v>
      </c>
      <c r="G235" s="316"/>
    </row>
    <row r="236" spans="1:7" ht="13" x14ac:dyDescent="0.25">
      <c r="A236" s="393"/>
      <c r="B236" s="324">
        <v>52290</v>
      </c>
      <c r="C236" s="320"/>
      <c r="D236" s="325">
        <v>20829984.080000114</v>
      </c>
      <c r="E236" s="326">
        <v>663341.21999999986</v>
      </c>
      <c r="F236" s="326">
        <v>19250.139999999992</v>
      </c>
      <c r="G236" s="316"/>
    </row>
    <row r="237" spans="1:7" ht="13" x14ac:dyDescent="0.25">
      <c r="A237" s="393"/>
      <c r="B237" s="324">
        <v>52321</v>
      </c>
      <c r="C237" s="320"/>
      <c r="D237" s="325">
        <v>20166642.860000115</v>
      </c>
      <c r="E237" s="326">
        <v>891547.56999999972</v>
      </c>
      <c r="F237" s="326">
        <v>27456.220000000005</v>
      </c>
      <c r="G237" s="316"/>
    </row>
    <row r="238" spans="1:7" ht="13" x14ac:dyDescent="0.25">
      <c r="A238" s="393">
        <v>225</v>
      </c>
      <c r="B238" s="324">
        <v>52351</v>
      </c>
      <c r="C238" s="320"/>
      <c r="D238" s="325">
        <v>19275095.290000115</v>
      </c>
      <c r="E238" s="326">
        <v>725203.50999999954</v>
      </c>
      <c r="F238" s="326">
        <v>21587.160000000022</v>
      </c>
      <c r="G238" s="316"/>
    </row>
    <row r="239" spans="1:7" ht="13" x14ac:dyDescent="0.25">
      <c r="A239" s="393">
        <v>226</v>
      </c>
      <c r="B239" s="324">
        <v>52382</v>
      </c>
      <c r="C239" s="320"/>
      <c r="D239" s="325">
        <v>18549891.780000117</v>
      </c>
      <c r="E239" s="326">
        <v>696118.76000000036</v>
      </c>
      <c r="F239" s="326">
        <v>20619.880000000019</v>
      </c>
      <c r="G239" s="316"/>
    </row>
    <row r="240" spans="1:7" ht="13" x14ac:dyDescent="0.25">
      <c r="B240" s="324">
        <v>52412</v>
      </c>
      <c r="C240" s="320"/>
      <c r="D240" s="325">
        <v>17853773.020000115</v>
      </c>
      <c r="E240" s="326">
        <v>674976.29999999981</v>
      </c>
      <c r="F240" s="326">
        <v>19518.800000000025</v>
      </c>
    </row>
    <row r="241" spans="2:6" ht="13" x14ac:dyDescent="0.25">
      <c r="B241" s="324">
        <v>52443</v>
      </c>
      <c r="C241" s="320"/>
      <c r="D241" s="325">
        <v>17178796.720000114</v>
      </c>
      <c r="E241" s="326">
        <v>626477.40000000026</v>
      </c>
      <c r="F241" s="326">
        <v>18640.619999999992</v>
      </c>
    </row>
    <row r="242" spans="2:6" ht="13" x14ac:dyDescent="0.25">
      <c r="B242" s="324">
        <v>52474</v>
      </c>
      <c r="C242" s="320"/>
      <c r="D242" s="325">
        <v>16552319.320000114</v>
      </c>
      <c r="E242" s="326">
        <v>563183.67999999982</v>
      </c>
      <c r="F242" s="326">
        <v>17755.84</v>
      </c>
    </row>
    <row r="243" spans="2:6" ht="13" x14ac:dyDescent="0.25">
      <c r="B243" s="324">
        <v>52504</v>
      </c>
      <c r="C243" s="320"/>
      <c r="D243" s="325">
        <v>15989135.640000114</v>
      </c>
      <c r="E243" s="326">
        <v>543306.9800000001</v>
      </c>
      <c r="F243" s="326">
        <v>17036.369999999992</v>
      </c>
    </row>
    <row r="244" spans="2:6" ht="13" x14ac:dyDescent="0.25">
      <c r="B244" s="324">
        <v>52535</v>
      </c>
      <c r="C244" s="320"/>
      <c r="D244" s="325">
        <v>15445828.660000114</v>
      </c>
      <c r="E244" s="326">
        <v>534050.37999999989</v>
      </c>
      <c r="F244" s="326">
        <v>16488.530000000002</v>
      </c>
    </row>
    <row r="245" spans="2:6" ht="13" x14ac:dyDescent="0.25">
      <c r="B245" s="324">
        <v>52565</v>
      </c>
      <c r="C245" s="320"/>
      <c r="D245" s="325">
        <v>14911778.280000113</v>
      </c>
      <c r="E245" s="326">
        <v>502111.15</v>
      </c>
      <c r="F245" s="326">
        <v>15818.790000000023</v>
      </c>
    </row>
    <row r="246" spans="2:6" ht="13" x14ac:dyDescent="0.25">
      <c r="B246" s="324">
        <v>52596</v>
      </c>
      <c r="C246" s="320"/>
      <c r="D246" s="325">
        <v>14409667.130000113</v>
      </c>
      <c r="E246" s="326">
        <v>502436.54999999993</v>
      </c>
      <c r="F246" s="326">
        <v>15385.189999999999</v>
      </c>
    </row>
    <row r="247" spans="2:6" ht="13" x14ac:dyDescent="0.25">
      <c r="B247" s="324">
        <v>52627</v>
      </c>
      <c r="C247" s="320"/>
      <c r="D247" s="325">
        <v>13907230.580000112</v>
      </c>
      <c r="E247" s="326">
        <v>500928.73000000027</v>
      </c>
      <c r="F247" s="326">
        <v>14853.060000000009</v>
      </c>
    </row>
    <row r="248" spans="2:6" ht="13" x14ac:dyDescent="0.25">
      <c r="B248" s="324">
        <v>52656</v>
      </c>
      <c r="C248" s="320"/>
      <c r="D248" s="325">
        <v>13406301.850000111</v>
      </c>
      <c r="E248" s="326">
        <v>408915.4599999999</v>
      </c>
      <c r="F248" s="326">
        <v>11347.859999999995</v>
      </c>
    </row>
    <row r="249" spans="2:6" ht="13" x14ac:dyDescent="0.25">
      <c r="B249" s="324">
        <v>52687</v>
      </c>
      <c r="C249" s="320"/>
      <c r="D249" s="325">
        <v>12997386.390000112</v>
      </c>
      <c r="E249" s="326">
        <v>589219.25999999978</v>
      </c>
      <c r="F249" s="326">
        <v>16871.220000000008</v>
      </c>
    </row>
    <row r="250" spans="2:6" ht="13" x14ac:dyDescent="0.25">
      <c r="B250" s="324">
        <v>52717</v>
      </c>
      <c r="C250" s="320"/>
      <c r="D250" s="325">
        <v>12408167.130000113</v>
      </c>
      <c r="E250" s="326">
        <v>493755.74000000011</v>
      </c>
      <c r="F250" s="326">
        <v>13340.419999999998</v>
      </c>
    </row>
    <row r="251" spans="2:6" ht="13" x14ac:dyDescent="0.25">
      <c r="B251" s="324">
        <v>52748</v>
      </c>
      <c r="C251" s="320"/>
      <c r="D251" s="325">
        <v>11914411.390000112</v>
      </c>
      <c r="E251" s="326">
        <v>496711.73000000027</v>
      </c>
      <c r="F251" s="326">
        <v>12905.290000000008</v>
      </c>
    </row>
    <row r="252" spans="2:6" ht="13" x14ac:dyDescent="0.25">
      <c r="B252" s="324">
        <v>52778</v>
      </c>
      <c r="C252" s="320"/>
      <c r="D252" s="325">
        <v>11417699.660000112</v>
      </c>
      <c r="E252" s="326">
        <v>492171.23999999987</v>
      </c>
      <c r="F252" s="326">
        <v>12361.410000000005</v>
      </c>
    </row>
    <row r="253" spans="2:6" ht="13" x14ac:dyDescent="0.25">
      <c r="B253" s="324">
        <v>52809</v>
      </c>
      <c r="C253" s="320"/>
      <c r="D253" s="325">
        <v>10925528.420000112</v>
      </c>
      <c r="E253" s="326">
        <v>495951.57999999973</v>
      </c>
      <c r="F253" s="326">
        <v>11921.149999999998</v>
      </c>
    </row>
    <row r="254" spans="2:6" ht="13" x14ac:dyDescent="0.25">
      <c r="B254" s="324">
        <v>52840</v>
      </c>
      <c r="C254" s="320"/>
      <c r="D254" s="325">
        <v>10429576.840000112</v>
      </c>
      <c r="E254" s="326">
        <v>489211.02000000008</v>
      </c>
      <c r="F254" s="326">
        <v>11406.839999999997</v>
      </c>
    </row>
    <row r="255" spans="2:6" ht="13" x14ac:dyDescent="0.25">
      <c r="B255" s="324">
        <v>52870</v>
      </c>
      <c r="C255" s="320"/>
      <c r="D255" s="325">
        <v>9940365.8200001121</v>
      </c>
      <c r="E255" s="326">
        <v>485802.9800000001</v>
      </c>
      <c r="F255" s="326">
        <v>10902.870000000006</v>
      </c>
    </row>
    <row r="256" spans="2:6" ht="13" x14ac:dyDescent="0.25">
      <c r="B256" s="324">
        <v>52901</v>
      </c>
      <c r="C256" s="320"/>
      <c r="D256" s="325">
        <v>9454562.8400001116</v>
      </c>
      <c r="E256" s="326">
        <v>483656.60000000003</v>
      </c>
      <c r="F256" s="326">
        <v>10458.730000000001</v>
      </c>
    </row>
    <row r="257" spans="2:6" ht="13" x14ac:dyDescent="0.25">
      <c r="B257" s="324">
        <v>52931</v>
      </c>
      <c r="C257" s="320"/>
      <c r="D257" s="325">
        <v>8970906.240000112</v>
      </c>
      <c r="E257" s="326">
        <v>477727.26999999973</v>
      </c>
      <c r="F257" s="326">
        <v>9947.019999999995</v>
      </c>
    </row>
    <row r="258" spans="2:6" ht="13" x14ac:dyDescent="0.25">
      <c r="B258" s="324">
        <v>52962</v>
      </c>
      <c r="C258" s="320"/>
      <c r="D258" s="325">
        <v>8493178.9700001124</v>
      </c>
      <c r="E258" s="326">
        <v>471255.52000000031</v>
      </c>
      <c r="F258" s="326">
        <v>9504.14</v>
      </c>
    </row>
    <row r="259" spans="2:6" ht="13" x14ac:dyDescent="0.25">
      <c r="B259" s="324">
        <v>52993</v>
      </c>
      <c r="C259" s="320"/>
      <c r="D259" s="325">
        <v>8021923.4500001119</v>
      </c>
      <c r="E259" s="326">
        <v>450072.85999999993</v>
      </c>
      <c r="F259" s="326">
        <v>9021.2999999999956</v>
      </c>
    </row>
    <row r="260" spans="2:6" ht="13" x14ac:dyDescent="0.25">
      <c r="B260" s="324">
        <v>53021</v>
      </c>
      <c r="C260" s="320"/>
      <c r="D260" s="325">
        <v>7571850.5900001116</v>
      </c>
      <c r="E260" s="326">
        <v>343057.42999999993</v>
      </c>
      <c r="F260" s="326">
        <v>6612.4299999999957</v>
      </c>
    </row>
    <row r="261" spans="2:6" ht="13" x14ac:dyDescent="0.25">
      <c r="B261" s="324">
        <v>53052</v>
      </c>
      <c r="C261" s="320"/>
      <c r="D261" s="325">
        <v>7228793.1600001119</v>
      </c>
      <c r="E261" s="326">
        <v>467970.5</v>
      </c>
      <c r="F261" s="326">
        <v>10092.710000000005</v>
      </c>
    </row>
    <row r="262" spans="2:6" ht="13" x14ac:dyDescent="0.25">
      <c r="B262" s="324">
        <v>53082</v>
      </c>
      <c r="C262" s="320"/>
      <c r="D262" s="325">
        <v>6760822.6600001119</v>
      </c>
      <c r="E262" s="326">
        <v>363174.43000000005</v>
      </c>
      <c r="F262" s="326">
        <v>7727.5899999999947</v>
      </c>
    </row>
    <row r="263" spans="2:6" ht="13" x14ac:dyDescent="0.25">
      <c r="B263" s="324">
        <v>53113</v>
      </c>
      <c r="C263" s="320"/>
      <c r="D263" s="325">
        <v>6397648.2300001122</v>
      </c>
      <c r="E263" s="326">
        <v>357969.02999999985</v>
      </c>
      <c r="F263" s="326">
        <v>7354.1599999999989</v>
      </c>
    </row>
    <row r="264" spans="2:6" ht="13" x14ac:dyDescent="0.25">
      <c r="B264" s="324">
        <v>53143</v>
      </c>
      <c r="C264" s="320"/>
      <c r="D264" s="325">
        <v>6039679.2000001119</v>
      </c>
      <c r="E264" s="326">
        <v>340865.99</v>
      </c>
      <c r="F264" s="326">
        <v>6965.4600000000055</v>
      </c>
    </row>
    <row r="265" spans="2:6" ht="13" x14ac:dyDescent="0.25">
      <c r="B265" s="324">
        <v>53174</v>
      </c>
      <c r="C265" s="320"/>
      <c r="D265" s="325">
        <v>5698813.2100001117</v>
      </c>
      <c r="E265" s="326">
        <v>311283.42000000004</v>
      </c>
      <c r="F265" s="326">
        <v>6606.63</v>
      </c>
    </row>
    <row r="266" spans="2:6" ht="13" x14ac:dyDescent="0.25">
      <c r="B266" s="324">
        <v>53205</v>
      </c>
      <c r="C266" s="320"/>
      <c r="D266" s="325">
        <v>5387529.7900001118</v>
      </c>
      <c r="E266" s="326">
        <v>285884.94000000006</v>
      </c>
      <c r="F266" s="326">
        <v>6268.2300000000014</v>
      </c>
    </row>
    <row r="267" spans="2:6" ht="13" x14ac:dyDescent="0.25">
      <c r="B267" s="324">
        <v>53235</v>
      </c>
      <c r="C267" s="320"/>
      <c r="D267" s="325">
        <v>5101644.8500001114</v>
      </c>
      <c r="E267" s="326">
        <v>279381.21000000002</v>
      </c>
      <c r="F267" s="326">
        <v>5957.0700000000006</v>
      </c>
    </row>
    <row r="268" spans="2:6" ht="13" x14ac:dyDescent="0.25">
      <c r="B268" s="324">
        <v>53266</v>
      </c>
      <c r="C268" s="320"/>
      <c r="D268" s="325">
        <v>4822263.6400001114</v>
      </c>
      <c r="E268" s="326">
        <v>268771.5799999999</v>
      </c>
      <c r="F268" s="326">
        <v>5652.4299999999985</v>
      </c>
    </row>
    <row r="269" spans="2:6" ht="13" x14ac:dyDescent="0.25">
      <c r="B269" s="324">
        <v>53296</v>
      </c>
      <c r="C269" s="320"/>
      <c r="D269" s="325">
        <v>4553492.0600001113</v>
      </c>
      <c r="E269" s="326">
        <v>262822.12</v>
      </c>
      <c r="F269" s="326">
        <v>5359.1699999999946</v>
      </c>
    </row>
    <row r="270" spans="2:6" ht="13" x14ac:dyDescent="0.25">
      <c r="B270" s="324">
        <v>53327</v>
      </c>
      <c r="C270" s="320"/>
      <c r="D270" s="325">
        <v>4290669.9400001112</v>
      </c>
      <c r="E270" s="326">
        <v>249084.65999999992</v>
      </c>
      <c r="F270" s="326">
        <v>5071.6899999999987</v>
      </c>
    </row>
    <row r="271" spans="2:6" ht="13" x14ac:dyDescent="0.25">
      <c r="B271" s="324">
        <v>53358</v>
      </c>
      <c r="C271" s="320"/>
      <c r="D271" s="325">
        <v>4041585.2800001111</v>
      </c>
      <c r="E271" s="326">
        <v>246877.74999999997</v>
      </c>
      <c r="F271" s="326">
        <v>4799.6399999999985</v>
      </c>
    </row>
    <row r="272" spans="2:6" ht="13" x14ac:dyDescent="0.25">
      <c r="B272" s="324">
        <v>53386</v>
      </c>
      <c r="C272" s="320"/>
      <c r="D272" s="325">
        <v>3794707.5300001111</v>
      </c>
      <c r="E272" s="326">
        <v>178087.17999999996</v>
      </c>
      <c r="F272" s="326">
        <v>3479.6899999999996</v>
      </c>
    </row>
    <row r="273" spans="2:6" ht="13" x14ac:dyDescent="0.25">
      <c r="B273" s="324">
        <v>53417</v>
      </c>
      <c r="C273" s="320"/>
      <c r="D273" s="325">
        <v>3616620.3500001109</v>
      </c>
      <c r="E273" s="326">
        <v>310998.59999999992</v>
      </c>
      <c r="F273" s="326">
        <v>5311.73</v>
      </c>
    </row>
    <row r="274" spans="2:6" ht="13" x14ac:dyDescent="0.25">
      <c r="B274" s="324">
        <v>53447</v>
      </c>
      <c r="C274" s="320"/>
      <c r="D274" s="325">
        <v>3305621.7500001108</v>
      </c>
      <c r="E274" s="326">
        <v>240949.20999999993</v>
      </c>
      <c r="F274" s="326">
        <v>3996.2500000000009</v>
      </c>
    </row>
    <row r="275" spans="2:6" ht="13" x14ac:dyDescent="0.25">
      <c r="B275" s="324">
        <v>53478</v>
      </c>
      <c r="C275" s="320"/>
      <c r="D275" s="325">
        <v>3064672.5400001109</v>
      </c>
      <c r="E275" s="326">
        <v>236732.4</v>
      </c>
      <c r="F275" s="326">
        <v>3733.3499999999995</v>
      </c>
    </row>
    <row r="276" spans="2:6" ht="13" x14ac:dyDescent="0.25">
      <c r="B276" s="324">
        <v>53508</v>
      </c>
      <c r="C276" s="320"/>
      <c r="D276" s="325">
        <v>2827940.140000111</v>
      </c>
      <c r="E276" s="326">
        <v>232198.77999999997</v>
      </c>
      <c r="F276" s="326">
        <v>3474.36</v>
      </c>
    </row>
    <row r="277" spans="2:6" ht="13" x14ac:dyDescent="0.25">
      <c r="B277" s="324">
        <v>53539</v>
      </c>
      <c r="C277" s="320"/>
      <c r="D277" s="325">
        <v>2595741.3600001112</v>
      </c>
      <c r="E277" s="326">
        <v>225256.47000000006</v>
      </c>
      <c r="F277" s="326">
        <v>3219.8900000000003</v>
      </c>
    </row>
    <row r="278" spans="2:6" ht="13" x14ac:dyDescent="0.25">
      <c r="B278" s="324">
        <v>53570</v>
      </c>
      <c r="C278" s="320"/>
      <c r="D278" s="325">
        <v>2370484.890000111</v>
      </c>
      <c r="E278" s="326">
        <v>199752.46000000002</v>
      </c>
      <c r="F278" s="326">
        <v>2971.8099999999995</v>
      </c>
    </row>
    <row r="279" spans="2:6" ht="13" x14ac:dyDescent="0.25">
      <c r="B279" s="324">
        <v>53600</v>
      </c>
      <c r="C279" s="320"/>
      <c r="D279" s="325">
        <v>2170732.430000111</v>
      </c>
      <c r="E279" s="326">
        <v>194361.73999999996</v>
      </c>
      <c r="F279" s="326">
        <v>2746.48</v>
      </c>
    </row>
    <row r="280" spans="2:6" ht="13" x14ac:dyDescent="0.25">
      <c r="B280" s="324">
        <v>53631</v>
      </c>
      <c r="C280" s="320"/>
      <c r="D280" s="325">
        <v>1976370.690000111</v>
      </c>
      <c r="E280" s="326">
        <v>185638.07999999996</v>
      </c>
      <c r="F280" s="326">
        <v>2526.09</v>
      </c>
    </row>
    <row r="281" spans="2:6" ht="13" x14ac:dyDescent="0.25">
      <c r="B281" s="324">
        <v>53661</v>
      </c>
      <c r="C281" s="320"/>
      <c r="D281" s="325">
        <v>1790732.6100001112</v>
      </c>
      <c r="E281" s="326">
        <v>181576.74000000005</v>
      </c>
      <c r="F281" s="326">
        <v>2313.5699999999997</v>
      </c>
    </row>
    <row r="282" spans="2:6" ht="13" x14ac:dyDescent="0.25">
      <c r="B282" s="324">
        <v>53692</v>
      </c>
      <c r="C282" s="320"/>
      <c r="D282" s="325">
        <v>1609155.8700001112</v>
      </c>
      <c r="E282" s="326">
        <v>173051.10999999996</v>
      </c>
      <c r="F282" s="326">
        <v>2104.4499999999998</v>
      </c>
    </row>
    <row r="283" spans="2:6" ht="13" x14ac:dyDescent="0.25">
      <c r="B283" s="324">
        <v>53723</v>
      </c>
      <c r="C283" s="320"/>
      <c r="D283" s="325">
        <v>1436104.7600001113</v>
      </c>
      <c r="E283" s="326">
        <v>166763.27999999997</v>
      </c>
      <c r="F283" s="326">
        <v>1903.2</v>
      </c>
    </row>
    <row r="284" spans="2:6" ht="13" x14ac:dyDescent="0.25">
      <c r="B284" s="324">
        <v>53751</v>
      </c>
      <c r="C284" s="320"/>
      <c r="D284" s="325">
        <v>1269341.4800001113</v>
      </c>
      <c r="E284" s="326">
        <v>118925.69999999997</v>
      </c>
      <c r="F284" s="326">
        <v>1359.8200000000002</v>
      </c>
    </row>
    <row r="285" spans="2:6" ht="13" x14ac:dyDescent="0.25">
      <c r="B285" s="324">
        <v>53782</v>
      </c>
      <c r="C285" s="320"/>
      <c r="D285" s="325">
        <v>1150415.7800001113</v>
      </c>
      <c r="E285" s="326">
        <v>211343.78000000003</v>
      </c>
      <c r="F285" s="326">
        <v>1859.3100000000002</v>
      </c>
    </row>
    <row r="286" spans="2:6" ht="13" x14ac:dyDescent="0.25">
      <c r="B286" s="324">
        <v>53812</v>
      </c>
      <c r="C286" s="320"/>
      <c r="D286" s="325">
        <v>939072.00000011129</v>
      </c>
      <c r="E286" s="326">
        <v>159869.19000000003</v>
      </c>
      <c r="F286" s="326">
        <v>1319.0399999999995</v>
      </c>
    </row>
    <row r="287" spans="2:6" ht="13" x14ac:dyDescent="0.25">
      <c r="B287" s="324">
        <v>53843</v>
      </c>
      <c r="C287" s="320"/>
      <c r="D287" s="325">
        <v>779202.81000011123</v>
      </c>
      <c r="E287" s="326">
        <v>156218.28999999998</v>
      </c>
      <c r="F287" s="326">
        <v>1129.4999999999995</v>
      </c>
    </row>
    <row r="288" spans="2:6" ht="13" x14ac:dyDescent="0.25">
      <c r="B288" s="324">
        <v>53873</v>
      </c>
      <c r="C288" s="320"/>
      <c r="D288" s="325">
        <v>622984.52000011131</v>
      </c>
      <c r="E288" s="326">
        <v>144940.22000000003</v>
      </c>
      <c r="F288" s="326">
        <v>943.26</v>
      </c>
    </row>
    <row r="289" spans="2:6" ht="13" x14ac:dyDescent="0.25">
      <c r="B289" s="324">
        <v>53904</v>
      </c>
      <c r="C289" s="320"/>
      <c r="D289" s="325">
        <v>478044.30000011128</v>
      </c>
      <c r="E289" s="326">
        <v>131025.44000000002</v>
      </c>
      <c r="F289" s="326">
        <v>766.99000000000012</v>
      </c>
    </row>
    <row r="290" spans="2:6" ht="13" x14ac:dyDescent="0.25">
      <c r="B290" s="324">
        <v>53935</v>
      </c>
      <c r="C290" s="320"/>
      <c r="D290" s="325">
        <v>347018.86000011128</v>
      </c>
      <c r="E290" s="326">
        <v>111561.09</v>
      </c>
      <c r="F290" s="326">
        <v>603.48</v>
      </c>
    </row>
    <row r="291" spans="2:6" ht="13" x14ac:dyDescent="0.25">
      <c r="B291" s="324">
        <v>53965</v>
      </c>
      <c r="C291" s="320"/>
      <c r="D291" s="325">
        <v>235457.77000011128</v>
      </c>
      <c r="E291" s="326">
        <v>78214.040000000008</v>
      </c>
      <c r="F291" s="326">
        <v>458.13</v>
      </c>
    </row>
    <row r="292" spans="2:6" ht="13" x14ac:dyDescent="0.25">
      <c r="B292" s="324">
        <v>53996</v>
      </c>
      <c r="C292" s="320"/>
      <c r="D292" s="325">
        <v>157243.73000011127</v>
      </c>
      <c r="E292" s="326">
        <v>58053.29</v>
      </c>
      <c r="F292" s="326">
        <v>347.54</v>
      </c>
    </row>
    <row r="293" spans="2:6" ht="13" x14ac:dyDescent="0.25">
      <c r="B293" s="324">
        <v>54026</v>
      </c>
      <c r="C293" s="320"/>
      <c r="D293" s="325">
        <v>99190.440000111266</v>
      </c>
      <c r="E293" s="326">
        <v>19448.489999999998</v>
      </c>
      <c r="F293" s="326">
        <v>260.68</v>
      </c>
    </row>
    <row r="294" spans="2:6" ht="13" x14ac:dyDescent="0.25">
      <c r="B294" s="324">
        <v>54057</v>
      </c>
      <c r="C294" s="320"/>
      <c r="D294" s="325">
        <v>79741.950000111276</v>
      </c>
      <c r="E294" s="326">
        <v>12553.94</v>
      </c>
      <c r="F294" s="326">
        <v>220.99</v>
      </c>
    </row>
    <row r="295" spans="2:6" ht="13" x14ac:dyDescent="0.25">
      <c r="B295" s="324">
        <v>54088</v>
      </c>
      <c r="C295" s="320"/>
      <c r="D295" s="325">
        <v>67188.010000111273</v>
      </c>
      <c r="E295" s="326">
        <v>9791.4499999999989</v>
      </c>
      <c r="F295" s="326">
        <v>190.26000000000002</v>
      </c>
    </row>
    <row r="296" spans="2:6" ht="13" x14ac:dyDescent="0.25">
      <c r="B296" s="324">
        <v>54117</v>
      </c>
      <c r="C296" s="320"/>
      <c r="D296" s="325">
        <v>57396.560000111276</v>
      </c>
      <c r="E296" s="326">
        <v>9498.3799999999992</v>
      </c>
      <c r="F296" s="326">
        <v>162.97</v>
      </c>
    </row>
    <row r="297" spans="2:6" ht="13" x14ac:dyDescent="0.25">
      <c r="B297" s="324">
        <v>54148</v>
      </c>
      <c r="C297" s="320"/>
      <c r="D297" s="325">
        <v>47898.180000111279</v>
      </c>
      <c r="E297" s="326">
        <v>9525.35</v>
      </c>
      <c r="F297" s="326">
        <v>136</v>
      </c>
    </row>
    <row r="298" spans="2:6" ht="13" x14ac:dyDescent="0.25">
      <c r="B298" s="324">
        <v>54178</v>
      </c>
      <c r="C298" s="320"/>
      <c r="D298" s="325">
        <v>38372.83000011128</v>
      </c>
      <c r="E298" s="326">
        <v>9552.4</v>
      </c>
      <c r="F298" s="326">
        <v>108.95</v>
      </c>
    </row>
    <row r="299" spans="2:6" ht="13" x14ac:dyDescent="0.25">
      <c r="B299" s="324">
        <v>54209</v>
      </c>
      <c r="C299" s="320"/>
      <c r="D299" s="325">
        <v>28820.430000111279</v>
      </c>
      <c r="E299" s="326">
        <v>9579.51</v>
      </c>
      <c r="F299" s="326">
        <v>81.84</v>
      </c>
    </row>
    <row r="300" spans="2:6" ht="13" x14ac:dyDescent="0.25">
      <c r="B300" s="324">
        <v>54239</v>
      </c>
      <c r="C300" s="320"/>
      <c r="D300" s="325">
        <v>19240.920000111277</v>
      </c>
      <c r="E300" s="326">
        <v>9606.7100000000009</v>
      </c>
      <c r="F300" s="326">
        <v>54.64</v>
      </c>
    </row>
    <row r="301" spans="2:6" ht="13" x14ac:dyDescent="0.25">
      <c r="B301" s="324">
        <v>54270</v>
      </c>
      <c r="C301" s="320"/>
      <c r="D301" s="325">
        <v>9634.2100001112758</v>
      </c>
      <c r="E301" s="326">
        <v>9634.2100000000009</v>
      </c>
      <c r="F301" s="326">
        <v>27.36</v>
      </c>
    </row>
  </sheetData>
  <mergeCells count="4">
    <mergeCell ref="B10:B12"/>
    <mergeCell ref="D10:D12"/>
    <mergeCell ref="E10:E12"/>
    <mergeCell ref="F10:F12"/>
  </mergeCells>
  <pageMargins left="0.7" right="0.7" top="0.75" bottom="0.75" header="0.3" footer="0.3"/>
  <pageSetup scale="2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BBFB-9786-4EA6-89CF-9F4A893C500E}">
  <sheetPr>
    <tabColor theme="0" tint="-0.249977111117893"/>
  </sheetPr>
  <dimension ref="A1:I520"/>
  <sheetViews>
    <sheetView showGridLines="0" zoomScale="80" zoomScaleNormal="80" workbookViewId="0">
      <selection activeCell="G28" sqref="G28"/>
    </sheetView>
  </sheetViews>
  <sheetFormatPr defaultColWidth="8.54296875" defaultRowHeight="14.5" x14ac:dyDescent="0.35"/>
  <cols>
    <col min="1" max="1" width="8.54296875" style="412"/>
    <col min="2" max="2" width="62.81640625" style="413" customWidth="1"/>
    <col min="3" max="3" width="31.453125" style="413" customWidth="1"/>
    <col min="4" max="4" width="14.453125" style="413" customWidth="1"/>
    <col min="5" max="5" width="16.453125" style="413" bestFit="1" customWidth="1"/>
    <col min="6" max="6" width="16.453125" style="413" customWidth="1"/>
    <col min="7" max="7" width="16.453125" style="413" bestFit="1" customWidth="1"/>
    <col min="8" max="8" width="8.54296875" style="413"/>
    <col min="9" max="9" width="19.81640625" style="413" customWidth="1"/>
    <col min="10" max="16384" width="8.54296875" style="413"/>
  </cols>
  <sheetData>
    <row r="1" spans="1:9" x14ac:dyDescent="0.35">
      <c r="A1" s="104"/>
      <c r="B1" s="104"/>
      <c r="C1" s="104"/>
      <c r="D1" s="104"/>
      <c r="E1" s="104"/>
      <c r="F1" s="104"/>
      <c r="G1" s="104"/>
      <c r="H1" s="104"/>
      <c r="I1" s="104"/>
    </row>
    <row r="2" spans="1:9" x14ac:dyDescent="0.35">
      <c r="A2" s="104"/>
      <c r="B2" s="106"/>
      <c r="C2" s="106"/>
      <c r="D2" s="106"/>
      <c r="E2" s="300"/>
      <c r="F2" s="106"/>
      <c r="G2" s="106"/>
      <c r="H2" s="106"/>
      <c r="I2" s="106"/>
    </row>
    <row r="3" spans="1:9" ht="14.5" customHeight="1" x14ac:dyDescent="0.35">
      <c r="A3" s="104"/>
      <c r="B3" s="106"/>
      <c r="C3" s="106"/>
      <c r="D3" s="106"/>
      <c r="E3" s="144" t="s">
        <v>134</v>
      </c>
      <c r="F3" s="693">
        <f>'00 - Cover'!$F$16</f>
        <v>45491</v>
      </c>
      <c r="G3" s="106"/>
      <c r="H3" s="144"/>
      <c r="I3" s="105"/>
    </row>
    <row r="4" spans="1:9" ht="14.5" customHeight="1" x14ac:dyDescent="0.35">
      <c r="A4" s="104"/>
      <c r="B4" s="106"/>
      <c r="C4" s="106"/>
      <c r="D4" s="106"/>
      <c r="E4" s="144" t="s">
        <v>655</v>
      </c>
      <c r="F4" s="693">
        <f>'00 - Cover'!$F$15</f>
        <v>45488</v>
      </c>
      <c r="G4" s="106"/>
      <c r="H4" s="144"/>
      <c r="I4" s="105"/>
    </row>
    <row r="5" spans="1:9" ht="14.5" customHeight="1" x14ac:dyDescent="0.35">
      <c r="A5" s="104"/>
      <c r="B5" s="106"/>
      <c r="C5" s="106"/>
      <c r="D5" s="106"/>
      <c r="E5" s="144" t="s">
        <v>94</v>
      </c>
      <c r="F5" s="693">
        <f>'00 - Cover'!$F$16</f>
        <v>45491</v>
      </c>
      <c r="G5" s="106"/>
      <c r="H5" s="144"/>
      <c r="I5" s="105"/>
    </row>
    <row r="6" spans="1:9" ht="14.5" customHeight="1" x14ac:dyDescent="0.35">
      <c r="A6" s="104"/>
      <c r="B6" s="106"/>
      <c r="C6" s="106"/>
      <c r="D6" s="106"/>
      <c r="E6" s="144" t="s">
        <v>87</v>
      </c>
      <c r="F6" s="693">
        <f>'00 - Cover'!$F$17</f>
        <v>45498</v>
      </c>
      <c r="G6" s="106"/>
      <c r="H6" s="106"/>
      <c r="I6" s="106"/>
    </row>
    <row r="7" spans="1:9" x14ac:dyDescent="0.35">
      <c r="A7" s="104"/>
      <c r="B7" s="106"/>
      <c r="C7" s="106"/>
      <c r="D7" s="106"/>
      <c r="E7" s="106"/>
      <c r="F7" s="106"/>
      <c r="G7" s="107"/>
      <c r="H7" s="108"/>
      <c r="I7" s="106"/>
    </row>
    <row r="9" spans="1:9" ht="15.5" x14ac:dyDescent="0.35">
      <c r="A9" s="594" t="s">
        <v>551</v>
      </c>
      <c r="B9" s="595"/>
      <c r="C9" s="596"/>
      <c r="D9" s="596"/>
      <c r="E9" s="596"/>
      <c r="F9" s="596"/>
    </row>
    <row r="10" spans="1:9" ht="15" thickBot="1" x14ac:dyDescent="0.4"/>
    <row r="11" spans="1:9" ht="15" thickTop="1" x14ac:dyDescent="0.35">
      <c r="B11" s="477"/>
      <c r="C11" s="478"/>
      <c r="D11" s="478"/>
      <c r="E11" s="479"/>
    </row>
    <row r="12" spans="1:9" x14ac:dyDescent="0.35">
      <c r="B12" s="485" t="s">
        <v>255</v>
      </c>
      <c r="D12" s="480"/>
      <c r="E12" s="481"/>
    </row>
    <row r="13" spans="1:9" x14ac:dyDescent="0.35">
      <c r="B13" s="485" t="s">
        <v>287</v>
      </c>
      <c r="C13" s="811" t="s">
        <v>1377</v>
      </c>
      <c r="D13" s="480"/>
      <c r="E13" s="481"/>
    </row>
    <row r="14" spans="1:9" x14ac:dyDescent="0.35">
      <c r="B14" s="485" t="s">
        <v>300</v>
      </c>
      <c r="C14" s="488" t="s">
        <v>1261</v>
      </c>
      <c r="D14" s="480"/>
      <c r="E14" s="481"/>
    </row>
    <row r="15" spans="1:9" x14ac:dyDescent="0.35">
      <c r="B15" s="485" t="s">
        <v>310</v>
      </c>
      <c r="C15" s="488" t="s">
        <v>1378</v>
      </c>
      <c r="D15" s="480"/>
      <c r="E15" s="481"/>
    </row>
    <row r="16" spans="1:9" x14ac:dyDescent="0.35">
      <c r="B16" s="485" t="s">
        <v>318</v>
      </c>
      <c r="C16" s="488" t="s">
        <v>1262</v>
      </c>
      <c r="D16" s="480"/>
      <c r="E16" s="481"/>
    </row>
    <row r="17" spans="1:5" x14ac:dyDescent="0.35">
      <c r="B17" s="485" t="s">
        <v>1253</v>
      </c>
      <c r="C17" s="488" t="s">
        <v>1263</v>
      </c>
      <c r="D17" s="480"/>
      <c r="E17" s="481"/>
    </row>
    <row r="18" spans="1:5" x14ac:dyDescent="0.35">
      <c r="B18" s="485" t="s">
        <v>1255</v>
      </c>
      <c r="C18" s="488" t="s">
        <v>1268</v>
      </c>
      <c r="D18" s="480"/>
      <c r="E18" s="481"/>
    </row>
    <row r="19" spans="1:5" x14ac:dyDescent="0.35">
      <c r="B19" s="485" t="s">
        <v>1375</v>
      </c>
      <c r="C19" s="488" t="s">
        <v>1269</v>
      </c>
      <c r="D19" s="480"/>
      <c r="E19" s="481"/>
    </row>
    <row r="20" spans="1:5" x14ac:dyDescent="0.35">
      <c r="B20" s="485" t="s">
        <v>1376</v>
      </c>
      <c r="C20" s="488" t="s">
        <v>1379</v>
      </c>
      <c r="D20" s="480"/>
      <c r="E20" s="481"/>
    </row>
    <row r="21" spans="1:5" x14ac:dyDescent="0.35">
      <c r="B21" s="485" t="s">
        <v>1258</v>
      </c>
      <c r="C21" s="488" t="s">
        <v>1372</v>
      </c>
      <c r="D21" s="480"/>
      <c r="E21" s="481"/>
    </row>
    <row r="22" spans="1:5" x14ac:dyDescent="0.35">
      <c r="B22" s="485" t="s">
        <v>1259</v>
      </c>
      <c r="C22" s="488" t="s">
        <v>1373</v>
      </c>
      <c r="D22" s="480"/>
      <c r="E22" s="481"/>
    </row>
    <row r="23" spans="1:5" ht="15" thickBot="1" x14ac:dyDescent="0.4">
      <c r="B23" s="482"/>
      <c r="C23" s="483"/>
      <c r="D23" s="483"/>
      <c r="E23" s="484"/>
    </row>
    <row r="24" spans="1:5" ht="16" customHeight="1" thickTop="1" x14ac:dyDescent="0.35"/>
    <row r="25" spans="1:5" x14ac:dyDescent="0.35">
      <c r="B25" s="1101" t="s">
        <v>255</v>
      </c>
      <c r="C25" s="1102"/>
    </row>
    <row r="26" spans="1:5" ht="15" thickBot="1" x14ac:dyDescent="0.4">
      <c r="A26" s="427" t="s">
        <v>256</v>
      </c>
      <c r="B26" s="414" t="s">
        <v>257</v>
      </c>
      <c r="C26" s="415">
        <f>PrincipalOutstandingBalance[[#Totals],[Principal Outstanding Balance]]</f>
        <v>701287262.87000024</v>
      </c>
    </row>
    <row r="27" spans="1:5" ht="15" thickBot="1" x14ac:dyDescent="0.4">
      <c r="A27" s="427" t="s">
        <v>258</v>
      </c>
      <c r="B27" s="414" t="s">
        <v>259</v>
      </c>
      <c r="C27" s="415">
        <f>PrincipalOOriginalBalance6[[#Totals],[Principal Original Balance]]</f>
        <v>1116067447.1699998</v>
      </c>
    </row>
    <row r="28" spans="1:5" ht="15" thickBot="1" x14ac:dyDescent="0.4">
      <c r="A28" s="427" t="s">
        <v>260</v>
      </c>
      <c r="B28" s="414" t="s">
        <v>261</v>
      </c>
      <c r="C28" s="416">
        <f>PrincipalOutstandingBalance[[#Totals],[Nb of Loans]]</f>
        <v>3688</v>
      </c>
    </row>
    <row r="29" spans="1:5" ht="15" thickBot="1" x14ac:dyDescent="0.4">
      <c r="A29" s="427" t="s">
        <v>262</v>
      </c>
      <c r="B29" s="414" t="s">
        <v>263</v>
      </c>
      <c r="C29" s="416">
        <f>_xlfn.XLOOKUP(A29,INPUT_DATA!$CJ$4:$CJ$397,INPUT_DATA!$CL$4:$CL$397)</f>
        <v>3295</v>
      </c>
    </row>
    <row r="30" spans="1:5" ht="15" thickBot="1" x14ac:dyDescent="0.4">
      <c r="A30" s="427" t="s">
        <v>264</v>
      </c>
      <c r="B30" s="414" t="s">
        <v>265</v>
      </c>
      <c r="C30" s="415">
        <f>_xlfn.XLOOKUP(A30,INPUT_DATA!$CJ$4:$CJ$397,INPUT_DATA!$CL$4:$CL$397)</f>
        <v>190153.81314262465</v>
      </c>
    </row>
    <row r="31" spans="1:5" ht="15" thickBot="1" x14ac:dyDescent="0.4">
      <c r="A31" s="427" t="s">
        <v>266</v>
      </c>
      <c r="B31" s="414" t="s">
        <v>267</v>
      </c>
      <c r="C31" s="810">
        <f>_xlfn.XLOOKUP(A31,INPUT_DATA!$CJ$4:$CJ$397,INPUT_DATA!$CL$4:$CL$397)</f>
        <v>1.4406073240254667E-2</v>
      </c>
    </row>
    <row r="32" spans="1:5" ht="15" thickBot="1" x14ac:dyDescent="0.4">
      <c r="A32" s="427" t="s">
        <v>268</v>
      </c>
      <c r="B32" s="414" t="s">
        <v>269</v>
      </c>
      <c r="C32" s="415">
        <f>_xlfn.XLOOKUP(A32,INPUT_DATA!$CJ$4:$CJ$397,INPUT_DATA!$CL$4:$CL$397)</f>
        <v>234.58654851385245</v>
      </c>
    </row>
    <row r="33" spans="1:8" ht="15" thickBot="1" x14ac:dyDescent="0.4">
      <c r="A33" s="427" t="s">
        <v>270</v>
      </c>
      <c r="B33" s="414" t="s">
        <v>271</v>
      </c>
      <c r="C33" s="415">
        <f>_xlfn.XLOOKUP(A33,INPUT_DATA!$CJ$4:$CJ$397,INPUT_DATA!$CL$4:$CL$397)</f>
        <v>58.885964485989916</v>
      </c>
    </row>
    <row r="34" spans="1:8" ht="15" thickBot="1" x14ac:dyDescent="0.4">
      <c r="A34" s="427" t="s">
        <v>272</v>
      </c>
      <c r="B34" s="414" t="s">
        <v>273</v>
      </c>
      <c r="C34" s="415">
        <f>_xlfn.XLOOKUP(A34,INPUT_DATA!$CJ$4:$CJ$397,INPUT_DATA!$CL$4:$CL$397)</f>
        <v>175.70058402786211</v>
      </c>
    </row>
    <row r="35" spans="1:8" ht="15" thickBot="1" x14ac:dyDescent="0.4">
      <c r="A35" s="427" t="s">
        <v>274</v>
      </c>
      <c r="B35" s="414" t="s">
        <v>275</v>
      </c>
      <c r="C35" s="810">
        <f>_xlfn.XLOOKUP(A35,INPUT_DATA!$CJ$4:$CJ$397,INPUT_DATA!$CL$4:$CL$397)</f>
        <v>0.79077717588823737</v>
      </c>
    </row>
    <row r="36" spans="1:8" ht="15" thickBot="1" x14ac:dyDescent="0.4">
      <c r="A36" s="427" t="s">
        <v>276</v>
      </c>
      <c r="B36" s="414" t="s">
        <v>277</v>
      </c>
      <c r="C36" s="810">
        <f>_xlfn.XLOOKUP(A36,INPUT_DATA!$CJ$4:$CJ$397,INPUT_DATA!$CL$4:$CL$397)</f>
        <v>0.61381829314976211</v>
      </c>
    </row>
    <row r="37" spans="1:8" ht="15" thickBot="1" x14ac:dyDescent="0.4">
      <c r="A37" s="427" t="s">
        <v>278</v>
      </c>
      <c r="B37" s="414" t="s">
        <v>1248</v>
      </c>
      <c r="C37" s="810">
        <f>_xlfn.XLOOKUP(A37,INPUT_DATA!$CJ$4:$CJ$397,INPUT_DATA!$CL$4:$CL$397)</f>
        <v>0.46096446272599251</v>
      </c>
    </row>
    <row r="38" spans="1:8" ht="15" thickBot="1" x14ac:dyDescent="0.4">
      <c r="A38" s="427" t="s">
        <v>279</v>
      </c>
      <c r="B38" s="414" t="s">
        <v>282</v>
      </c>
      <c r="C38" s="810">
        <f>D163</f>
        <v>0.1468844062395227</v>
      </c>
    </row>
    <row r="39" spans="1:8" ht="15" thickBot="1" x14ac:dyDescent="0.4">
      <c r="A39" s="427" t="s">
        <v>280</v>
      </c>
      <c r="B39" s="414" t="s">
        <v>284</v>
      </c>
      <c r="C39" s="810">
        <f>D164</f>
        <v>4.2086479011770171E-2</v>
      </c>
    </row>
    <row r="40" spans="1:8" ht="15" thickBot="1" x14ac:dyDescent="0.4">
      <c r="A40" s="427" t="s">
        <v>281</v>
      </c>
      <c r="B40" s="414" t="s">
        <v>285</v>
      </c>
      <c r="C40" s="810">
        <f>D161</f>
        <v>9.9268875161226164E-2</v>
      </c>
    </row>
    <row r="41" spans="1:8" ht="15" thickBot="1" x14ac:dyDescent="0.4">
      <c r="A41" s="427" t="s">
        <v>283</v>
      </c>
      <c r="B41" s="414" t="s">
        <v>286</v>
      </c>
      <c r="C41" s="810">
        <f>D162</f>
        <v>0.71176023958748091</v>
      </c>
      <c r="F41" s="486"/>
      <c r="H41" s="487" t="s">
        <v>654</v>
      </c>
    </row>
    <row r="42" spans="1:8" x14ac:dyDescent="0.35">
      <c r="A42" s="427"/>
      <c r="B42" s="417"/>
      <c r="C42" s="418"/>
    </row>
    <row r="43" spans="1:8" x14ac:dyDescent="0.35">
      <c r="A43" s="427"/>
      <c r="B43" s="419" t="s">
        <v>287</v>
      </c>
      <c r="C43" s="420"/>
    </row>
    <row r="44" spans="1:8" x14ac:dyDescent="0.35">
      <c r="A44" s="427"/>
      <c r="B44" s="420"/>
      <c r="C44" s="420"/>
    </row>
    <row r="45" spans="1:8" ht="33" customHeight="1" x14ac:dyDescent="0.35">
      <c r="A45" s="427"/>
      <c r="B45" s="410" t="s">
        <v>288</v>
      </c>
      <c r="C45" s="410" t="s">
        <v>257</v>
      </c>
      <c r="D45" s="410" t="s">
        <v>289</v>
      </c>
      <c r="E45" s="410" t="s">
        <v>290</v>
      </c>
      <c r="F45" s="410" t="s">
        <v>291</v>
      </c>
      <c r="G45" s="421"/>
    </row>
    <row r="46" spans="1:8" x14ac:dyDescent="0.35">
      <c r="A46" s="428" t="s">
        <v>292</v>
      </c>
      <c r="B46" s="422" t="s">
        <v>1249</v>
      </c>
      <c r="C46" s="423">
        <f>_xlfn.XLOOKUP(A46,INPUT_DATA!$CJ$4:$CJ$397,INPUT_DATA!$CL$4:$CL$397)</f>
        <v>1412453.2600000007</v>
      </c>
      <c r="D46" s="424">
        <f>PrincipalOutstandingBalance[[#This Row],[Principal Outstanding Balance]]/PrincipalOutstandingBalance[[#Totals],[Principal Outstanding Balance]]</f>
        <v>2.0140865730536323E-3</v>
      </c>
      <c r="E46" s="425">
        <f>_xlfn.XLOOKUP(A46,INPUT_DATA!$CJ$4:$CJ$397,INPUT_DATA!$CM$4:$CM$397)</f>
        <v>294</v>
      </c>
      <c r="F46" s="424">
        <f>PrincipalOutstandingBalance[[#This Row],[Nb of Loans]]/PrincipalOutstandingBalance[[#Totals],[Nb of Loans]]</f>
        <v>7.9718004338394793E-2</v>
      </c>
    </row>
    <row r="47" spans="1:8" x14ac:dyDescent="0.35">
      <c r="A47" s="428" t="s">
        <v>293</v>
      </c>
      <c r="B47" s="422" t="s">
        <v>914</v>
      </c>
      <c r="C47" s="423">
        <f>_xlfn.XLOOKUP(A47,INPUT_DATA!$CJ$4:$CJ$397,INPUT_DATA!$CL$4:$CL$397)</f>
        <v>20286314.530000009</v>
      </c>
      <c r="D47" s="424">
        <f>PrincipalOutstandingBalance[[#This Row],[Principal Outstanding Balance]]/PrincipalOutstandingBalance[[#Totals],[Principal Outstanding Balance]]</f>
        <v>2.8927253643505207E-2</v>
      </c>
      <c r="E47" s="425">
        <f>_xlfn.XLOOKUP(A47,INPUT_DATA!$CJ$4:$CJ$397,INPUT_DATA!$CM$4:$CM$397)</f>
        <v>739</v>
      </c>
      <c r="F47" s="424">
        <f>PrincipalOutstandingBalance[[#This Row],[Nb of Loans]]/PrincipalOutstandingBalance[[#Totals],[Nb of Loans]]</f>
        <v>0.20037960954446854</v>
      </c>
    </row>
    <row r="48" spans="1:8" x14ac:dyDescent="0.35">
      <c r="A48" s="428" t="s">
        <v>294</v>
      </c>
      <c r="B48" s="422" t="s">
        <v>915</v>
      </c>
      <c r="C48" s="423">
        <f>_xlfn.XLOOKUP(A48,INPUT_DATA!$CJ$4:$CJ$397,INPUT_DATA!$CL$4:$CL$397)</f>
        <v>51676047.269999973</v>
      </c>
      <c r="D48" s="424">
        <f>PrincipalOutstandingBalance[[#This Row],[Principal Outstanding Balance]]/PrincipalOutstandingBalance[[#Totals],[Principal Outstanding Balance]]</f>
        <v>7.368741741938542E-2</v>
      </c>
      <c r="E48" s="425">
        <f>_xlfn.XLOOKUP(A48,INPUT_DATA!$CJ$4:$CJ$397,INPUT_DATA!$CM$4:$CM$397)</f>
        <v>693</v>
      </c>
      <c r="F48" s="424">
        <f>PrincipalOutstandingBalance[[#This Row],[Nb of Loans]]/PrincipalOutstandingBalance[[#Totals],[Nb of Loans]]</f>
        <v>0.18790672451193058</v>
      </c>
    </row>
    <row r="49" spans="1:8" x14ac:dyDescent="0.35">
      <c r="A49" s="428" t="s">
        <v>295</v>
      </c>
      <c r="B49" s="422" t="s">
        <v>916</v>
      </c>
      <c r="C49" s="423">
        <f>_xlfn.XLOOKUP(A49,INPUT_DATA!$CJ$4:$CJ$397,INPUT_DATA!$CL$4:$CL$397)</f>
        <v>193390971.26000011</v>
      </c>
      <c r="D49" s="424">
        <f>PrincipalOutstandingBalance[[#This Row],[Principal Outstanding Balance]]/PrincipalOutstandingBalance[[#Totals],[Principal Outstanding Balance]]</f>
        <v>0.27576569759523722</v>
      </c>
      <c r="E49" s="425">
        <f>_xlfn.XLOOKUP(A49,INPUT_DATA!$CJ$4:$CJ$397,INPUT_DATA!$CM$4:$CM$397)</f>
        <v>1183</v>
      </c>
      <c r="F49" s="424">
        <f>PrincipalOutstandingBalance[[#This Row],[Nb of Loans]]/PrincipalOutstandingBalance[[#Totals],[Nb of Loans]]</f>
        <v>0.32077006507592193</v>
      </c>
    </row>
    <row r="50" spans="1:8" x14ac:dyDescent="0.35">
      <c r="A50" s="428" t="s">
        <v>296</v>
      </c>
      <c r="B50" s="422" t="s">
        <v>917</v>
      </c>
      <c r="C50" s="423">
        <f>_xlfn.XLOOKUP(A50,INPUT_DATA!$CJ$4:$CJ$397,INPUT_DATA!$CL$4:$CL$397)</f>
        <v>169106648.28000015</v>
      </c>
      <c r="D50" s="424">
        <f>PrincipalOutstandingBalance[[#This Row],[Principal Outstanding Balance]]/PrincipalOutstandingBalance[[#Totals],[Principal Outstanding Balance]]</f>
        <v>0.2411374870661924</v>
      </c>
      <c r="E50" s="425">
        <f>_xlfn.XLOOKUP(A50,INPUT_DATA!$CJ$4:$CJ$397,INPUT_DATA!$CM$4:$CM$397)</f>
        <v>492</v>
      </c>
      <c r="F50" s="424">
        <f>PrincipalOutstandingBalance[[#This Row],[Nb of Loans]]/PrincipalOutstandingBalance[[#Totals],[Nb of Loans]]</f>
        <v>0.13340563991323209</v>
      </c>
    </row>
    <row r="51" spans="1:8" x14ac:dyDescent="0.35">
      <c r="A51" s="428" t="s">
        <v>297</v>
      </c>
      <c r="B51" s="422" t="s">
        <v>918</v>
      </c>
      <c r="C51" s="423">
        <f>_xlfn.XLOOKUP(A51,INPUT_DATA!$CJ$4:$CJ$397,INPUT_DATA!$CL$4:$CL$397)</f>
        <v>141467553.15000004</v>
      </c>
      <c r="D51" s="424">
        <f>PrincipalOutstandingBalance[[#This Row],[Principal Outstanding Balance]]/PrincipalOutstandingBalance[[#Totals],[Principal Outstanding Balance]]</f>
        <v>0.2017255419284926</v>
      </c>
      <c r="E51" s="425">
        <f>_xlfn.XLOOKUP(A51,INPUT_DATA!$CJ$4:$CJ$397,INPUT_DATA!$CM$4:$CM$397)</f>
        <v>208</v>
      </c>
      <c r="F51" s="424">
        <f>PrincipalOutstandingBalance[[#This Row],[Nb of Loans]]/PrincipalOutstandingBalance[[#Totals],[Nb of Loans]]</f>
        <v>5.6399132321041212E-2</v>
      </c>
    </row>
    <row r="52" spans="1:8" x14ac:dyDescent="0.35">
      <c r="A52" s="428" t="s">
        <v>298</v>
      </c>
      <c r="B52" s="422" t="s">
        <v>919</v>
      </c>
      <c r="C52" s="423">
        <f>_xlfn.XLOOKUP(A52,INPUT_DATA!$CJ$4:$CJ$397,INPUT_DATA!$CL$4:$CL$397)</f>
        <v>92078335.639999971</v>
      </c>
      <c r="D52" s="424">
        <f>PrincipalOutstandingBalance[[#This Row],[Principal Outstanding Balance]]/PrincipalOutstandingBalance[[#Totals],[Principal Outstanding Balance]]</f>
        <v>0.13129902753854636</v>
      </c>
      <c r="E52" s="425">
        <f>_xlfn.XLOOKUP(A52,INPUT_DATA!$CJ$4:$CJ$397,INPUT_DATA!$CM$4:$CM$397)</f>
        <v>68</v>
      </c>
      <c r="F52" s="424">
        <f>PrincipalOutstandingBalance[[#This Row],[Nb of Loans]]/PrincipalOutstandingBalance[[#Totals],[Nb of Loans]]</f>
        <v>1.843817787418655E-2</v>
      </c>
    </row>
    <row r="53" spans="1:8" x14ac:dyDescent="0.35">
      <c r="A53" s="428" t="s">
        <v>299</v>
      </c>
      <c r="B53" s="422" t="s">
        <v>1250</v>
      </c>
      <c r="C53" s="423">
        <f>_xlfn.XLOOKUP(A53,INPUT_DATA!$CJ$4:$CJ$397,INPUT_DATA!$CL$4:$CL$397)</f>
        <v>31868939.48</v>
      </c>
      <c r="D53" s="424">
        <f>PrincipalOutstandingBalance[[#This Row],[Principal Outstanding Balance]]/PrincipalOutstandingBalance[[#Totals],[Principal Outstanding Balance]]</f>
        <v>4.5443488235587193E-2</v>
      </c>
      <c r="E53" s="425">
        <f>_xlfn.XLOOKUP(A53,INPUT_DATA!$CJ$4:$CJ$397,INPUT_DATA!$CM$4:$CM$397)</f>
        <v>11</v>
      </c>
      <c r="F53" s="424">
        <f>PrincipalOutstandingBalance[[#This Row],[Nb of Loans]]/PrincipalOutstandingBalance[[#Totals],[Nb of Loans]]</f>
        <v>2.9826464208242949E-3</v>
      </c>
    </row>
    <row r="54" spans="1:8" x14ac:dyDescent="0.35">
      <c r="A54" s="427"/>
      <c r="B54" s="718" t="s">
        <v>2</v>
      </c>
      <c r="C54" s="805">
        <f>SUBTOTAL(109,PrincipalOutstandingBalance[Principal Outstanding Balance])</f>
        <v>701287262.87000024</v>
      </c>
      <c r="D54" s="806">
        <f>SUBTOTAL(109,PrincipalOutstandingBalance[% of Total (Amount)])</f>
        <v>1</v>
      </c>
      <c r="E54" s="807">
        <f>SUBTOTAL(109,PrincipalOutstandingBalance[Nb of Loans])</f>
        <v>3688</v>
      </c>
      <c r="F54" s="806">
        <f>SUBTOTAL(109,PrincipalOutstandingBalance[% of Total (Number)])</f>
        <v>0.99999999999999989</v>
      </c>
    </row>
    <row r="55" spans="1:8" x14ac:dyDescent="0.35">
      <c r="A55" s="427"/>
      <c r="B55" s="420"/>
      <c r="C55" s="426"/>
      <c r="H55" s="487" t="s">
        <v>654</v>
      </c>
    </row>
    <row r="56" spans="1:8" x14ac:dyDescent="0.35">
      <c r="A56" s="427"/>
      <c r="B56" s="420" t="s">
        <v>300</v>
      </c>
      <c r="C56" s="420"/>
    </row>
    <row r="57" spans="1:8" x14ac:dyDescent="0.35">
      <c r="A57" s="427"/>
      <c r="B57" s="420"/>
      <c r="C57" s="420"/>
    </row>
    <row r="58" spans="1:8" ht="33" customHeight="1" x14ac:dyDescent="0.35">
      <c r="A58" s="427"/>
      <c r="B58" s="410" t="s">
        <v>301</v>
      </c>
      <c r="C58" s="410" t="s">
        <v>257</v>
      </c>
      <c r="D58" s="410" t="s">
        <v>289</v>
      </c>
      <c r="E58" s="410" t="s">
        <v>290</v>
      </c>
      <c r="F58" s="410" t="s">
        <v>291</v>
      </c>
      <c r="G58" s="410" t="s">
        <v>1374</v>
      </c>
    </row>
    <row r="59" spans="1:8" x14ac:dyDescent="0.35">
      <c r="A59" s="427" t="s">
        <v>302</v>
      </c>
      <c r="B59" s="422" t="s">
        <v>1249</v>
      </c>
      <c r="C59" s="423">
        <f>_xlfn.XLOOKUP(A59,INPUT_DATA!$CJ$4:$CJ$397,INPUT_DATA!$CL$4:$CL$397)</f>
        <v>0</v>
      </c>
      <c r="D59" s="424">
        <f>PrincipalOOriginalBalance6[[#This Row],[Principal Outstanding Balance]]/PrincipalOOriginalBalance6[[#Totals],[Principal Outstanding Balance]]</f>
        <v>0</v>
      </c>
      <c r="E59" s="425">
        <f>_xlfn.XLOOKUP(A59,INPUT_DATA!$CJ$4:$CJ$397,INPUT_DATA!$CM$4:$CM$397)</f>
        <v>0</v>
      </c>
      <c r="F59" s="424">
        <f>PrincipalOOriginalBalance6[[#This Row],[Nb of Loans]]/PrincipalOOriginalBalance6[[#Totals],[Nb of Loans]]</f>
        <v>0</v>
      </c>
      <c r="G59" s="423">
        <f>_xlfn.XLOOKUP(A59,INPUT_DATA!$CJ$4:$CJ$397,INPUT_DATA!$CN$4:$CN$397)</f>
        <v>0</v>
      </c>
    </row>
    <row r="60" spans="1:8" x14ac:dyDescent="0.35">
      <c r="A60" s="427" t="s">
        <v>303</v>
      </c>
      <c r="B60" s="422" t="s">
        <v>914</v>
      </c>
      <c r="C60" s="423">
        <f>_xlfn.XLOOKUP(A60,INPUT_DATA!$CJ$4:$CJ$397,INPUT_DATA!$CL$4:$CL$397)</f>
        <v>1064272.7199999997</v>
      </c>
      <c r="D60" s="424">
        <f>PrincipalOOriginalBalance6[[#This Row],[Principal Outstanding Balance]]/PrincipalOOriginalBalance6[[#Totals],[Principal Outstanding Balance]]</f>
        <v>1.5175988162746483E-3</v>
      </c>
      <c r="E60" s="425">
        <f>_xlfn.XLOOKUP(A60,INPUT_DATA!$CJ$4:$CJ$397,INPUT_DATA!$CM$4:$CM$397)</f>
        <v>79</v>
      </c>
      <c r="F60" s="424">
        <f>PrincipalOOriginalBalance6[[#This Row],[Nb of Loans]]/PrincipalOOriginalBalance6[[#Totals],[Nb of Loans]]</f>
        <v>2.1420824295010847E-2</v>
      </c>
      <c r="G60" s="423">
        <f>_xlfn.XLOOKUP(A60,INPUT_DATA!$CJ$4:$CJ$397,INPUT_DATA!$CN$4:$CN$397)</f>
        <v>3188312.81</v>
      </c>
    </row>
    <row r="61" spans="1:8" x14ac:dyDescent="0.35">
      <c r="A61" s="427" t="s">
        <v>304</v>
      </c>
      <c r="B61" s="422" t="s">
        <v>915</v>
      </c>
      <c r="C61" s="423">
        <f>_xlfn.XLOOKUP(A61,INPUT_DATA!$CJ$4:$CJ$397,INPUT_DATA!$CL$4:$CL$397)</f>
        <v>13331019.349999996</v>
      </c>
      <c r="D61" s="424">
        <f>PrincipalOOriginalBalance6[[#This Row],[Principal Outstanding Balance]]/PrincipalOOriginalBalance6[[#Totals],[Principal Outstanding Balance]]</f>
        <v>1.9009356159476146E-2</v>
      </c>
      <c r="E61" s="425">
        <f>_xlfn.XLOOKUP(A61,INPUT_DATA!$CJ$4:$CJ$397,INPUT_DATA!$CM$4:$CM$397)</f>
        <v>355</v>
      </c>
      <c r="F61" s="424">
        <f>PrincipalOOriginalBalance6[[#This Row],[Nb of Loans]]/PrincipalOOriginalBalance6[[#Totals],[Nb of Loans]]</f>
        <v>9.6258134490238609E-2</v>
      </c>
      <c r="G61" s="423">
        <f>_xlfn.XLOOKUP(A61,INPUT_DATA!$CJ$4:$CJ$397,INPUT_DATA!$CN$4:$CN$397)</f>
        <v>29541078.02</v>
      </c>
    </row>
    <row r="62" spans="1:8" x14ac:dyDescent="0.35">
      <c r="A62" s="427" t="s">
        <v>305</v>
      </c>
      <c r="B62" s="422" t="s">
        <v>916</v>
      </c>
      <c r="C62" s="423">
        <f>_xlfn.XLOOKUP(A62,INPUT_DATA!$CJ$4:$CJ$397,INPUT_DATA!$CL$4:$CL$397)</f>
        <v>163522912.38999987</v>
      </c>
      <c r="D62" s="424">
        <f>PrincipalOOriginalBalance6[[#This Row],[Principal Outstanding Balance]]/PrincipalOOriginalBalance6[[#Totals],[Principal Outstanding Balance]]</f>
        <v>0.23317536343207865</v>
      </c>
      <c r="E62" s="425">
        <f>_xlfn.XLOOKUP(A62,INPUT_DATA!$CJ$4:$CJ$397,INPUT_DATA!$CM$4:$CM$397)</f>
        <v>1779</v>
      </c>
      <c r="F62" s="424">
        <f>PrincipalOOriginalBalance6[[#This Row],[Nb of Loans]]/PrincipalOOriginalBalance6[[#Totals],[Nb of Loans]]</f>
        <v>0.4823752711496746</v>
      </c>
      <c r="G62" s="423">
        <f>_xlfn.XLOOKUP(A62,INPUT_DATA!$CJ$4:$CJ$397,INPUT_DATA!$CN$4:$CN$397)</f>
        <v>313736222.59000003</v>
      </c>
    </row>
    <row r="63" spans="1:8" x14ac:dyDescent="0.35">
      <c r="A63" s="427" t="s">
        <v>306</v>
      </c>
      <c r="B63" s="422" t="s">
        <v>917</v>
      </c>
      <c r="C63" s="423">
        <f>_xlfn.XLOOKUP(A63,INPUT_DATA!$CJ$4:$CJ$397,INPUT_DATA!$CL$4:$CL$397)</f>
        <v>211293462.2899999</v>
      </c>
      <c r="D63" s="424">
        <f>PrincipalOOriginalBalance6[[#This Row],[Principal Outstanding Balance]]/PrincipalOOriginalBalance6[[#Totals],[Principal Outstanding Balance]]</f>
        <v>0.30129374006492993</v>
      </c>
      <c r="E63" s="425">
        <f>_xlfn.XLOOKUP(A63,INPUT_DATA!$CJ$4:$CJ$397,INPUT_DATA!$CM$4:$CM$397)</f>
        <v>1044</v>
      </c>
      <c r="F63" s="424">
        <f>PrincipalOOriginalBalance6[[#This Row],[Nb of Loans]]/PrincipalOOriginalBalance6[[#Totals],[Nb of Loans]]</f>
        <v>0.28308026030368766</v>
      </c>
      <c r="G63" s="423">
        <f>_xlfn.XLOOKUP(A63,INPUT_DATA!$CJ$4:$CJ$397,INPUT_DATA!$CN$4:$CN$397)</f>
        <v>357774028.62999988</v>
      </c>
    </row>
    <row r="64" spans="1:8" x14ac:dyDescent="0.35">
      <c r="A64" s="427" t="s">
        <v>307</v>
      </c>
      <c r="B64" s="422" t="s">
        <v>918</v>
      </c>
      <c r="C64" s="423">
        <f>_xlfn.XLOOKUP(A64,INPUT_DATA!$CJ$4:$CJ$397,INPUT_DATA!$CL$4:$CL$397)</f>
        <v>158902516.38999996</v>
      </c>
      <c r="D64" s="424">
        <f>PrincipalOOriginalBalance6[[#This Row],[Principal Outstanding Balance]]/PrincipalOOriginalBalance6[[#Totals],[Principal Outstanding Balance]]</f>
        <v>0.226586913527697</v>
      </c>
      <c r="E64" s="425">
        <f>_xlfn.XLOOKUP(A64,INPUT_DATA!$CJ$4:$CJ$397,INPUT_DATA!$CM$4:$CM$397)</f>
        <v>312</v>
      </c>
      <c r="F64" s="424">
        <f>PrincipalOOriginalBalance6[[#This Row],[Nb of Loans]]/PrincipalOOriginalBalance6[[#Totals],[Nb of Loans]]</f>
        <v>8.4598698481561818E-2</v>
      </c>
      <c r="G64" s="423">
        <f>_xlfn.XLOOKUP(A64,INPUT_DATA!$CJ$4:$CJ$397,INPUT_DATA!$CN$4:$CN$397)</f>
        <v>215876050.31999996</v>
      </c>
    </row>
    <row r="65" spans="1:8" x14ac:dyDescent="0.35">
      <c r="A65" s="427" t="s">
        <v>308</v>
      </c>
      <c r="B65" s="422" t="s">
        <v>919</v>
      </c>
      <c r="C65" s="423">
        <f>_xlfn.XLOOKUP(A65,INPUT_DATA!$CJ$4:$CJ$397,INPUT_DATA!$CL$4:$CL$397)</f>
        <v>108321451.63999997</v>
      </c>
      <c r="D65" s="424">
        <f>PrincipalOOriginalBalance6[[#This Row],[Principal Outstanding Balance]]/PrincipalOOriginalBalance6[[#Totals],[Principal Outstanding Balance]]</f>
        <v>0.1544608855388265</v>
      </c>
      <c r="E65" s="425">
        <f>_xlfn.XLOOKUP(A65,INPUT_DATA!$CJ$4:$CJ$397,INPUT_DATA!$CM$4:$CM$397)</f>
        <v>99</v>
      </c>
      <c r="F65" s="424">
        <f>PrincipalOOriginalBalance6[[#This Row],[Nb of Loans]]/PrincipalOOriginalBalance6[[#Totals],[Nb of Loans]]</f>
        <v>2.6843817787418654E-2</v>
      </c>
      <c r="G65" s="423">
        <f>_xlfn.XLOOKUP(A65,INPUT_DATA!$CJ$4:$CJ$397,INPUT_DATA!$CN$4:$CN$397)</f>
        <v>136794754.80000001</v>
      </c>
    </row>
    <row r="66" spans="1:8" x14ac:dyDescent="0.35">
      <c r="A66" s="427" t="s">
        <v>309</v>
      </c>
      <c r="B66" s="422" t="s">
        <v>1250</v>
      </c>
      <c r="C66" s="423">
        <f>_xlfn.XLOOKUP(A66,INPUT_DATA!$CJ$4:$CJ$397,INPUT_DATA!$CL$4:$CL$397)</f>
        <v>44851628.089999996</v>
      </c>
      <c r="D66" s="424">
        <f>PrincipalOOriginalBalance6[[#This Row],[Principal Outstanding Balance]]/PrincipalOOriginalBalance6[[#Totals],[Principal Outstanding Balance]]</f>
        <v>6.3956142460717E-2</v>
      </c>
      <c r="E66" s="425">
        <f>_xlfn.XLOOKUP(A66,INPUT_DATA!$CJ$4:$CJ$397,INPUT_DATA!$CM$4:$CM$397)</f>
        <v>20</v>
      </c>
      <c r="F66" s="424">
        <f>PrincipalOOriginalBalance6[[#This Row],[Nb of Loans]]/PrincipalOOriginalBalance6[[#Totals],[Nb of Loans]]</f>
        <v>5.4229934924078091E-3</v>
      </c>
      <c r="G66" s="423">
        <f>_xlfn.XLOOKUP(A66,INPUT_DATA!$CJ$4:$CJ$397,INPUT_DATA!$CN$4:$CN$397)</f>
        <v>59157000</v>
      </c>
    </row>
    <row r="67" spans="1:8" x14ac:dyDescent="0.35">
      <c r="A67" s="427"/>
      <c r="B67" s="718" t="s">
        <v>2</v>
      </c>
      <c r="C67" s="805">
        <f>SUBTOTAL(109,PrincipalOOriginalBalance6[Principal Outstanding Balance])</f>
        <v>701287262.86999977</v>
      </c>
      <c r="D67" s="806">
        <f>SUBTOTAL(109,PrincipalOOriginalBalance6[% of Total (Amount)])</f>
        <v>0.99999999999999989</v>
      </c>
      <c r="E67" s="807">
        <f>SUBTOTAL(109,PrincipalOOriginalBalance6[Nb of Loans])</f>
        <v>3688</v>
      </c>
      <c r="F67" s="806">
        <f>SUBTOTAL(109,PrincipalOOriginalBalance6[% of Total (Number)])</f>
        <v>1</v>
      </c>
      <c r="G67" s="805">
        <f>SUBTOTAL(109,PrincipalOOriginalBalance6[Principal Original Balance])</f>
        <v>1116067447.1699998</v>
      </c>
    </row>
    <row r="68" spans="1:8" x14ac:dyDescent="0.35">
      <c r="A68" s="427"/>
      <c r="B68" s="422"/>
      <c r="C68" s="423"/>
      <c r="D68" s="424"/>
      <c r="E68" s="425"/>
      <c r="F68" s="424"/>
      <c r="H68" s="487" t="s">
        <v>654</v>
      </c>
    </row>
    <row r="69" spans="1:8" x14ac:dyDescent="0.35">
      <c r="A69" s="427"/>
      <c r="B69" s="420" t="s">
        <v>310</v>
      </c>
      <c r="C69" s="420"/>
    </row>
    <row r="70" spans="1:8" x14ac:dyDescent="0.35">
      <c r="A70" s="427"/>
      <c r="B70" s="420"/>
      <c r="C70" s="420"/>
    </row>
    <row r="71" spans="1:8" ht="33" customHeight="1" x14ac:dyDescent="0.35">
      <c r="A71" s="427"/>
      <c r="B71" s="410" t="s">
        <v>311</v>
      </c>
      <c r="C71" s="410" t="s">
        <v>257</v>
      </c>
      <c r="D71" s="410" t="s">
        <v>289</v>
      </c>
      <c r="E71" s="410" t="s">
        <v>290</v>
      </c>
      <c r="F71" s="410" t="s">
        <v>291</v>
      </c>
      <c r="G71" s="421"/>
    </row>
    <row r="72" spans="1:8" x14ac:dyDescent="0.35">
      <c r="A72" s="428" t="s">
        <v>312</v>
      </c>
      <c r="B72" s="718" t="s">
        <v>1251</v>
      </c>
      <c r="C72" s="423">
        <f>_xlfn.XLOOKUP(A72,INPUT_DATA!$CJ$4:$CJ$397,INPUT_DATA!$CL$4:$CL$397)</f>
        <v>44753196.319999985</v>
      </c>
      <c r="D72" s="424">
        <f>Seasonning[[#This Row],[Principal Outstanding Balance]]/Seasonning[[#Totals],[Principal Outstanding Balance]]</f>
        <v>6.3815783758639388E-2</v>
      </c>
      <c r="E72" s="425">
        <f>_xlfn.XLOOKUP(A72,INPUT_DATA!$CJ$4:$CJ$397,INPUT_DATA!$CM$4:$CM$397)</f>
        <v>130</v>
      </c>
      <c r="F72" s="424">
        <f>Seasonning[[#This Row],[Nb of Loans]]/Seasonning[[#Totals],[Nb of Loans]]</f>
        <v>3.5249457700650758E-2</v>
      </c>
    </row>
    <row r="73" spans="1:8" x14ac:dyDescent="0.35">
      <c r="A73" s="428" t="s">
        <v>313</v>
      </c>
      <c r="B73" s="718" t="s">
        <v>922</v>
      </c>
      <c r="C73" s="423">
        <f>_xlfn.XLOOKUP(A73,INPUT_DATA!$CJ$4:$CJ$397,INPUT_DATA!$CL$4:$CL$397)</f>
        <v>448198565.65999949</v>
      </c>
      <c r="D73" s="424">
        <f>Seasonning[[#This Row],[Principal Outstanding Balance]]/Seasonning[[#Totals],[Principal Outstanding Balance]]</f>
        <v>0.63910837882005544</v>
      </c>
      <c r="E73" s="425">
        <f>_xlfn.XLOOKUP(A73,INPUT_DATA!$CJ$4:$CJ$397,INPUT_DATA!$CM$4:$CM$397)</f>
        <v>1392</v>
      </c>
      <c r="F73" s="424">
        <f>Seasonning[[#This Row],[Nb of Loans]]/Seasonning[[#Totals],[Nb of Loans]]</f>
        <v>0.37744034707158353</v>
      </c>
    </row>
    <row r="74" spans="1:8" x14ac:dyDescent="0.35">
      <c r="A74" s="428" t="s">
        <v>314</v>
      </c>
      <c r="B74" s="718" t="s">
        <v>923</v>
      </c>
      <c r="C74" s="423">
        <f>_xlfn.XLOOKUP(A74,INPUT_DATA!$CJ$4:$CJ$397,INPUT_DATA!$CL$4:$CL$397)</f>
        <v>122593764.34000011</v>
      </c>
      <c r="D74" s="424">
        <f>Seasonning[[#This Row],[Principal Outstanding Balance]]/Seasonning[[#Totals],[Principal Outstanding Balance]]</f>
        <v>0.17481247818231915</v>
      </c>
      <c r="E74" s="425">
        <f>_xlfn.XLOOKUP(A74,INPUT_DATA!$CJ$4:$CJ$397,INPUT_DATA!$CM$4:$CM$397)</f>
        <v>744</v>
      </c>
      <c r="F74" s="424">
        <f>Seasonning[[#This Row],[Nb of Loans]]/Seasonning[[#Totals],[Nb of Loans]]</f>
        <v>0.2017353579175705</v>
      </c>
    </row>
    <row r="75" spans="1:8" x14ac:dyDescent="0.35">
      <c r="A75" s="428" t="s">
        <v>315</v>
      </c>
      <c r="B75" s="718" t="s">
        <v>924</v>
      </c>
      <c r="C75" s="423">
        <f>_xlfn.XLOOKUP(A75,INPUT_DATA!$CJ$4:$CJ$397,INPUT_DATA!$CL$4:$CL$397)</f>
        <v>53535879.389999986</v>
      </c>
      <c r="D75" s="424">
        <f>Seasonning[[#This Row],[Principal Outstanding Balance]]/Seasonning[[#Totals],[Principal Outstanding Balance]]</f>
        <v>7.6339443512642477E-2</v>
      </c>
      <c r="E75" s="425">
        <f>_xlfn.XLOOKUP(A75,INPUT_DATA!$CJ$4:$CJ$397,INPUT_DATA!$CM$4:$CM$397)</f>
        <v>603</v>
      </c>
      <c r="F75" s="424">
        <f>Seasonning[[#This Row],[Nb of Loans]]/Seasonning[[#Totals],[Nb of Loans]]</f>
        <v>0.16350325379609545</v>
      </c>
    </row>
    <row r="76" spans="1:8" x14ac:dyDescent="0.35">
      <c r="A76" s="428" t="s">
        <v>316</v>
      </c>
      <c r="B76" s="718" t="s">
        <v>925</v>
      </c>
      <c r="C76" s="423">
        <f>_xlfn.XLOOKUP(A76,INPUT_DATA!$CJ$4:$CJ$397,INPUT_DATA!$CL$4:$CL$397)</f>
        <v>32205857.16</v>
      </c>
      <c r="D76" s="424">
        <f>Seasonning[[#This Row],[Principal Outstanding Balance]]/Seasonning[[#Totals],[Principal Outstanding Balance]]</f>
        <v>4.5923915726343557E-2</v>
      </c>
      <c r="E76" s="425">
        <f>_xlfn.XLOOKUP(A76,INPUT_DATA!$CJ$4:$CJ$397,INPUT_DATA!$CM$4:$CM$397)</f>
        <v>819</v>
      </c>
      <c r="F76" s="424">
        <f>Seasonning[[#This Row],[Nb of Loans]]/Seasonning[[#Totals],[Nb of Loans]]</f>
        <v>0.22207158351409978</v>
      </c>
    </row>
    <row r="77" spans="1:8" x14ac:dyDescent="0.35">
      <c r="A77" s="428" t="s">
        <v>317</v>
      </c>
      <c r="B77" s="718" t="s">
        <v>1252</v>
      </c>
      <c r="C77" s="423">
        <f>_xlfn.XLOOKUP(A77,INPUT_DATA!$CJ$4:$CJ$397,INPUT_DATA!$CL$4:$CL$397)</f>
        <v>0</v>
      </c>
      <c r="D77" s="424">
        <f>Seasonning[[#This Row],[Principal Outstanding Balance]]/Seasonning[[#Totals],[Principal Outstanding Balance]]</f>
        <v>0</v>
      </c>
      <c r="E77" s="425">
        <f>_xlfn.XLOOKUP(A77,INPUT_DATA!$CJ$4:$CJ$397,INPUT_DATA!$CM$4:$CM$397)</f>
        <v>0</v>
      </c>
      <c r="F77" s="424">
        <f>Seasonning[[#This Row],[Nb of Loans]]/Seasonning[[#Totals],[Nb of Loans]]</f>
        <v>0</v>
      </c>
    </row>
    <row r="78" spans="1:8" x14ac:dyDescent="0.35">
      <c r="A78" s="427"/>
      <c r="B78" s="718" t="s">
        <v>2</v>
      </c>
      <c r="C78" s="805">
        <f>SUBTOTAL(109,Seasonning[Principal Outstanding Balance])</f>
        <v>701287262.86999953</v>
      </c>
      <c r="D78" s="806">
        <f>SUBTOTAL(109,Seasonning[% of Total (Amount)])</f>
        <v>1</v>
      </c>
      <c r="E78" s="807">
        <f>SUBTOTAL(109,Seasonning[Nb of Loans])</f>
        <v>3688</v>
      </c>
      <c r="F78" s="806">
        <f>SUBTOTAL(109,Seasonning[% of Total (Number)])</f>
        <v>1</v>
      </c>
    </row>
    <row r="79" spans="1:8" x14ac:dyDescent="0.35">
      <c r="A79" s="427"/>
      <c r="B79" s="422"/>
      <c r="C79" s="423"/>
      <c r="D79" s="424"/>
      <c r="E79" s="425"/>
      <c r="F79" s="424"/>
      <c r="H79" s="487" t="s">
        <v>654</v>
      </c>
    </row>
    <row r="80" spans="1:8" ht="15" customHeight="1" x14ac:dyDescent="0.35">
      <c r="A80" s="427"/>
      <c r="B80" s="420" t="s">
        <v>318</v>
      </c>
      <c r="C80" s="420"/>
    </row>
    <row r="81" spans="1:8" ht="15" customHeight="1" x14ac:dyDescent="0.35">
      <c r="A81" s="427"/>
      <c r="B81" s="420"/>
      <c r="C81" s="420"/>
    </row>
    <row r="82" spans="1:8" ht="33" customHeight="1" x14ac:dyDescent="0.35">
      <c r="A82" s="427"/>
      <c r="B82" s="410" t="s">
        <v>319</v>
      </c>
      <c r="C82" s="410" t="s">
        <v>257</v>
      </c>
      <c r="D82" s="410" t="s">
        <v>289</v>
      </c>
      <c r="E82" s="410" t="s">
        <v>290</v>
      </c>
      <c r="F82" s="410" t="s">
        <v>291</v>
      </c>
      <c r="G82" s="421"/>
    </row>
    <row r="83" spans="1:8" x14ac:dyDescent="0.35">
      <c r="A83" s="427" t="s">
        <v>320</v>
      </c>
      <c r="B83" s="718" t="s">
        <v>1251</v>
      </c>
      <c r="C83" s="423">
        <f>_xlfn.XLOOKUP(A83,INPUT_DATA!$CJ$4:$CJ$397,INPUT_DATA!$CL$4:$CL$397)</f>
        <v>5445795.5099999998</v>
      </c>
      <c r="D83" s="424">
        <f>RemainingTermToMaturity[[#This Row],[Principal Outstanding Balance]]/RemainingTermToMaturity[[#Totals],[Principal Outstanding Balance]]</f>
        <v>7.7654276618588829E-3</v>
      </c>
      <c r="E83" s="425">
        <f>_xlfn.XLOOKUP(A83,INPUT_DATA!$CJ$4:$CJ$397,INPUT_DATA!$CM$4:$CM$397)</f>
        <v>274</v>
      </c>
      <c r="F83" s="424">
        <f>RemainingTermToMaturity[[#This Row],[Nb of Loans]]/RemainingTermToMaturity[[#Totals],[Nb of Loans]]</f>
        <v>7.4295010845986983E-2</v>
      </c>
    </row>
    <row r="84" spans="1:8" x14ac:dyDescent="0.35">
      <c r="A84" s="427" t="s">
        <v>321</v>
      </c>
      <c r="B84" s="718" t="s">
        <v>922</v>
      </c>
      <c r="C84" s="423">
        <f>_xlfn.XLOOKUP(A84,INPUT_DATA!$CJ$4:$CJ$397,INPUT_DATA!$CL$4:$CL$397)</f>
        <v>38903262.739999928</v>
      </c>
      <c r="D84" s="424">
        <f>RemainingTermToMaturity[[#This Row],[Principal Outstanding Balance]]/RemainingTermToMaturity[[#Totals],[Principal Outstanding Balance]]</f>
        <v>5.5474075745778312E-2</v>
      </c>
      <c r="E84" s="425">
        <f>_xlfn.XLOOKUP(A84,INPUT_DATA!$CJ$4:$CJ$397,INPUT_DATA!$CM$4:$CM$397)</f>
        <v>826</v>
      </c>
      <c r="F84" s="424">
        <f>RemainingTermToMaturity[[#This Row],[Nb of Loans]]/RemainingTermToMaturity[[#Totals],[Nb of Loans]]</f>
        <v>0.22396963123644251</v>
      </c>
    </row>
    <row r="85" spans="1:8" x14ac:dyDescent="0.35">
      <c r="A85" s="427" t="s">
        <v>322</v>
      </c>
      <c r="B85" s="718" t="s">
        <v>923</v>
      </c>
      <c r="C85" s="423">
        <f>_xlfn.XLOOKUP(A85,INPUT_DATA!$CJ$4:$CJ$397,INPUT_DATA!$CL$4:$CL$397)</f>
        <v>108551538.94000007</v>
      </c>
      <c r="D85" s="424">
        <f>RemainingTermToMaturity[[#This Row],[Principal Outstanding Balance]]/RemainingTermToMaturity[[#Totals],[Principal Outstanding Balance]]</f>
        <v>0.15478897833643193</v>
      </c>
      <c r="E85" s="425">
        <f>_xlfn.XLOOKUP(A85,INPUT_DATA!$CJ$4:$CJ$397,INPUT_DATA!$CM$4:$CM$397)</f>
        <v>864</v>
      </c>
      <c r="F85" s="424">
        <f>RemainingTermToMaturity[[#This Row],[Nb of Loans]]/RemainingTermToMaturity[[#Totals],[Nb of Loans]]</f>
        <v>0.23427331887201736</v>
      </c>
    </row>
    <row r="86" spans="1:8" x14ac:dyDescent="0.35">
      <c r="A86" s="427" t="s">
        <v>323</v>
      </c>
      <c r="B86" s="718" t="s">
        <v>924</v>
      </c>
      <c r="C86" s="423">
        <f>_xlfn.XLOOKUP(A86,INPUT_DATA!$CJ$4:$CJ$397,INPUT_DATA!$CL$4:$CL$397)</f>
        <v>169129956.03</v>
      </c>
      <c r="D86" s="424">
        <f>RemainingTermToMaturity[[#This Row],[Principal Outstanding Balance]]/RemainingTermToMaturity[[#Totals],[Principal Outstanding Balance]]</f>
        <v>0.24117072273327769</v>
      </c>
      <c r="E86" s="425">
        <f>_xlfn.XLOOKUP(A86,INPUT_DATA!$CJ$4:$CJ$397,INPUT_DATA!$CM$4:$CM$397)</f>
        <v>697</v>
      </c>
      <c r="F86" s="424">
        <f>RemainingTermToMaturity[[#This Row],[Nb of Loans]]/RemainingTermToMaturity[[#Totals],[Nb of Loans]]</f>
        <v>0.18899132321041215</v>
      </c>
    </row>
    <row r="87" spans="1:8" x14ac:dyDescent="0.35">
      <c r="A87" s="427" t="s">
        <v>324</v>
      </c>
      <c r="B87" s="718" t="s">
        <v>925</v>
      </c>
      <c r="C87" s="423">
        <f>_xlfn.XLOOKUP(A87,INPUT_DATA!$CJ$4:$CJ$397,INPUT_DATA!$CL$4:$CL$397)</f>
        <v>262806611.06999987</v>
      </c>
      <c r="D87" s="424">
        <f>RemainingTermToMaturity[[#This Row],[Principal Outstanding Balance]]/RemainingTermToMaturity[[#Totals],[Principal Outstanding Balance]]</f>
        <v>0.37474887251548045</v>
      </c>
      <c r="E87" s="425">
        <f>_xlfn.XLOOKUP(A87,INPUT_DATA!$CJ$4:$CJ$397,INPUT_DATA!$CM$4:$CM$397)</f>
        <v>803</v>
      </c>
      <c r="F87" s="424">
        <f>RemainingTermToMaturity[[#This Row],[Nb of Loans]]/RemainingTermToMaturity[[#Totals],[Nb of Loans]]</f>
        <v>0.21773318872017353</v>
      </c>
    </row>
    <row r="88" spans="1:8" x14ac:dyDescent="0.35">
      <c r="A88" s="427" t="s">
        <v>325</v>
      </c>
      <c r="B88" s="718" t="s">
        <v>1252</v>
      </c>
      <c r="C88" s="423">
        <f>_xlfn.XLOOKUP(A88,INPUT_DATA!$CJ$4:$CJ$397,INPUT_DATA!$CL$4:$CL$397)</f>
        <v>116450098.58000004</v>
      </c>
      <c r="D88" s="424">
        <f>RemainingTermToMaturity[[#This Row],[Principal Outstanding Balance]]/RemainingTermToMaturity[[#Totals],[Principal Outstanding Balance]]</f>
        <v>0.16605192300717259</v>
      </c>
      <c r="E88" s="425">
        <f>_xlfn.XLOOKUP(A88,INPUT_DATA!$CJ$4:$CJ$397,INPUT_DATA!$CM$4:$CM$397)</f>
        <v>224</v>
      </c>
      <c r="F88" s="424">
        <f>RemainingTermToMaturity[[#This Row],[Nb of Loans]]/RemainingTermToMaturity[[#Totals],[Nb of Loans]]</f>
        <v>6.0737527114967459E-2</v>
      </c>
    </row>
    <row r="89" spans="1:8" x14ac:dyDescent="0.35">
      <c r="A89" s="427"/>
      <c r="B89" s="718" t="s">
        <v>2</v>
      </c>
      <c r="C89" s="805">
        <f>SUBTOTAL(109,RemainingTermToMaturity[Principal Outstanding Balance])</f>
        <v>701287262.87</v>
      </c>
      <c r="D89" s="806">
        <f>SUBTOTAL(109,RemainingTermToMaturity[% of Total (Amount)])</f>
        <v>1</v>
      </c>
      <c r="E89" s="807">
        <f>SUBTOTAL(109,RemainingTermToMaturity[Nb of Loans])</f>
        <v>3688</v>
      </c>
      <c r="F89" s="806">
        <f>SUBTOTAL(109,RemainingTermToMaturity[% of Total (Number)])</f>
        <v>1</v>
      </c>
    </row>
    <row r="90" spans="1:8" ht="14.5" customHeight="1" x14ac:dyDescent="0.35">
      <c r="A90" s="427"/>
      <c r="B90" s="422"/>
      <c r="C90" s="423"/>
      <c r="D90" s="424"/>
      <c r="E90" s="425"/>
      <c r="F90" s="424"/>
      <c r="H90" s="487" t="s">
        <v>654</v>
      </c>
    </row>
    <row r="91" spans="1:8" x14ac:dyDescent="0.35">
      <c r="A91" s="427"/>
      <c r="B91" s="420" t="s">
        <v>1253</v>
      </c>
      <c r="C91" s="420"/>
    </row>
    <row r="92" spans="1:8" ht="15" customHeight="1" x14ac:dyDescent="0.35">
      <c r="A92" s="427"/>
      <c r="B92" s="420"/>
      <c r="C92" s="420"/>
    </row>
    <row r="93" spans="1:8" ht="33" customHeight="1" x14ac:dyDescent="0.35">
      <c r="A93" s="427"/>
      <c r="B93" s="410" t="s">
        <v>550</v>
      </c>
      <c r="C93" s="410" t="s">
        <v>257</v>
      </c>
      <c r="D93" s="410" t="s">
        <v>289</v>
      </c>
      <c r="E93" s="410" t="s">
        <v>290</v>
      </c>
      <c r="F93" s="410" t="s">
        <v>291</v>
      </c>
      <c r="G93" s="421"/>
    </row>
    <row r="94" spans="1:8" x14ac:dyDescent="0.35">
      <c r="A94" s="427" t="s">
        <v>327</v>
      </c>
      <c r="B94" s="718" t="s">
        <v>1251</v>
      </c>
      <c r="C94" s="423">
        <f>_xlfn.XLOOKUP(A94,INPUT_DATA!$CJ$4:$CJ$397,INPUT_DATA!$CL$4:$CL$397)</f>
        <v>0</v>
      </c>
      <c r="D94" s="424">
        <f>OriginalTermToMaturity29[[#This Row],[Principal Outstanding Balance]]/OriginalTermToMaturity29[[#Totals],[Principal Outstanding Balance]]</f>
        <v>0</v>
      </c>
      <c r="E94" s="425">
        <f>_xlfn.XLOOKUP(A94,INPUT_DATA!$CJ$4:$CJ$397,INPUT_DATA!$CM$4:$CM$397)</f>
        <v>0</v>
      </c>
      <c r="F94" s="424">
        <f>OriginalTermToMaturity29[[#This Row],[Nb of Loans]]/OriginalTermToMaturity29[[#Totals],[Nb of Loans]]</f>
        <v>0</v>
      </c>
    </row>
    <row r="95" spans="1:8" x14ac:dyDescent="0.35">
      <c r="A95" s="427" t="s">
        <v>328</v>
      </c>
      <c r="B95" s="718" t="s">
        <v>922</v>
      </c>
      <c r="C95" s="423">
        <f>_xlfn.XLOOKUP(A95,INPUT_DATA!$CJ$4:$CJ$397,INPUT_DATA!$CL$4:$CL$397)</f>
        <v>726262.71</v>
      </c>
      <c r="D95" s="424">
        <f>OriginalTermToMaturity29[[#This Row],[Principal Outstanding Balance]]/OriginalTermToMaturity29[[#Totals],[Principal Outstanding Balance]]</f>
        <v>1.0356137184465443E-3</v>
      </c>
      <c r="E95" s="425">
        <f>_xlfn.XLOOKUP(A95,INPUT_DATA!$CJ$4:$CJ$397,INPUT_DATA!$CM$4:$CM$397)</f>
        <v>3</v>
      </c>
      <c r="F95" s="424">
        <f>OriginalTermToMaturity29[[#This Row],[Nb of Loans]]/OriginalTermToMaturity29[[#Totals],[Nb of Loans]]</f>
        <v>8.1344902386117134E-4</v>
      </c>
    </row>
    <row r="96" spans="1:8" x14ac:dyDescent="0.35">
      <c r="A96" s="427" t="s">
        <v>329</v>
      </c>
      <c r="B96" s="718" t="s">
        <v>923</v>
      </c>
      <c r="C96" s="423">
        <f>_xlfn.XLOOKUP(A96,INPUT_DATA!$CJ$4:$CJ$397,INPUT_DATA!$CL$4:$CL$397)</f>
        <v>29485255.93</v>
      </c>
      <c r="D96" s="424">
        <f>OriginalTermToMaturity29[[#This Row],[Principal Outstanding Balance]]/OriginalTermToMaturity29[[#Totals],[Principal Outstanding Balance]]</f>
        <v>4.2044476623363088E-2</v>
      </c>
      <c r="E96" s="425">
        <f>_xlfn.XLOOKUP(A96,INPUT_DATA!$CJ$4:$CJ$397,INPUT_DATA!$CM$4:$CM$397)</f>
        <v>261</v>
      </c>
      <c r="F96" s="424">
        <f>OriginalTermToMaturity29[[#This Row],[Nb of Loans]]/OriginalTermToMaturity29[[#Totals],[Nb of Loans]]</f>
        <v>7.0770065075921915E-2</v>
      </c>
    </row>
    <row r="97" spans="1:8" x14ac:dyDescent="0.35">
      <c r="A97" s="427" t="s">
        <v>330</v>
      </c>
      <c r="B97" s="718" t="s">
        <v>924</v>
      </c>
      <c r="C97" s="423">
        <f>_xlfn.XLOOKUP(A97,INPUT_DATA!$CJ$4:$CJ$397,INPUT_DATA!$CL$4:$CL$397)</f>
        <v>118732458.77000016</v>
      </c>
      <c r="D97" s="424">
        <f>OriginalTermToMaturity29[[#This Row],[Principal Outstanding Balance]]/OriginalTermToMaturity29[[#Totals],[Principal Outstanding Balance]]</f>
        <v>0.16930645265691927</v>
      </c>
      <c r="E97" s="425">
        <f>_xlfn.XLOOKUP(A97,INPUT_DATA!$CJ$4:$CJ$397,INPUT_DATA!$CM$4:$CM$397)</f>
        <v>701</v>
      </c>
      <c r="F97" s="424">
        <f>OriginalTermToMaturity29[[#This Row],[Nb of Loans]]/OriginalTermToMaturity29[[#Totals],[Nb of Loans]]</f>
        <v>0.19007592190889372</v>
      </c>
    </row>
    <row r="98" spans="1:8" x14ac:dyDescent="0.35">
      <c r="A98" s="427" t="s">
        <v>331</v>
      </c>
      <c r="B98" s="718" t="s">
        <v>925</v>
      </c>
      <c r="C98" s="423">
        <f>_xlfn.XLOOKUP(A98,INPUT_DATA!$CJ$4:$CJ$397,INPUT_DATA!$CL$4:$CL$397)</f>
        <v>319624366.72999978</v>
      </c>
      <c r="D98" s="424">
        <f>OriginalTermToMaturity29[[#This Row],[Principal Outstanding Balance]]/OriginalTermToMaturity29[[#Totals],[Principal Outstanding Balance]]</f>
        <v>0.45576810481619945</v>
      </c>
      <c r="E98" s="425">
        <f>_xlfn.XLOOKUP(A98,INPUT_DATA!$CJ$4:$CJ$397,INPUT_DATA!$CM$4:$CM$397)</f>
        <v>1651</v>
      </c>
      <c r="F98" s="424">
        <f>OriginalTermToMaturity29[[#This Row],[Nb of Loans]]/OriginalTermToMaturity29[[#Totals],[Nb of Loans]]</f>
        <v>0.44766811279826463</v>
      </c>
    </row>
    <row r="99" spans="1:8" x14ac:dyDescent="0.35">
      <c r="A99" s="427" t="s">
        <v>332</v>
      </c>
      <c r="B99" s="718" t="s">
        <v>927</v>
      </c>
      <c r="C99" s="423">
        <f>_xlfn.XLOOKUP(A99,INPUT_DATA!$CJ$4:$CJ$397,INPUT_DATA!$CL$4:$CL$397)</f>
        <v>197189314.18000016</v>
      </c>
      <c r="D99" s="424">
        <f>OriginalTermToMaturity29[[#This Row],[Principal Outstanding Balance]]/OriginalTermToMaturity29[[#Totals],[Principal Outstanding Balance]]</f>
        <v>0.28118194158126869</v>
      </c>
      <c r="E99" s="425">
        <f>_xlfn.XLOOKUP(A99,INPUT_DATA!$CJ$4:$CJ$397,INPUT_DATA!$CM$4:$CM$397)</f>
        <v>950</v>
      </c>
      <c r="F99" s="424">
        <f>OriginalTermToMaturity29[[#This Row],[Nb of Loans]]/OriginalTermToMaturity29[[#Totals],[Nb of Loans]]</f>
        <v>0.25759219088937091</v>
      </c>
    </row>
    <row r="100" spans="1:8" x14ac:dyDescent="0.35">
      <c r="A100" s="427" t="s">
        <v>333</v>
      </c>
      <c r="B100" s="718" t="s">
        <v>1254</v>
      </c>
      <c r="C100" s="423">
        <f>_xlfn.XLOOKUP(A100,INPUT_DATA!$CJ$4:$CJ$397,INPUT_DATA!$CL$4:$CL$397)</f>
        <v>35529604.549999967</v>
      </c>
      <c r="D100" s="424">
        <f>OriginalTermToMaturity29[[#This Row],[Principal Outstanding Balance]]/OriginalTermToMaturity29[[#Totals],[Principal Outstanding Balance]]</f>
        <v>5.0663410603803041E-2</v>
      </c>
      <c r="E100" s="425">
        <f>_xlfn.XLOOKUP(A100,INPUT_DATA!$CJ$4:$CJ$397,INPUT_DATA!$CM$4:$CM$397)</f>
        <v>122</v>
      </c>
      <c r="F100" s="424">
        <f>OriginalTermToMaturity29[[#This Row],[Nb of Loans]]/OriginalTermToMaturity29[[#Totals],[Nb of Loans]]</f>
        <v>3.3080260303687638E-2</v>
      </c>
    </row>
    <row r="101" spans="1:8" x14ac:dyDescent="0.35">
      <c r="A101" s="427"/>
      <c r="B101" s="718" t="s">
        <v>2</v>
      </c>
      <c r="C101" s="805">
        <f>SUBTOTAL(109,OriginalTermToMaturity29[Principal Outstanding Balance])</f>
        <v>701287262.87</v>
      </c>
      <c r="D101" s="806">
        <f>SUBTOTAL(109,OriginalTermToMaturity29[% of Total (Amount)])</f>
        <v>1</v>
      </c>
      <c r="E101" s="807">
        <f>SUBTOTAL(109,OriginalTermToMaturity29[Nb of Loans])</f>
        <v>3688</v>
      </c>
      <c r="F101" s="806">
        <f>SUBTOTAL(109,OriginalTermToMaturity29[% of Total (Number)])</f>
        <v>1</v>
      </c>
    </row>
    <row r="102" spans="1:8" x14ac:dyDescent="0.35">
      <c r="B102" s="422"/>
      <c r="C102" s="423"/>
      <c r="D102" s="424"/>
      <c r="E102" s="425"/>
      <c r="F102" s="424"/>
      <c r="H102" s="487" t="s">
        <v>654</v>
      </c>
    </row>
    <row r="103" spans="1:8" x14ac:dyDescent="0.35">
      <c r="A103" s="427"/>
      <c r="B103" s="420" t="s">
        <v>1255</v>
      </c>
      <c r="C103" s="420"/>
    </row>
    <row r="104" spans="1:8" ht="15" customHeight="1" x14ac:dyDescent="0.35">
      <c r="A104" s="427"/>
      <c r="B104" s="420"/>
      <c r="C104" s="420"/>
    </row>
    <row r="105" spans="1:8" ht="33" customHeight="1" x14ac:dyDescent="0.35">
      <c r="A105" s="427"/>
      <c r="B105" s="410" t="s">
        <v>326</v>
      </c>
      <c r="C105" s="410" t="s">
        <v>257</v>
      </c>
      <c r="D105" s="410" t="s">
        <v>289</v>
      </c>
      <c r="E105" s="410" t="s">
        <v>290</v>
      </c>
      <c r="F105" s="410" t="s">
        <v>291</v>
      </c>
      <c r="G105" s="421"/>
    </row>
    <row r="106" spans="1:8" x14ac:dyDescent="0.35">
      <c r="A106" s="428" t="s">
        <v>335</v>
      </c>
      <c r="B106" s="422">
        <v>2003</v>
      </c>
      <c r="C106" s="423">
        <f>_xlfn.XLOOKUP(A106,INPUT_DATA!$CJ$4:$CJ$397,INPUT_DATA!$CL$4:$CL$397)</f>
        <v>0</v>
      </c>
      <c r="D106" s="424">
        <f>OriginationYear[[#This Row],[Principal Outstanding Balance]]/OriginationYear[[#Totals],[Principal Outstanding Balance]]</f>
        <v>0</v>
      </c>
      <c r="E106" s="425">
        <f>_xlfn.XLOOKUP(A106,INPUT_DATA!$CJ$4:$CJ$397,INPUT_DATA!$CM$4:$CM$397)</f>
        <v>0</v>
      </c>
      <c r="F106" s="424">
        <f>OriginationYear[[#This Row],[Nb of Loans]]/OriginationYear[[#Totals],[Nb of Loans]]</f>
        <v>0</v>
      </c>
    </row>
    <row r="107" spans="1:8" x14ac:dyDescent="0.35">
      <c r="A107" s="428" t="s">
        <v>336</v>
      </c>
      <c r="B107" s="422">
        <v>2004</v>
      </c>
      <c r="C107" s="423">
        <f>_xlfn.XLOOKUP(A107,INPUT_DATA!$CJ$4:$CJ$397,INPUT_DATA!$CL$4:$CL$397)</f>
        <v>182287.83</v>
      </c>
      <c r="D107" s="424">
        <f>OriginationYear[[#This Row],[Principal Outstanding Balance]]/OriginationYear[[#Totals],[Principal Outstanding Balance]]</f>
        <v>2.5993318237948842E-4</v>
      </c>
      <c r="E107" s="425">
        <f>_xlfn.XLOOKUP(A107,INPUT_DATA!$CJ$4:$CJ$397,INPUT_DATA!$CM$4:$CM$397)</f>
        <v>42</v>
      </c>
      <c r="F107" s="424">
        <f>OriginationYear[[#This Row],[Nb of Loans]]/OriginationYear[[#Totals],[Nb of Loans]]</f>
        <v>1.13882863340564E-2</v>
      </c>
    </row>
    <row r="108" spans="1:8" x14ac:dyDescent="0.35">
      <c r="A108" s="428" t="s">
        <v>337</v>
      </c>
      <c r="B108" s="422">
        <v>2005</v>
      </c>
      <c r="C108" s="423">
        <f>_xlfn.XLOOKUP(A108,INPUT_DATA!$CJ$4:$CJ$397,INPUT_DATA!$CL$4:$CL$397)</f>
        <v>5985037.0800000038</v>
      </c>
      <c r="D108" s="808">
        <f>OriginationYear[[#This Row],[Principal Outstanding Balance]]/OriginationYear[[#Totals],[Principal Outstanding Balance]]</f>
        <v>8.5343587383954374E-3</v>
      </c>
      <c r="E108" s="809">
        <f>_xlfn.XLOOKUP(A108,INPUT_DATA!$CJ$4:$CJ$397,INPUT_DATA!$CM$4:$CM$397)</f>
        <v>303</v>
      </c>
      <c r="F108" s="808">
        <f>OriginationYear[[#This Row],[Nb of Loans]]/OriginationYear[[#Totals],[Nb of Loans]]</f>
        <v>8.2158351409978306E-2</v>
      </c>
    </row>
    <row r="109" spans="1:8" x14ac:dyDescent="0.35">
      <c r="A109" s="428" t="s">
        <v>338</v>
      </c>
      <c r="B109" s="422">
        <v>2006</v>
      </c>
      <c r="C109" s="423">
        <f>_xlfn.XLOOKUP(A109,INPUT_DATA!$CJ$4:$CJ$397,INPUT_DATA!$CL$4:$CL$397)</f>
        <v>6131242.3800000027</v>
      </c>
      <c r="D109" s="808">
        <f>OriginationYear[[#This Row],[Principal Outstanding Balance]]/OriginationYear[[#Totals],[Principal Outstanding Balance]]</f>
        <v>8.7428400665770702E-3</v>
      </c>
      <c r="E109" s="809">
        <f>_xlfn.XLOOKUP(A109,INPUT_DATA!$CJ$4:$CJ$397,INPUT_DATA!$CM$4:$CM$397)</f>
        <v>170</v>
      </c>
      <c r="F109" s="808">
        <f>OriginationYear[[#This Row],[Nb of Loans]]/OriginationYear[[#Totals],[Nb of Loans]]</f>
        <v>4.6095444685466377E-2</v>
      </c>
    </row>
    <row r="110" spans="1:8" x14ac:dyDescent="0.35">
      <c r="A110" s="428" t="s">
        <v>339</v>
      </c>
      <c r="B110" s="422">
        <v>2007</v>
      </c>
      <c r="C110" s="423">
        <f>_xlfn.XLOOKUP(A110,INPUT_DATA!$CJ$4:$CJ$397,INPUT_DATA!$CL$4:$CL$397)</f>
        <v>8413940.1799999997</v>
      </c>
      <c r="D110" s="808">
        <f>OriginationYear[[#This Row],[Principal Outstanding Balance]]/OriginationYear[[#Totals],[Principal Outstanding Balance]]</f>
        <v>1.1997851131027484E-2</v>
      </c>
      <c r="E110" s="809">
        <f>_xlfn.XLOOKUP(A110,INPUT_DATA!$CJ$4:$CJ$397,INPUT_DATA!$CM$4:$CM$397)</f>
        <v>146</v>
      </c>
      <c r="F110" s="808">
        <f>OriginationYear[[#This Row],[Nb of Loans]]/OriginationYear[[#Totals],[Nb of Loans]]</f>
        <v>3.9587852494577004E-2</v>
      </c>
    </row>
    <row r="111" spans="1:8" x14ac:dyDescent="0.35">
      <c r="A111" s="428" t="s">
        <v>340</v>
      </c>
      <c r="B111" s="422">
        <v>2008</v>
      </c>
      <c r="C111" s="423">
        <f>_xlfn.XLOOKUP(A111,INPUT_DATA!$CJ$4:$CJ$397,INPUT_DATA!$CL$4:$CL$397)</f>
        <v>7845246.8899999978</v>
      </c>
      <c r="D111" s="808">
        <f>OriginationYear[[#This Row],[Principal Outstanding Balance]]/OriginationYear[[#Totals],[Principal Outstanding Balance]]</f>
        <v>1.1186923398399575E-2</v>
      </c>
      <c r="E111" s="809">
        <f>_xlfn.XLOOKUP(A111,INPUT_DATA!$CJ$4:$CJ$397,INPUT_DATA!$CM$4:$CM$397)</f>
        <v>117</v>
      </c>
      <c r="F111" s="808">
        <f>OriginationYear[[#This Row],[Nb of Loans]]/OriginationYear[[#Totals],[Nb of Loans]]</f>
        <v>3.1724511930585682E-2</v>
      </c>
    </row>
    <row r="112" spans="1:8" x14ac:dyDescent="0.35">
      <c r="A112" s="428" t="s">
        <v>341</v>
      </c>
      <c r="B112" s="422">
        <v>2009</v>
      </c>
      <c r="C112" s="423">
        <f>_xlfn.XLOOKUP(A112,INPUT_DATA!$CJ$4:$CJ$397,INPUT_DATA!$CL$4:$CL$397)</f>
        <v>30316024.929999985</v>
      </c>
      <c r="D112" s="808">
        <f>OriginationYear[[#This Row],[Principal Outstanding Balance]]/OriginationYear[[#Totals],[Principal Outstanding Balance]]</f>
        <v>4.3229111000722346E-2</v>
      </c>
      <c r="E112" s="809">
        <f>_xlfn.XLOOKUP(A112,INPUT_DATA!$CJ$4:$CJ$397,INPUT_DATA!$CM$4:$CM$397)</f>
        <v>309</v>
      </c>
      <c r="F112" s="808">
        <f>OriginationYear[[#This Row],[Nb of Loans]]/OriginationYear[[#Totals],[Nb of Loans]]</f>
        <v>8.3785249457700647E-2</v>
      </c>
    </row>
    <row r="113" spans="1:8" x14ac:dyDescent="0.35">
      <c r="A113" s="428" t="s">
        <v>342</v>
      </c>
      <c r="B113" s="422">
        <v>2010</v>
      </c>
      <c r="C113" s="423">
        <f>_xlfn.XLOOKUP(A113,INPUT_DATA!$CJ$4:$CJ$397,INPUT_DATA!$CL$4:$CL$397)</f>
        <v>15845077.760000005</v>
      </c>
      <c r="D113" s="808">
        <f>OriginationYear[[#This Row],[Principal Outstanding Balance]]/OriginationYear[[#Totals],[Principal Outstanding Balance]]</f>
        <v>2.2594275696886938E-2</v>
      </c>
      <c r="E113" s="809">
        <f>_xlfn.XLOOKUP(A113,INPUT_DATA!$CJ$4:$CJ$397,INPUT_DATA!$CM$4:$CM$397)</f>
        <v>189</v>
      </c>
      <c r="F113" s="808">
        <f>OriginationYear[[#This Row],[Nb of Loans]]/OriginationYear[[#Totals],[Nb of Loans]]</f>
        <v>5.1247288503253795E-2</v>
      </c>
    </row>
    <row r="114" spans="1:8" x14ac:dyDescent="0.35">
      <c r="A114" s="428" t="s">
        <v>343</v>
      </c>
      <c r="B114" s="422">
        <v>2011</v>
      </c>
      <c r="C114" s="423">
        <f>_xlfn.XLOOKUP(A114,INPUT_DATA!$CJ$4:$CJ$397,INPUT_DATA!$CL$4:$CL$397)</f>
        <v>6194988.2299999977</v>
      </c>
      <c r="D114" s="808">
        <f>OriginationYear[[#This Row],[Principal Outstanding Balance]]/OriginationYear[[#Totals],[Principal Outstanding Balance]]</f>
        <v>8.8337384093462173E-3</v>
      </c>
      <c r="E114" s="809">
        <f>_xlfn.XLOOKUP(A114,INPUT_DATA!$CJ$4:$CJ$397,INPUT_DATA!$CM$4:$CM$397)</f>
        <v>83</v>
      </c>
      <c r="F114" s="808">
        <f>OriginationYear[[#This Row],[Nb of Loans]]/OriginationYear[[#Totals],[Nb of Loans]]</f>
        <v>2.2505422993492407E-2</v>
      </c>
    </row>
    <row r="115" spans="1:8" x14ac:dyDescent="0.35">
      <c r="A115" s="428" t="s">
        <v>344</v>
      </c>
      <c r="B115" s="422">
        <v>2012</v>
      </c>
      <c r="C115" s="423">
        <f>_xlfn.XLOOKUP(A115,INPUT_DATA!$CJ$4:$CJ$397,INPUT_DATA!$CL$4:$CL$397)</f>
        <v>1034112.7499999999</v>
      </c>
      <c r="D115" s="808">
        <f>OriginationYear[[#This Row],[Principal Outstanding Balance]]/OriginationYear[[#Totals],[Principal Outstanding Balance]]</f>
        <v>1.4745922316739648E-3</v>
      </c>
      <c r="E115" s="809">
        <f>_xlfn.XLOOKUP(A115,INPUT_DATA!$CJ$4:$CJ$397,INPUT_DATA!$CM$4:$CM$397)</f>
        <v>20</v>
      </c>
      <c r="F115" s="808">
        <f>OriginationYear[[#This Row],[Nb of Loans]]/OriginationYear[[#Totals],[Nb of Loans]]</f>
        <v>5.4229934924078091E-3</v>
      </c>
    </row>
    <row r="116" spans="1:8" x14ac:dyDescent="0.35">
      <c r="A116" s="428" t="s">
        <v>345</v>
      </c>
      <c r="B116" s="422">
        <v>2013</v>
      </c>
      <c r="C116" s="423">
        <f>_xlfn.XLOOKUP(A116,INPUT_DATA!$CJ$4:$CJ$397,INPUT_DATA!$CL$4:$CL$397)</f>
        <v>1774137.3199999996</v>
      </c>
      <c r="D116" s="808">
        <f>OriginationYear[[#This Row],[Principal Outstanding Balance]]/OriginationYear[[#Totals],[Principal Outstanding Balance]]</f>
        <v>2.5298296631531395E-3</v>
      </c>
      <c r="E116" s="809">
        <f>_xlfn.XLOOKUP(A116,INPUT_DATA!$CJ$4:$CJ$397,INPUT_DATA!$CM$4:$CM$397)</f>
        <v>24</v>
      </c>
      <c r="F116" s="808">
        <f>OriginationYear[[#This Row],[Nb of Loans]]/OriginationYear[[#Totals],[Nb of Loans]]</f>
        <v>6.5075921908893707E-3</v>
      </c>
    </row>
    <row r="117" spans="1:8" x14ac:dyDescent="0.35">
      <c r="A117" s="428" t="s">
        <v>346</v>
      </c>
      <c r="B117" s="422">
        <v>2014</v>
      </c>
      <c r="C117" s="423">
        <f>_xlfn.XLOOKUP(A117,INPUT_DATA!$CJ$4:$CJ$397,INPUT_DATA!$CL$4:$CL$397)</f>
        <v>6751222.1600000001</v>
      </c>
      <c r="D117" s="808">
        <f>OriginationYear[[#This Row],[Principal Outstanding Balance]]/OriginationYear[[#Totals],[Principal Outstanding Balance]]</f>
        <v>9.6268997277532131E-3</v>
      </c>
      <c r="E117" s="809">
        <f>_xlfn.XLOOKUP(A117,INPUT_DATA!$CJ$4:$CJ$397,INPUT_DATA!$CM$4:$CM$397)</f>
        <v>69</v>
      </c>
      <c r="F117" s="808">
        <f>OriginationYear[[#This Row],[Nb of Loans]]/OriginationYear[[#Totals],[Nb of Loans]]</f>
        <v>1.8709327548806942E-2</v>
      </c>
    </row>
    <row r="118" spans="1:8" x14ac:dyDescent="0.35">
      <c r="A118" s="428" t="s">
        <v>347</v>
      </c>
      <c r="B118" s="422">
        <v>2015</v>
      </c>
      <c r="C118" s="423">
        <f>_xlfn.XLOOKUP(A118,INPUT_DATA!$CJ$4:$CJ$397,INPUT_DATA!$CL$4:$CL$397)</f>
        <v>11692956.299999997</v>
      </c>
      <c r="D118" s="808">
        <f>OriginationYear[[#This Row],[Principal Outstanding Balance]]/OriginationYear[[#Totals],[Principal Outstanding Balance]]</f>
        <v>1.6673561490546503E-2</v>
      </c>
      <c r="E118" s="809">
        <f>_xlfn.XLOOKUP(A118,INPUT_DATA!$CJ$4:$CJ$397,INPUT_DATA!$CM$4:$CM$397)</f>
        <v>95</v>
      </c>
      <c r="F118" s="808">
        <f>OriginationYear[[#This Row],[Nb of Loans]]/OriginationYear[[#Totals],[Nb of Loans]]</f>
        <v>2.5759219088937094E-2</v>
      </c>
    </row>
    <row r="119" spans="1:8" x14ac:dyDescent="0.35">
      <c r="A119" s="428" t="s">
        <v>348</v>
      </c>
      <c r="B119" s="422">
        <v>2016</v>
      </c>
      <c r="C119" s="423">
        <f>_xlfn.XLOOKUP(A119,INPUT_DATA!$CJ$4:$CJ$397,INPUT_DATA!$CL$4:$CL$397)</f>
        <v>8028456.8499999996</v>
      </c>
      <c r="D119" s="808">
        <f>OriginationYear[[#This Row],[Principal Outstanding Balance]]/OriginationYear[[#Totals],[Principal Outstanding Balance]]</f>
        <v>1.1448171491299794E-2</v>
      </c>
      <c r="E119" s="809">
        <f>_xlfn.XLOOKUP(A119,INPUT_DATA!$CJ$4:$CJ$397,INPUT_DATA!$CM$4:$CM$397)</f>
        <v>69</v>
      </c>
      <c r="F119" s="808">
        <f>OriginationYear[[#This Row],[Nb of Loans]]/OriginationYear[[#Totals],[Nb of Loans]]</f>
        <v>1.8709327548806942E-2</v>
      </c>
    </row>
    <row r="120" spans="1:8" x14ac:dyDescent="0.35">
      <c r="A120" s="428" t="s">
        <v>349</v>
      </c>
      <c r="B120" s="422">
        <v>2017</v>
      </c>
      <c r="C120" s="423">
        <f>_xlfn.XLOOKUP(A120,INPUT_DATA!$CJ$4:$CJ$397,INPUT_DATA!$CL$4:$CL$397)</f>
        <v>40797985.100000016</v>
      </c>
      <c r="D120" s="808">
        <f>OriginationYear[[#This Row],[Principal Outstanding Balance]]/OriginationYear[[#Totals],[Principal Outstanding Balance]]</f>
        <v>5.8175853548281073E-2</v>
      </c>
      <c r="E120" s="809">
        <f>_xlfn.XLOOKUP(A120,INPUT_DATA!$CJ$4:$CJ$397,INPUT_DATA!$CM$4:$CM$397)</f>
        <v>222</v>
      </c>
      <c r="F120" s="808">
        <f>OriginationYear[[#This Row],[Nb of Loans]]/OriginationYear[[#Totals],[Nb of Loans]]</f>
        <v>6.019522776572668E-2</v>
      </c>
    </row>
    <row r="121" spans="1:8" x14ac:dyDescent="0.35">
      <c r="A121" s="428" t="s">
        <v>350</v>
      </c>
      <c r="B121" s="422">
        <v>2018</v>
      </c>
      <c r="C121" s="423">
        <f>_xlfn.XLOOKUP(A121,INPUT_DATA!$CJ$4:$CJ$397,INPUT_DATA!$CL$4:$CL$397)</f>
        <v>44370616.330000028</v>
      </c>
      <c r="D121" s="808">
        <f>OriginationYear[[#This Row],[Principal Outstanding Balance]]/OriginationYear[[#Totals],[Principal Outstanding Balance]]</f>
        <v>6.3270244134214587E-2</v>
      </c>
      <c r="E121" s="809">
        <f>_xlfn.XLOOKUP(A121,INPUT_DATA!$CJ$4:$CJ$397,INPUT_DATA!$CM$4:$CM$397)</f>
        <v>226</v>
      </c>
      <c r="F121" s="808">
        <f>OriginationYear[[#This Row],[Nb of Loans]]/OriginationYear[[#Totals],[Nb of Loans]]</f>
        <v>6.1279826464208244E-2</v>
      </c>
    </row>
    <row r="122" spans="1:8" x14ac:dyDescent="0.35">
      <c r="A122" s="428" t="s">
        <v>929</v>
      </c>
      <c r="B122" s="422">
        <v>2019</v>
      </c>
      <c r="C122" s="423">
        <f>_xlfn.XLOOKUP(A122,INPUT_DATA!$CJ$4:$CJ$397,INPUT_DATA!$CL$4:$CL$397)</f>
        <v>53530885.56000001</v>
      </c>
      <c r="D122" s="424">
        <f>OriginationYear[[#This Row],[Principal Outstanding Balance]]/OriginationYear[[#Totals],[Principal Outstanding Balance]]</f>
        <v>7.6332322564830621E-2</v>
      </c>
      <c r="E122" s="425">
        <f>_xlfn.XLOOKUP(A122,INPUT_DATA!$CJ$4:$CJ$397,INPUT_DATA!$CM$4:$CM$397)</f>
        <v>246</v>
      </c>
      <c r="F122" s="424">
        <f>OriginationYear[[#This Row],[Nb of Loans]]/OriginationYear[[#Totals],[Nb of Loans]]</f>
        <v>6.6702819956616047E-2</v>
      </c>
    </row>
    <row r="123" spans="1:8" x14ac:dyDescent="0.35">
      <c r="A123" s="428" t="s">
        <v>930</v>
      </c>
      <c r="B123" s="422">
        <v>2020</v>
      </c>
      <c r="C123" s="423">
        <f>_xlfn.XLOOKUP(A123,INPUT_DATA!$CJ$4:$CJ$397,INPUT_DATA!$CL$4:$CL$397)</f>
        <v>116140354.44000013</v>
      </c>
      <c r="D123" s="424">
        <f>OriginationYear[[#This Row],[Principal Outstanding Balance]]/OriginationYear[[#Totals],[Principal Outstanding Balance]]</f>
        <v>0.1656102436035965</v>
      </c>
      <c r="E123" s="425">
        <f>_xlfn.XLOOKUP(A123,INPUT_DATA!$CJ$4:$CJ$397,INPUT_DATA!$CM$4:$CM$397)</f>
        <v>385</v>
      </c>
      <c r="F123" s="424">
        <f>OriginationYear[[#This Row],[Nb of Loans]]/OriginationYear[[#Totals],[Nb of Loans]]</f>
        <v>0.10439262472885033</v>
      </c>
    </row>
    <row r="124" spans="1:8" x14ac:dyDescent="0.35">
      <c r="A124" s="428" t="s">
        <v>931</v>
      </c>
      <c r="B124" s="422">
        <v>2021</v>
      </c>
      <c r="C124" s="423">
        <f>_xlfn.XLOOKUP(A124,INPUT_DATA!$CJ$4:$CJ$397,INPUT_DATA!$CL$4:$CL$397)</f>
        <v>99621427.630000055</v>
      </c>
      <c r="D124" s="424">
        <f>OriginationYear[[#This Row],[Principal Outstanding Balance]]/OriginationYear[[#Totals],[Principal Outstanding Balance]]</f>
        <v>0.1420550934039525</v>
      </c>
      <c r="E124" s="425">
        <f>_xlfn.XLOOKUP(A124,INPUT_DATA!$CJ$4:$CJ$397,INPUT_DATA!$CM$4:$CM$397)</f>
        <v>349</v>
      </c>
      <c r="F124" s="424">
        <f>OriginationYear[[#This Row],[Nb of Loans]]/OriginationYear[[#Totals],[Nb of Loans]]</f>
        <v>9.4631236442516267E-2</v>
      </c>
    </row>
    <row r="125" spans="1:8" x14ac:dyDescent="0.35">
      <c r="A125" s="428" t="s">
        <v>932</v>
      </c>
      <c r="B125" s="422">
        <v>2022</v>
      </c>
      <c r="C125" s="423">
        <f>_xlfn.XLOOKUP(A125,INPUT_DATA!$CJ$4:$CJ$397,INPUT_DATA!$CL$4:$CL$397)</f>
        <v>157101643.89999986</v>
      </c>
      <c r="D125" s="424">
        <f>OriginationYear[[#This Row],[Principal Outstanding Balance]]/OriginationYear[[#Totals],[Principal Outstanding Balance]]</f>
        <v>0.22401896087070713</v>
      </c>
      <c r="E125" s="425">
        <f>_xlfn.XLOOKUP(A125,INPUT_DATA!$CJ$4:$CJ$397,INPUT_DATA!$CM$4:$CM$397)</f>
        <v>400</v>
      </c>
      <c r="F125" s="424">
        <f>OriginationYear[[#This Row],[Nb of Loans]]/OriginationYear[[#Totals],[Nb of Loans]]</f>
        <v>0.10845986984815618</v>
      </c>
    </row>
    <row r="126" spans="1:8" x14ac:dyDescent="0.35">
      <c r="A126" s="428" t="s">
        <v>933</v>
      </c>
      <c r="B126" s="422">
        <v>2023</v>
      </c>
      <c r="C126" s="423">
        <f>_xlfn.XLOOKUP(A126,INPUT_DATA!$CJ$4:$CJ$397,INPUT_DATA!$CL$4:$CL$397)</f>
        <v>79529619.250000015</v>
      </c>
      <c r="D126" s="424">
        <f>OriginationYear[[#This Row],[Principal Outstanding Balance]]/OriginationYear[[#Totals],[Principal Outstanding Balance]]</f>
        <v>0.11340519564625641</v>
      </c>
      <c r="E126" s="425">
        <f>_xlfn.XLOOKUP(A126,INPUT_DATA!$CJ$4:$CJ$397,INPUT_DATA!$CM$4:$CM$397)</f>
        <v>224</v>
      </c>
      <c r="F126" s="424">
        <f>OriginationYear[[#This Row],[Nb of Loans]]/OriginationYear[[#Totals],[Nb of Loans]]</f>
        <v>6.0737527114967459E-2</v>
      </c>
    </row>
    <row r="127" spans="1:8" x14ac:dyDescent="0.35">
      <c r="A127" s="427"/>
      <c r="B127" s="718" t="s">
        <v>2</v>
      </c>
      <c r="C127" s="805">
        <f>SUBTOTAL(109,OriginationYear[Principal Outstanding Balance])</f>
        <v>701287262.87000012</v>
      </c>
      <c r="D127" s="806">
        <f>SUBTOTAL(109,OriginationYear[% of Total (Amount)])</f>
        <v>1</v>
      </c>
      <c r="E127" s="807">
        <f>SUBTOTAL(109,OriginationYear[Nb of Loans])</f>
        <v>3688</v>
      </c>
      <c r="F127" s="806">
        <f>SUBTOTAL(109,OriginationYear[% of Total (Number)])</f>
        <v>1</v>
      </c>
    </row>
    <row r="128" spans="1:8" x14ac:dyDescent="0.35">
      <c r="A128" s="427"/>
      <c r="B128" s="422"/>
      <c r="C128" s="423"/>
      <c r="D128" s="424"/>
      <c r="E128" s="425"/>
      <c r="F128" s="424"/>
      <c r="H128" s="487" t="s">
        <v>654</v>
      </c>
    </row>
    <row r="129" spans="1:8" x14ac:dyDescent="0.35">
      <c r="A129" s="427"/>
      <c r="B129" s="420" t="s">
        <v>1375</v>
      </c>
      <c r="C129" s="420"/>
    </row>
    <row r="130" spans="1:8" ht="15" customHeight="1" x14ac:dyDescent="0.35">
      <c r="A130" s="427"/>
      <c r="B130" s="420"/>
      <c r="C130" s="420"/>
    </row>
    <row r="131" spans="1:8" ht="33" customHeight="1" x14ac:dyDescent="0.35">
      <c r="A131" s="427"/>
      <c r="B131" s="410" t="s">
        <v>334</v>
      </c>
      <c r="C131" s="410" t="s">
        <v>257</v>
      </c>
      <c r="D131" s="410" t="s">
        <v>289</v>
      </c>
      <c r="E131" s="410" t="s">
        <v>290</v>
      </c>
      <c r="F131" s="410" t="s">
        <v>291</v>
      </c>
    </row>
    <row r="132" spans="1:8" x14ac:dyDescent="0.35">
      <c r="A132" s="427" t="s">
        <v>352</v>
      </c>
      <c r="B132" s="718" t="s">
        <v>1256</v>
      </c>
      <c r="C132" s="423">
        <f>_xlfn.XLOOKUP(A132,INPUT_DATA!$CJ$4:$CJ$397,INPUT_DATA!$CL$4:$CL$397)</f>
        <v>284044542.92000008</v>
      </c>
      <c r="D132" s="424">
        <f>InterestRate[[#This Row],[Principal Outstanding Balance]]/InterestRate[[#Totals],[Principal Outstanding Balance]]</f>
        <v>0.40503308409959554</v>
      </c>
      <c r="E132" s="425">
        <f>_xlfn.XLOOKUP(A132,INPUT_DATA!$CJ$4:$CJ$397,INPUT_DATA!$CM$4:$CM$397)</f>
        <v>1207</v>
      </c>
      <c r="F132" s="424">
        <f>InterestRate[[#This Row],[Nb of Loans]]/InterestRate[[#Totals],[Nb of Loans]]</f>
        <v>0.32727765726681129</v>
      </c>
    </row>
    <row r="133" spans="1:8" x14ac:dyDescent="0.35">
      <c r="A133" s="427" t="s">
        <v>354</v>
      </c>
      <c r="B133" s="718" t="s">
        <v>935</v>
      </c>
      <c r="C133" s="423">
        <f>_xlfn.XLOOKUP(A133,INPUT_DATA!$CJ$4:$CJ$397,INPUT_DATA!$CL$4:$CL$397)</f>
        <v>298238593.03000039</v>
      </c>
      <c r="D133" s="424">
        <f>InterestRate[[#This Row],[Principal Outstanding Balance]]/InterestRate[[#Totals],[Principal Outstanding Balance]]</f>
        <v>0.4252730782667668</v>
      </c>
      <c r="E133" s="425">
        <f>_xlfn.XLOOKUP(A133,INPUT_DATA!$CJ$4:$CJ$397,INPUT_DATA!$CM$4:$CM$397)</f>
        <v>1451</v>
      </c>
      <c r="F133" s="424">
        <f>InterestRate[[#This Row],[Nb of Loans]]/InterestRate[[#Totals],[Nb of Loans]]</f>
        <v>0.39343817787418656</v>
      </c>
    </row>
    <row r="134" spans="1:8" x14ac:dyDescent="0.35">
      <c r="A134" s="427" t="s">
        <v>356</v>
      </c>
      <c r="B134" s="718" t="s">
        <v>936</v>
      </c>
      <c r="C134" s="423">
        <f>_xlfn.XLOOKUP(A134,INPUT_DATA!$CJ$4:$CJ$397,INPUT_DATA!$CL$4:$CL$397)</f>
        <v>56846908.909999996</v>
      </c>
      <c r="D134" s="424">
        <f>InterestRate[[#This Row],[Principal Outstanding Balance]]/InterestRate[[#Totals],[Principal Outstanding Balance]]</f>
        <v>8.1060803353757566E-2</v>
      </c>
      <c r="E134" s="425">
        <f>_xlfn.XLOOKUP(A134,INPUT_DATA!$CJ$4:$CJ$397,INPUT_DATA!$CM$4:$CM$397)</f>
        <v>294</v>
      </c>
      <c r="F134" s="424">
        <f>InterestRate[[#This Row],[Nb of Loans]]/InterestRate[[#Totals],[Nb of Loans]]</f>
        <v>7.9718004338394793E-2</v>
      </c>
    </row>
    <row r="135" spans="1:8" x14ac:dyDescent="0.35">
      <c r="A135" s="427" t="s">
        <v>358</v>
      </c>
      <c r="B135" s="718" t="s">
        <v>937</v>
      </c>
      <c r="C135" s="423">
        <f>_xlfn.XLOOKUP(A135,INPUT_DATA!$CJ$4:$CJ$397,INPUT_DATA!$CL$4:$CL$397)</f>
        <v>38779996.019999959</v>
      </c>
      <c r="D135" s="424">
        <f>InterestRate[[#This Row],[Principal Outstanding Balance]]/InterestRate[[#Totals],[Principal Outstanding Balance]]</f>
        <v>5.5298303667021986E-2</v>
      </c>
      <c r="E135" s="425">
        <f>_xlfn.XLOOKUP(A135,INPUT_DATA!$CJ$4:$CJ$397,INPUT_DATA!$CM$4:$CM$397)</f>
        <v>317</v>
      </c>
      <c r="F135" s="424">
        <f>InterestRate[[#This Row],[Nb of Loans]]/InterestRate[[#Totals],[Nb of Loans]]</f>
        <v>8.5954446854663774E-2</v>
      </c>
    </row>
    <row r="136" spans="1:8" x14ac:dyDescent="0.35">
      <c r="A136" s="427" t="s">
        <v>360</v>
      </c>
      <c r="B136" s="718" t="s">
        <v>938</v>
      </c>
      <c r="C136" s="423">
        <f>_xlfn.XLOOKUP(A136,INPUT_DATA!$CJ$4:$CJ$397,INPUT_DATA!$CL$4:$CL$397)</f>
        <v>22097713.139999986</v>
      </c>
      <c r="D136" s="424">
        <f>InterestRate[[#This Row],[Principal Outstanding Balance]]/InterestRate[[#Totals],[Principal Outstanding Balance]]</f>
        <v>3.1510216012715891E-2</v>
      </c>
      <c r="E136" s="425">
        <f>_xlfn.XLOOKUP(A136,INPUT_DATA!$CJ$4:$CJ$397,INPUT_DATA!$CM$4:$CM$397)</f>
        <v>387</v>
      </c>
      <c r="F136" s="424">
        <f>InterestRate[[#This Row],[Nb of Loans]]/InterestRate[[#Totals],[Nb of Loans]]</f>
        <v>0.1049349240780911</v>
      </c>
    </row>
    <row r="137" spans="1:8" x14ac:dyDescent="0.35">
      <c r="A137" s="427" t="s">
        <v>362</v>
      </c>
      <c r="B137" s="718" t="s">
        <v>1257</v>
      </c>
      <c r="C137" s="423">
        <f>_xlfn.XLOOKUP(A137,INPUT_DATA!$CJ$4:$CJ$397,INPUT_DATA!$CL$4:$CL$397)</f>
        <v>1279508.8499999999</v>
      </c>
      <c r="D137" s="424">
        <f>InterestRate[[#This Row],[Principal Outstanding Balance]]/InterestRate[[#Totals],[Principal Outstanding Balance]]</f>
        <v>1.8245146001420903E-3</v>
      </c>
      <c r="E137" s="425">
        <f>_xlfn.XLOOKUP(A137,INPUT_DATA!$CJ$4:$CJ$397,INPUT_DATA!$CM$4:$CM$397)</f>
        <v>32</v>
      </c>
      <c r="F137" s="424">
        <f>InterestRate[[#This Row],[Nb of Loans]]/InterestRate[[#Totals],[Nb of Loans]]</f>
        <v>8.6767895878524948E-3</v>
      </c>
    </row>
    <row r="138" spans="1:8" x14ac:dyDescent="0.35">
      <c r="A138" s="427"/>
      <c r="B138" s="718" t="s">
        <v>2</v>
      </c>
      <c r="C138" s="805">
        <f>SUBTOTAL(109,InterestRate[Principal Outstanding Balance])</f>
        <v>701287262.87000048</v>
      </c>
      <c r="D138" s="806">
        <f>SUBTOTAL(109,InterestRate[% of Total (Amount)])</f>
        <v>0.99999999999999978</v>
      </c>
      <c r="E138" s="807">
        <f>SUBTOTAL(109,InterestRate[Nb of Loans])</f>
        <v>3688</v>
      </c>
      <c r="F138" s="806">
        <f>SUBTOTAL(109,InterestRate[% of Total (Number)])</f>
        <v>1.0000000000000002</v>
      </c>
    </row>
    <row r="139" spans="1:8" x14ac:dyDescent="0.35">
      <c r="A139" s="427"/>
      <c r="B139" s="422"/>
      <c r="C139" s="423"/>
      <c r="D139" s="424"/>
      <c r="E139" s="425"/>
      <c r="F139" s="424"/>
      <c r="H139" s="487" t="s">
        <v>654</v>
      </c>
    </row>
    <row r="140" spans="1:8" x14ac:dyDescent="0.35">
      <c r="A140" s="427"/>
      <c r="B140" s="420" t="s">
        <v>1376</v>
      </c>
      <c r="C140" s="420"/>
    </row>
    <row r="141" spans="1:8" ht="15" customHeight="1" x14ac:dyDescent="0.35">
      <c r="A141" s="427"/>
      <c r="B141" s="420"/>
      <c r="C141" s="420"/>
    </row>
    <row r="142" spans="1:8" ht="33" customHeight="1" x14ac:dyDescent="0.35">
      <c r="A142" s="427"/>
      <c r="B142" s="410" t="s">
        <v>351</v>
      </c>
      <c r="C142" s="410" t="s">
        <v>257</v>
      </c>
      <c r="D142" s="410" t="s">
        <v>289</v>
      </c>
      <c r="E142" s="410" t="s">
        <v>290</v>
      </c>
      <c r="F142" s="410" t="s">
        <v>291</v>
      </c>
      <c r="G142" s="421"/>
    </row>
    <row r="143" spans="1:8" x14ac:dyDescent="0.35">
      <c r="A143" s="427" t="s">
        <v>372</v>
      </c>
      <c r="B143" s="422" t="s">
        <v>353</v>
      </c>
      <c r="C143" s="423">
        <f>_xlfn.XLOOKUP(A143,INPUT_DATA!$CJ$4:$CJ$397,INPUT_DATA!$CL$4:$CL$397)</f>
        <v>534641.3899999999</v>
      </c>
      <c r="D143" s="424">
        <f>InterestRateType[[#This Row],[Principal Outstanding Balance]]/InterestRateType[[#Totals],[Principal Outstanding Balance]]</f>
        <v>7.6237145362086599E-4</v>
      </c>
      <c r="E143" s="425">
        <f>_xlfn.XLOOKUP(A143,INPUT_DATA!$CJ$4:$CJ$397,INPUT_DATA!$CM$4:$CM$397)</f>
        <v>40</v>
      </c>
      <c r="F143" s="424">
        <f>InterestRateType[[#This Row],[Nb of Loans]]/InterestRateType[[#Totals],[Nb of Loans]]</f>
        <v>1.0845986984815618E-2</v>
      </c>
    </row>
    <row r="144" spans="1:8" ht="28" x14ac:dyDescent="0.35">
      <c r="A144" s="427" t="s">
        <v>374</v>
      </c>
      <c r="B144" s="422" t="s">
        <v>355</v>
      </c>
      <c r="C144" s="423">
        <f>_xlfn.XLOOKUP(A144,INPUT_DATA!$CJ$4:$CJ$397,INPUT_DATA!$CL$4:$CL$397)</f>
        <v>0</v>
      </c>
      <c r="D144" s="424">
        <f>InterestRateType[[#This Row],[Principal Outstanding Balance]]/InterestRateType[[#Totals],[Principal Outstanding Balance]]</f>
        <v>0</v>
      </c>
      <c r="E144" s="425">
        <f>_xlfn.XLOOKUP(A144,INPUT_DATA!$CJ$4:$CJ$397,INPUT_DATA!$CM$4:$CM$397)</f>
        <v>0</v>
      </c>
      <c r="F144" s="424">
        <f>InterestRateType[[#This Row],[Nb of Loans]]/InterestRateType[[#Totals],[Nb of Loans]]</f>
        <v>0</v>
      </c>
    </row>
    <row r="145" spans="1:8" x14ac:dyDescent="0.35">
      <c r="A145" s="427" t="s">
        <v>376</v>
      </c>
      <c r="B145" s="422" t="s">
        <v>357</v>
      </c>
      <c r="C145" s="423">
        <f>_xlfn.XLOOKUP(A145,INPUT_DATA!$CJ$4:$CJ$397,INPUT_DATA!$CL$4:$CL$397)</f>
        <v>681501264.87999952</v>
      </c>
      <c r="D145" s="424">
        <f>InterestRateType[[#This Row],[Principal Outstanding Balance]]/InterestRateType[[#Totals],[Principal Outstanding Balance]]</f>
        <v>0.97178617231827891</v>
      </c>
      <c r="E145" s="425">
        <f>_xlfn.XLOOKUP(A145,INPUT_DATA!$CJ$4:$CJ$397,INPUT_DATA!$CM$4:$CM$397)</f>
        <v>3370</v>
      </c>
      <c r="F145" s="424">
        <f>InterestRateType[[#This Row],[Nb of Loans]]/InterestRateType[[#Totals],[Nb of Loans]]</f>
        <v>0.91377440347071581</v>
      </c>
    </row>
    <row r="146" spans="1:8" x14ac:dyDescent="0.35">
      <c r="A146" s="427" t="s">
        <v>378</v>
      </c>
      <c r="B146" s="422" t="s">
        <v>359</v>
      </c>
      <c r="C146" s="423">
        <f>_xlfn.XLOOKUP(A146,INPUT_DATA!$CJ$4:$CJ$397,INPUT_DATA!$CL$4:$CL$397)</f>
        <v>0</v>
      </c>
      <c r="D146" s="424">
        <f>InterestRateType[[#This Row],[Principal Outstanding Balance]]/InterestRateType[[#Totals],[Principal Outstanding Balance]]</f>
        <v>0</v>
      </c>
      <c r="E146" s="425">
        <f>_xlfn.XLOOKUP(A146,INPUT_DATA!$CJ$4:$CJ$397,INPUT_DATA!$CM$4:$CM$397)</f>
        <v>0</v>
      </c>
      <c r="F146" s="424">
        <f>InterestRateType[[#This Row],[Nb of Loans]]/InterestRateType[[#Totals],[Nb of Loans]]</f>
        <v>0</v>
      </c>
    </row>
    <row r="147" spans="1:8" ht="15" customHeight="1" x14ac:dyDescent="0.35">
      <c r="A147" s="427" t="s">
        <v>380</v>
      </c>
      <c r="B147" s="422" t="s">
        <v>361</v>
      </c>
      <c r="C147" s="423">
        <f>_xlfn.XLOOKUP(A147,INPUT_DATA!$CJ$4:$CJ$397,INPUT_DATA!$CL$4:$CL$397)</f>
        <v>0</v>
      </c>
      <c r="D147" s="424">
        <f>InterestRateType[[#This Row],[Principal Outstanding Balance]]/InterestRateType[[#Totals],[Principal Outstanding Balance]]</f>
        <v>0</v>
      </c>
      <c r="E147" s="425">
        <f>_xlfn.XLOOKUP(A147,INPUT_DATA!$CJ$4:$CJ$397,INPUT_DATA!$CM$4:$CM$397)</f>
        <v>0</v>
      </c>
      <c r="F147" s="424">
        <f>InterestRateType[[#This Row],[Nb of Loans]]/InterestRateType[[#Totals],[Nb of Loans]]</f>
        <v>0</v>
      </c>
    </row>
    <row r="148" spans="1:8" x14ac:dyDescent="0.35">
      <c r="A148" s="427" t="s">
        <v>382</v>
      </c>
      <c r="B148" s="422" t="s">
        <v>363</v>
      </c>
      <c r="C148" s="423">
        <f>_xlfn.XLOOKUP(A148,INPUT_DATA!$CJ$4:$CJ$397,INPUT_DATA!$CL$4:$CL$397)</f>
        <v>0</v>
      </c>
      <c r="D148" s="424">
        <f>InterestRateType[[#This Row],[Principal Outstanding Balance]]/InterestRateType[[#Totals],[Principal Outstanding Balance]]</f>
        <v>0</v>
      </c>
      <c r="E148" s="425">
        <f>_xlfn.XLOOKUP(A148,INPUT_DATA!$CJ$4:$CJ$397,INPUT_DATA!$CM$4:$CM$397)</f>
        <v>0</v>
      </c>
      <c r="F148" s="424">
        <f>InterestRateType[[#This Row],[Nb of Loans]]/InterestRateType[[#Totals],[Nb of Loans]]</f>
        <v>0</v>
      </c>
    </row>
    <row r="149" spans="1:8" x14ac:dyDescent="0.35">
      <c r="A149" s="427" t="s">
        <v>384</v>
      </c>
      <c r="B149" s="422" t="s">
        <v>364</v>
      </c>
      <c r="C149" s="423">
        <f>_xlfn.XLOOKUP(A149,INPUT_DATA!$CJ$4:$CJ$397,INPUT_DATA!$CL$4:$CL$397)</f>
        <v>19251356.599999998</v>
      </c>
      <c r="D149" s="424">
        <f>InterestRateType[[#This Row],[Principal Outstanding Balance]]/InterestRateType[[#Totals],[Principal Outstanding Balance]]</f>
        <v>2.7451456228100211E-2</v>
      </c>
      <c r="E149" s="425">
        <f>_xlfn.XLOOKUP(A149,INPUT_DATA!$CJ$4:$CJ$397,INPUT_DATA!$CM$4:$CM$397)</f>
        <v>278</v>
      </c>
      <c r="F149" s="424">
        <f>InterestRateType[[#This Row],[Nb of Loans]]/InterestRateType[[#Totals],[Nb of Loans]]</f>
        <v>7.537960954446854E-2</v>
      </c>
    </row>
    <row r="150" spans="1:8" x14ac:dyDescent="0.35">
      <c r="A150" s="427" t="s">
        <v>386</v>
      </c>
      <c r="B150" s="422" t="s">
        <v>365</v>
      </c>
      <c r="C150" s="423">
        <f>_xlfn.XLOOKUP(A150,INPUT_DATA!$CJ$4:$CJ$397,INPUT_DATA!$CL$4:$CL$397)</f>
        <v>0</v>
      </c>
      <c r="D150" s="424">
        <f>InterestRateType[[#This Row],[Principal Outstanding Balance]]/InterestRateType[[#Totals],[Principal Outstanding Balance]]</f>
        <v>0</v>
      </c>
      <c r="E150" s="425">
        <f>_xlfn.XLOOKUP(A150,INPUT_DATA!$CJ$4:$CJ$397,INPUT_DATA!$CM$4:$CM$397)</f>
        <v>0</v>
      </c>
      <c r="F150" s="424">
        <f>InterestRateType[[#This Row],[Nb of Loans]]/InterestRateType[[#Totals],[Nb of Loans]]</f>
        <v>0</v>
      </c>
    </row>
    <row r="151" spans="1:8" x14ac:dyDescent="0.35">
      <c r="A151" s="427" t="s">
        <v>388</v>
      </c>
      <c r="B151" s="422" t="s">
        <v>366</v>
      </c>
      <c r="C151" s="423">
        <f>_xlfn.XLOOKUP(A151,INPUT_DATA!$CJ$4:$CJ$397,INPUT_DATA!$CL$4:$CL$397)</f>
        <v>0</v>
      </c>
      <c r="D151" s="424">
        <f>InterestRateType[[#This Row],[Principal Outstanding Balance]]/InterestRateType[[#Totals],[Principal Outstanding Balance]]</f>
        <v>0</v>
      </c>
      <c r="E151" s="425">
        <f>_xlfn.XLOOKUP(A151,INPUT_DATA!$CJ$4:$CJ$397,INPUT_DATA!$CM$4:$CM$397)</f>
        <v>0</v>
      </c>
      <c r="F151" s="424">
        <f>InterestRateType[[#This Row],[Nb of Loans]]/InterestRateType[[#Totals],[Nb of Loans]]</f>
        <v>0</v>
      </c>
    </row>
    <row r="152" spans="1:8" x14ac:dyDescent="0.35">
      <c r="A152" s="427" t="s">
        <v>390</v>
      </c>
      <c r="B152" s="422" t="s">
        <v>367</v>
      </c>
      <c r="C152" s="423">
        <f>_xlfn.XLOOKUP(A152,INPUT_DATA!$CJ$4:$CJ$397,INPUT_DATA!$CL$4:$CL$397)</f>
        <v>0</v>
      </c>
      <c r="D152" s="424">
        <f>InterestRateType[[#This Row],[Principal Outstanding Balance]]/InterestRateType[[#Totals],[Principal Outstanding Balance]]</f>
        <v>0</v>
      </c>
      <c r="E152" s="425">
        <f>_xlfn.XLOOKUP(A152,INPUT_DATA!$CJ$4:$CJ$397,INPUT_DATA!$CM$4:$CM$397)</f>
        <v>0</v>
      </c>
      <c r="F152" s="424">
        <f>InterestRateType[[#This Row],[Nb of Loans]]/InterestRateType[[#Totals],[Nb of Loans]]</f>
        <v>0</v>
      </c>
    </row>
    <row r="153" spans="1:8" x14ac:dyDescent="0.35">
      <c r="A153" s="427" t="s">
        <v>392</v>
      </c>
      <c r="B153" s="422" t="s">
        <v>368</v>
      </c>
      <c r="C153" s="423">
        <f>_xlfn.XLOOKUP(A153,INPUT_DATA!$CJ$4:$CJ$397,INPUT_DATA!$CL$4:$CL$397)</f>
        <v>0</v>
      </c>
      <c r="D153" s="424">
        <f>InterestRateType[[#This Row],[Principal Outstanding Balance]]/InterestRateType[[#Totals],[Principal Outstanding Balance]]</f>
        <v>0</v>
      </c>
      <c r="E153" s="425">
        <f>_xlfn.XLOOKUP(A153,INPUT_DATA!$CJ$4:$CJ$397,INPUT_DATA!$CM$4:$CM$397)</f>
        <v>0</v>
      </c>
      <c r="F153" s="424">
        <f>InterestRateType[[#This Row],[Nb of Loans]]/InterestRateType[[#Totals],[Nb of Loans]]</f>
        <v>0</v>
      </c>
    </row>
    <row r="154" spans="1:8" x14ac:dyDescent="0.35">
      <c r="A154" s="427" t="s">
        <v>393</v>
      </c>
      <c r="B154" s="422" t="s">
        <v>369</v>
      </c>
      <c r="C154" s="423">
        <f>_xlfn.XLOOKUP(A154,INPUT_DATA!$CJ$4:$CJ$397,INPUT_DATA!$CL$4:$CL$397)</f>
        <v>0</v>
      </c>
      <c r="D154" s="424">
        <f>InterestRateType[[#This Row],[Principal Outstanding Balance]]/InterestRateType[[#Totals],[Principal Outstanding Balance]]</f>
        <v>0</v>
      </c>
      <c r="E154" s="425">
        <f>_xlfn.XLOOKUP(A154,INPUT_DATA!$CJ$4:$CJ$397,INPUT_DATA!$CM$4:$CM$397)</f>
        <v>0</v>
      </c>
      <c r="F154" s="424">
        <f>InterestRateType[[#This Row],[Nb of Loans]]/InterestRateType[[#Totals],[Nb of Loans]]</f>
        <v>0</v>
      </c>
    </row>
    <row r="155" spans="1:8" x14ac:dyDescent="0.35">
      <c r="A155" s="427" t="s">
        <v>394</v>
      </c>
      <c r="B155" s="422" t="s">
        <v>370</v>
      </c>
      <c r="C155" s="423">
        <f>_xlfn.XLOOKUP(A155,INPUT_DATA!$CJ$4:$CJ$397,INPUT_DATA!$CL$4:$CL$397)</f>
        <v>0</v>
      </c>
      <c r="D155" s="424">
        <f>InterestRateType[[#This Row],[Principal Outstanding Balance]]/InterestRateType[[#Totals],[Principal Outstanding Balance]]</f>
        <v>0</v>
      </c>
      <c r="E155" s="425">
        <f>_xlfn.XLOOKUP(A155,INPUT_DATA!$CJ$4:$CJ$397,INPUT_DATA!$CM$4:$CM$397)</f>
        <v>0</v>
      </c>
      <c r="F155" s="424">
        <f>InterestRateType[[#This Row],[Nb of Loans]]/InterestRateType[[#Totals],[Nb of Loans]]</f>
        <v>0</v>
      </c>
    </row>
    <row r="156" spans="1:8" x14ac:dyDescent="0.35">
      <c r="A156" s="427"/>
      <c r="B156" s="718" t="s">
        <v>2</v>
      </c>
      <c r="C156" s="805">
        <f>SUBTOTAL(109,InterestRateType[Principal Outstanding Balance])</f>
        <v>701287262.86999953</v>
      </c>
      <c r="D156" s="806">
        <f>SUBTOTAL(109,InterestRateType[% of Total (Amount)])</f>
        <v>1</v>
      </c>
      <c r="E156" s="807">
        <f>SUBTOTAL(109,InterestRateType[Nb of Loans])</f>
        <v>3688</v>
      </c>
      <c r="F156" s="806">
        <f>SUBTOTAL(109,InterestRateType[% of Total (Number)])</f>
        <v>1</v>
      </c>
    </row>
    <row r="157" spans="1:8" x14ac:dyDescent="0.35">
      <c r="A157" s="427"/>
      <c r="B157" s="422"/>
      <c r="C157" s="423"/>
      <c r="D157" s="424"/>
      <c r="E157" s="425"/>
      <c r="F157" s="424"/>
      <c r="H157" s="487" t="s">
        <v>654</v>
      </c>
    </row>
    <row r="158" spans="1:8" x14ac:dyDescent="0.35">
      <c r="A158" s="427"/>
      <c r="B158" s="420" t="s">
        <v>1258</v>
      </c>
      <c r="C158" s="420"/>
    </row>
    <row r="159" spans="1:8" ht="15" customHeight="1" x14ac:dyDescent="0.35">
      <c r="A159" s="427"/>
      <c r="B159" s="420"/>
      <c r="C159" s="420"/>
    </row>
    <row r="160" spans="1:8" ht="33" customHeight="1" x14ac:dyDescent="0.35">
      <c r="A160" s="427"/>
      <c r="B160" s="410" t="s">
        <v>524</v>
      </c>
      <c r="C160" s="410" t="s">
        <v>257</v>
      </c>
      <c r="D160" s="410" t="s">
        <v>289</v>
      </c>
      <c r="E160" s="410" t="s">
        <v>290</v>
      </c>
      <c r="F160" s="410" t="s">
        <v>291</v>
      </c>
      <c r="G160" s="421"/>
    </row>
    <row r="161" spans="1:8" x14ac:dyDescent="0.35">
      <c r="A161" s="427" t="s">
        <v>395</v>
      </c>
      <c r="B161" s="422" t="s">
        <v>526</v>
      </c>
      <c r="C161" s="423">
        <f>_xlfn.XLOOKUP(A161,INPUT_DATA!$CJ$4:$CJ$397,INPUT_DATA!$CL$4:$CL$397)</f>
        <v>69615997.75</v>
      </c>
      <c r="D161" s="424">
        <f>GuaranteeProvider30[[#This Row],[Principal Outstanding Balance]]/GuaranteeProvider30[[#Totals],[Principal Outstanding Balance]]</f>
        <v>9.9268875161226164E-2</v>
      </c>
      <c r="E161" s="425">
        <f>_xlfn.XLOOKUP(A161,INPUT_DATA!$CJ$4:$CJ$397,INPUT_DATA!$CM$4:$CM$397)</f>
        <v>689</v>
      </c>
      <c r="F161" s="424">
        <f>GuaranteeProvider30[[#This Row],[Nb of Loans]]/GuaranteeProvider30[[#Totals],[Nb of Loans]]</f>
        <v>0.18682212581344904</v>
      </c>
    </row>
    <row r="162" spans="1:8" x14ac:dyDescent="0.35">
      <c r="A162" s="427" t="s">
        <v>396</v>
      </c>
      <c r="B162" s="422" t="s">
        <v>527</v>
      </c>
      <c r="C162" s="423">
        <f>_xlfn.XLOOKUP(A162,INPUT_DATA!$CJ$4:$CJ$397,INPUT_DATA!$CL$4:$CL$397)</f>
        <v>499148390.23999971</v>
      </c>
      <c r="D162" s="424">
        <f>GuaranteeProvider30[[#This Row],[Principal Outstanding Balance]]/GuaranteeProvider30[[#Totals],[Principal Outstanding Balance]]</f>
        <v>0.71176023958748091</v>
      </c>
      <c r="E162" s="425">
        <f>_xlfn.XLOOKUP(A162,INPUT_DATA!$CJ$4:$CJ$397,INPUT_DATA!$CM$4:$CM$397)</f>
        <v>1642</v>
      </c>
      <c r="F162" s="424">
        <f>GuaranteeProvider30[[#This Row],[Nb of Loans]]/GuaranteeProvider30[[#Totals],[Nb of Loans]]</f>
        <v>0.4452277657266811</v>
      </c>
    </row>
    <row r="163" spans="1:8" x14ac:dyDescent="0.35">
      <c r="A163" s="427" t="s">
        <v>397</v>
      </c>
      <c r="B163" s="422" t="s">
        <v>1477</v>
      </c>
      <c r="C163" s="423">
        <f>_xlfn.XLOOKUP(A163,INPUT_DATA!$CJ$4:$CJ$397,INPUT_DATA!$CL$4:$CL$397)</f>
        <v>103008163.20999999</v>
      </c>
      <c r="D163" s="424">
        <f>GuaranteeProvider30[[#This Row],[Principal Outstanding Balance]]/GuaranteeProvider30[[#Totals],[Principal Outstanding Balance]]</f>
        <v>0.1468844062395227</v>
      </c>
      <c r="E163" s="425">
        <f>_xlfn.XLOOKUP(A163,INPUT_DATA!$CJ$4:$CJ$397,INPUT_DATA!$CM$4:$CM$397)</f>
        <v>925</v>
      </c>
      <c r="F163" s="424">
        <f>GuaranteeProvider30[[#This Row],[Nb of Loans]]/GuaranteeProvider30[[#Totals],[Nb of Loans]]</f>
        <v>0.25081344902386116</v>
      </c>
    </row>
    <row r="164" spans="1:8" x14ac:dyDescent="0.35">
      <c r="A164" s="427" t="s">
        <v>398</v>
      </c>
      <c r="B164" s="422" t="s">
        <v>525</v>
      </c>
      <c r="C164" s="423">
        <f>_xlfn.XLOOKUP(A164,INPUT_DATA!$CJ$4:$CJ$397,INPUT_DATA!$CL$4:$CL$397)</f>
        <v>29514711.669999994</v>
      </c>
      <c r="D164" s="424">
        <f>GuaranteeProvider30[[#This Row],[Principal Outstanding Balance]]/GuaranteeProvider30[[#Totals],[Principal Outstanding Balance]]</f>
        <v>4.2086479011770171E-2</v>
      </c>
      <c r="E164" s="425">
        <f>_xlfn.XLOOKUP(A164,INPUT_DATA!$CJ$4:$CJ$397,INPUT_DATA!$CM$4:$CM$397)</f>
        <v>432</v>
      </c>
      <c r="F164" s="424">
        <f>GuaranteeProvider30[[#This Row],[Nb of Loans]]/GuaranteeProvider30[[#Totals],[Nb of Loans]]</f>
        <v>0.11713665943600868</v>
      </c>
    </row>
    <row r="165" spans="1:8" x14ac:dyDescent="0.35">
      <c r="A165" s="427"/>
      <c r="B165" s="718" t="s">
        <v>2</v>
      </c>
      <c r="C165" s="805">
        <f>SUBTOTAL(109,GuaranteeProvider30[Principal Outstanding Balance])</f>
        <v>701287262.86999977</v>
      </c>
      <c r="D165" s="906">
        <f>SUBTOTAL(109,GuaranteeProvider30[% of Total (Amount)])</f>
        <v>1</v>
      </c>
      <c r="E165" s="907">
        <f>SUBTOTAL(109,GuaranteeProvider30[Nb of Loans])</f>
        <v>3688</v>
      </c>
      <c r="F165" s="906">
        <f>SUBTOTAL(109,GuaranteeProvider30[% of Total (Number)])</f>
        <v>1</v>
      </c>
    </row>
    <row r="166" spans="1:8" x14ac:dyDescent="0.35">
      <c r="A166" s="427"/>
      <c r="B166" s="422"/>
      <c r="C166" s="423"/>
      <c r="D166" s="424"/>
      <c r="E166" s="425"/>
      <c r="F166" s="424"/>
      <c r="H166" s="487" t="s">
        <v>654</v>
      </c>
    </row>
    <row r="167" spans="1:8" x14ac:dyDescent="0.35">
      <c r="A167" s="427"/>
      <c r="B167" s="420" t="s">
        <v>1259</v>
      </c>
      <c r="C167" s="420"/>
    </row>
    <row r="168" spans="1:8" ht="15" customHeight="1" x14ac:dyDescent="0.35">
      <c r="A168" s="427"/>
      <c r="B168" s="420"/>
      <c r="C168" s="420"/>
    </row>
    <row r="169" spans="1:8" ht="33" customHeight="1" x14ac:dyDescent="0.35">
      <c r="A169" s="427"/>
      <c r="B169" s="410" t="s">
        <v>410</v>
      </c>
      <c r="C169" s="410" t="s">
        <v>257</v>
      </c>
      <c r="D169" s="410" t="s">
        <v>289</v>
      </c>
      <c r="E169" s="410" t="s">
        <v>290</v>
      </c>
      <c r="F169" s="410" t="s">
        <v>291</v>
      </c>
      <c r="G169" s="421"/>
    </row>
    <row r="170" spans="1:8" x14ac:dyDescent="0.35">
      <c r="A170" s="427" t="s">
        <v>399</v>
      </c>
      <c r="B170" s="718" t="s">
        <v>373</v>
      </c>
      <c r="C170" s="423">
        <f>_xlfn.XLOOKUP(A170,INPUT_DATA!$CJ$4:$CJ$397,INPUT_DATA!$CL$4:$CL$397)</f>
        <v>12718501.790000003</v>
      </c>
      <c r="D170" s="424">
        <f>OriginalLoanToValue173132[[#This Row],[Principal Outstanding Balance]]/OriginalLoanToValue173132[[#Totals],[Principal Outstanding Balance]]</f>
        <v>1.8135937244817289E-2</v>
      </c>
      <c r="E170" s="425">
        <f>_xlfn.XLOOKUP(A170,INPUT_DATA!$CJ$4:$CJ$397,INPUT_DATA!$CM$4:$CM$397)</f>
        <v>694</v>
      </c>
      <c r="F170" s="424">
        <f>OriginalLoanToValue173132[[#This Row],[Nb of Loans]]/OriginalLoanToValue173132[[#Totals],[Nb of Loans]]</f>
        <v>0.18817787418655096</v>
      </c>
    </row>
    <row r="171" spans="1:8" x14ac:dyDescent="0.35">
      <c r="A171" s="427" t="s">
        <v>400</v>
      </c>
      <c r="B171" s="718" t="s">
        <v>375</v>
      </c>
      <c r="C171" s="423">
        <f>_xlfn.XLOOKUP(A171,INPUT_DATA!$CJ$4:$CJ$397,INPUT_DATA!$CL$4:$CL$397)</f>
        <v>34188190.849999972</v>
      </c>
      <c r="D171" s="424">
        <f>OriginalLoanToValue173132[[#This Row],[Principal Outstanding Balance]]/OriginalLoanToValue173132[[#Totals],[Principal Outstanding Balance]]</f>
        <v>4.8750622833338926E-2</v>
      </c>
      <c r="E171" s="425">
        <f>_xlfn.XLOOKUP(A171,INPUT_DATA!$CJ$4:$CJ$397,INPUT_DATA!$CM$4:$CM$397)</f>
        <v>426</v>
      </c>
      <c r="F171" s="424">
        <f>OriginalLoanToValue173132[[#This Row],[Nb of Loans]]/OriginalLoanToValue173132[[#Totals],[Nb of Loans]]</f>
        <v>0.11550976138828634</v>
      </c>
    </row>
    <row r="172" spans="1:8" x14ac:dyDescent="0.35">
      <c r="A172" s="427" t="s">
        <v>401</v>
      </c>
      <c r="B172" s="718" t="s">
        <v>377</v>
      </c>
      <c r="C172" s="423">
        <f>_xlfn.XLOOKUP(A172,INPUT_DATA!$CJ$4:$CJ$397,INPUT_DATA!$CL$4:$CL$397)</f>
        <v>56941661.779999964</v>
      </c>
      <c r="D172" s="424">
        <f>OriginalLoanToValue173132[[#This Row],[Principal Outstanding Balance]]/OriginalLoanToValue173132[[#Totals],[Principal Outstanding Balance]]</f>
        <v>8.1195916131383439E-2</v>
      </c>
      <c r="E172" s="425">
        <f>_xlfn.XLOOKUP(A172,INPUT_DATA!$CJ$4:$CJ$397,INPUT_DATA!$CM$4:$CM$397)</f>
        <v>441</v>
      </c>
      <c r="F172" s="424">
        <f>OriginalLoanToValue173132[[#This Row],[Nb of Loans]]/OriginalLoanToValue173132[[#Totals],[Nb of Loans]]</f>
        <v>0.11957700650759219</v>
      </c>
    </row>
    <row r="173" spans="1:8" x14ac:dyDescent="0.35">
      <c r="A173" s="427" t="s">
        <v>402</v>
      </c>
      <c r="B173" s="718" t="s">
        <v>379</v>
      </c>
      <c r="C173" s="423">
        <f>_xlfn.XLOOKUP(A173,INPUT_DATA!$CJ$4:$CJ$397,INPUT_DATA!$CL$4:$CL$397)</f>
        <v>75380532.269999981</v>
      </c>
      <c r="D173" s="424">
        <f>OriginalLoanToValue173132[[#This Row],[Principal Outstanding Balance]]/OriginalLoanToValue173132[[#Totals],[Principal Outstanding Balance]]</f>
        <v>0.10748880845419481</v>
      </c>
      <c r="E173" s="425">
        <f>_xlfn.XLOOKUP(A173,INPUT_DATA!$CJ$4:$CJ$397,INPUT_DATA!$CM$4:$CM$397)</f>
        <v>426</v>
      </c>
      <c r="F173" s="424">
        <f>OriginalLoanToValue173132[[#This Row],[Nb of Loans]]/OriginalLoanToValue173132[[#Totals],[Nb of Loans]]</f>
        <v>0.11550976138828634</v>
      </c>
    </row>
    <row r="174" spans="1:8" x14ac:dyDescent="0.35">
      <c r="A174" s="427" t="s">
        <v>403</v>
      </c>
      <c r="B174" s="718" t="s">
        <v>381</v>
      </c>
      <c r="C174" s="423">
        <f>_xlfn.XLOOKUP(A174,INPUT_DATA!$CJ$4:$CJ$397,INPUT_DATA!$CL$4:$CL$397)</f>
        <v>80514056.090000078</v>
      </c>
      <c r="D174" s="424">
        <f>OriginalLoanToValue173132[[#This Row],[Principal Outstanding Balance]]/OriginalLoanToValue173132[[#Totals],[Principal Outstanding Balance]]</f>
        <v>0.11480895255461848</v>
      </c>
      <c r="E174" s="425">
        <f>_xlfn.XLOOKUP(A174,INPUT_DATA!$CJ$4:$CJ$397,INPUT_DATA!$CM$4:$CM$397)</f>
        <v>354</v>
      </c>
      <c r="F174" s="424">
        <f>OriginalLoanToValue173132[[#This Row],[Nb of Loans]]/OriginalLoanToValue173132[[#Totals],[Nb of Loans]]</f>
        <v>9.5986984815618223E-2</v>
      </c>
    </row>
    <row r="175" spans="1:8" x14ac:dyDescent="0.35">
      <c r="A175" s="427" t="s">
        <v>404</v>
      </c>
      <c r="B175" s="718" t="s">
        <v>383</v>
      </c>
      <c r="C175" s="423">
        <f>_xlfn.XLOOKUP(A175,INPUT_DATA!$CJ$4:$CJ$397,INPUT_DATA!$CL$4:$CL$397)</f>
        <v>75364769.109999985</v>
      </c>
      <c r="D175" s="424">
        <f>OriginalLoanToValue173132[[#This Row],[Principal Outstanding Balance]]/OriginalLoanToValue173132[[#Totals],[Principal Outstanding Balance]]</f>
        <v>0.10746633098906093</v>
      </c>
      <c r="E175" s="425">
        <f>_xlfn.XLOOKUP(A175,INPUT_DATA!$CJ$4:$CJ$397,INPUT_DATA!$CM$4:$CM$397)</f>
        <v>285</v>
      </c>
      <c r="F175" s="424">
        <f>OriginalLoanToValue173132[[#This Row],[Nb of Loans]]/OriginalLoanToValue173132[[#Totals],[Nb of Loans]]</f>
        <v>7.7277657266811281E-2</v>
      </c>
    </row>
    <row r="176" spans="1:8" x14ac:dyDescent="0.35">
      <c r="A176" s="427" t="s">
        <v>405</v>
      </c>
      <c r="B176" s="718" t="s">
        <v>385</v>
      </c>
      <c r="C176" s="423">
        <f>_xlfn.XLOOKUP(A176,INPUT_DATA!$CJ$4:$CJ$397,INPUT_DATA!$CL$4:$CL$397)</f>
        <v>76776010.519999981</v>
      </c>
      <c r="D176" s="424">
        <f>OriginalLoanToValue173132[[#This Row],[Principal Outstanding Balance]]/OriginalLoanToValue173132[[#Totals],[Principal Outstanding Balance]]</f>
        <v>0.10947868952559633</v>
      </c>
      <c r="E176" s="425">
        <f>_xlfn.XLOOKUP(A176,INPUT_DATA!$CJ$4:$CJ$397,INPUT_DATA!$CM$4:$CM$397)</f>
        <v>266</v>
      </c>
      <c r="F176" s="424">
        <f>OriginalLoanToValue173132[[#This Row],[Nb of Loans]]/OriginalLoanToValue173132[[#Totals],[Nb of Loans]]</f>
        <v>7.2125813449023857E-2</v>
      </c>
    </row>
    <row r="177" spans="1:8" x14ac:dyDescent="0.35">
      <c r="A177" s="427" t="s">
        <v>406</v>
      </c>
      <c r="B177" s="718" t="s">
        <v>387</v>
      </c>
      <c r="C177" s="423">
        <f>_xlfn.XLOOKUP(A177,INPUT_DATA!$CJ$4:$CJ$397,INPUT_DATA!$CL$4:$CL$397)</f>
        <v>93815002.719999939</v>
      </c>
      <c r="D177" s="424">
        <f>OriginalLoanToValue173132[[#This Row],[Principal Outstanding Balance]]/OriginalLoanToValue173132[[#Totals],[Principal Outstanding Balance]]</f>
        <v>0.13377542654356003</v>
      </c>
      <c r="E177" s="425">
        <f>_xlfn.XLOOKUP(A177,INPUT_DATA!$CJ$4:$CJ$397,INPUT_DATA!$CM$4:$CM$397)</f>
        <v>275</v>
      </c>
      <c r="F177" s="424">
        <f>OriginalLoanToValue173132[[#This Row],[Nb of Loans]]/OriginalLoanToValue173132[[#Totals],[Nb of Loans]]</f>
        <v>7.4566160520607369E-2</v>
      </c>
    </row>
    <row r="178" spans="1:8" x14ac:dyDescent="0.35">
      <c r="A178" s="427" t="s">
        <v>407</v>
      </c>
      <c r="B178" s="718" t="s">
        <v>389</v>
      </c>
      <c r="C178" s="423">
        <f>_xlfn.XLOOKUP(A178,INPUT_DATA!$CJ$4:$CJ$397,INPUT_DATA!$CL$4:$CL$397)</f>
        <v>101902709.90000004</v>
      </c>
      <c r="D178" s="424">
        <f>OriginalLoanToValue173132[[#This Row],[Principal Outstanding Balance]]/OriginalLoanToValue173132[[#Totals],[Principal Outstanding Balance]]</f>
        <v>0.145308085994555</v>
      </c>
      <c r="E178" s="425">
        <f>_xlfn.XLOOKUP(A178,INPUT_DATA!$CJ$4:$CJ$397,INPUT_DATA!$CM$4:$CM$397)</f>
        <v>276</v>
      </c>
      <c r="F178" s="424">
        <f>OriginalLoanToValue173132[[#This Row],[Nb of Loans]]/OriginalLoanToValue173132[[#Totals],[Nb of Loans]]</f>
        <v>7.4837310195227769E-2</v>
      </c>
    </row>
    <row r="179" spans="1:8" x14ac:dyDescent="0.35">
      <c r="A179" s="427" t="s">
        <v>408</v>
      </c>
      <c r="B179" s="718" t="s">
        <v>391</v>
      </c>
      <c r="C179" s="423">
        <f>_xlfn.XLOOKUP(A179,INPUT_DATA!$CJ$4:$CJ$397,INPUT_DATA!$CL$4:$CL$397)</f>
        <v>76469362.400000006</v>
      </c>
      <c r="D179" s="424">
        <f>OriginalLoanToValue173132[[#This Row],[Principal Outstanding Balance]]/OriginalLoanToValue173132[[#Totals],[Principal Outstanding Balance]]</f>
        <v>0.10904142488921177</v>
      </c>
      <c r="E179" s="425">
        <f>_xlfn.XLOOKUP(A179,INPUT_DATA!$CJ$4:$CJ$397,INPUT_DATA!$CM$4:$CM$397)</f>
        <v>191</v>
      </c>
      <c r="F179" s="424">
        <f>OriginalLoanToValue173132[[#This Row],[Nb of Loans]]/OriginalLoanToValue173132[[#Totals],[Nb of Loans]]</f>
        <v>5.178958785249458E-2</v>
      </c>
    </row>
    <row r="180" spans="1:8" x14ac:dyDescent="0.35">
      <c r="A180" s="427" t="s">
        <v>409</v>
      </c>
      <c r="B180" s="718" t="s">
        <v>1260</v>
      </c>
      <c r="C180" s="423">
        <f>_xlfn.XLOOKUP(A180,INPUT_DATA!$CJ$4:$CJ$397,INPUT_DATA!$CL$4:$CL$397)</f>
        <v>17216465.439999998</v>
      </c>
      <c r="D180" s="424">
        <f>OriginalLoanToValue173132[[#This Row],[Principal Outstanding Balance]]/OriginalLoanToValue173132[[#Totals],[Principal Outstanding Balance]]</f>
        <v>2.454980483966308E-2</v>
      </c>
      <c r="E180" s="425">
        <f>_xlfn.XLOOKUP(A180,INPUT_DATA!$CJ$4:$CJ$397,INPUT_DATA!$CM$4:$CM$397)</f>
        <v>54</v>
      </c>
      <c r="F180" s="424">
        <f>OriginalLoanToValue173132[[#This Row],[Nb of Loans]]/OriginalLoanToValue173132[[#Totals],[Nb of Loans]]</f>
        <v>1.4642082429501085E-2</v>
      </c>
    </row>
    <row r="181" spans="1:8" x14ac:dyDescent="0.35">
      <c r="A181" s="427"/>
      <c r="B181" s="718" t="s">
        <v>2</v>
      </c>
      <c r="C181" s="805">
        <f>SUBTOTAL(109,OriginalLoanToValue173132[Principal Outstanding Balance])</f>
        <v>701287262.86999989</v>
      </c>
      <c r="D181" s="806">
        <f>SUBTOTAL(109,OriginalLoanToValue173132[% of Total (Amount)])</f>
        <v>1.0000000000000002</v>
      </c>
      <c r="E181" s="807">
        <f>SUBTOTAL(109,OriginalLoanToValue173132[Nb of Loans])</f>
        <v>3688</v>
      </c>
      <c r="F181" s="806">
        <f>SUBTOTAL(109,OriginalLoanToValue173132[% of Total (Number)])</f>
        <v>0.99999999999999978</v>
      </c>
    </row>
    <row r="182" spans="1:8" x14ac:dyDescent="0.35">
      <c r="A182" s="427"/>
      <c r="B182" s="422"/>
      <c r="C182" s="423"/>
      <c r="D182" s="424"/>
      <c r="E182" s="425"/>
      <c r="F182" s="424"/>
      <c r="H182" s="487" t="s">
        <v>654</v>
      </c>
    </row>
    <row r="183" spans="1:8" x14ac:dyDescent="0.35">
      <c r="A183" s="427"/>
      <c r="B183" s="420" t="s">
        <v>1377</v>
      </c>
      <c r="C183" s="420"/>
    </row>
    <row r="184" spans="1:8" ht="15" customHeight="1" x14ac:dyDescent="0.35">
      <c r="A184" s="427"/>
      <c r="B184" s="420"/>
      <c r="C184" s="420"/>
    </row>
    <row r="185" spans="1:8" ht="33" customHeight="1" x14ac:dyDescent="0.35">
      <c r="A185" s="427"/>
      <c r="B185" s="410" t="s">
        <v>371</v>
      </c>
      <c r="C185" s="410" t="s">
        <v>257</v>
      </c>
      <c r="D185" s="410" t="s">
        <v>289</v>
      </c>
      <c r="E185" s="410" t="s">
        <v>290</v>
      </c>
      <c r="F185" s="410" t="s">
        <v>291</v>
      </c>
      <c r="G185" s="421"/>
    </row>
    <row r="186" spans="1:8" x14ac:dyDescent="0.35">
      <c r="A186" s="427" t="s">
        <v>411</v>
      </c>
      <c r="B186" s="718" t="s">
        <v>373</v>
      </c>
      <c r="C186" s="423">
        <f>_xlfn.XLOOKUP(A186,INPUT_DATA!$CJ$4:$CJ$397,INPUT_DATA!$CL$4:$CL$397)</f>
        <v>715991.25000000012</v>
      </c>
      <c r="D186" s="424">
        <f>CurrentLoanToValue[[#This Row],[Principal Outstanding Balance]]/CurrentLoanToValue[[#Totals],[Principal Outstanding Balance]]</f>
        <v>1.0209671384445575E-3</v>
      </c>
      <c r="E186" s="425">
        <f>_xlfn.XLOOKUP(A186,INPUT_DATA!$CJ$4:$CJ$397,INPUT_DATA!$CM$4:$CM$397)</f>
        <v>16</v>
      </c>
      <c r="F186" s="424">
        <f>CurrentLoanToValue[[#This Row],[Nb of Loans]]/CurrentLoanToValue[[#Totals],[Nb of Loans]]</f>
        <v>4.3383947939262474E-3</v>
      </c>
    </row>
    <row r="187" spans="1:8" x14ac:dyDescent="0.35">
      <c r="A187" s="427" t="s">
        <v>412</v>
      </c>
      <c r="B187" s="718" t="s">
        <v>375</v>
      </c>
      <c r="C187" s="423">
        <f>_xlfn.XLOOKUP(A187,INPUT_DATA!$CJ$4:$CJ$397,INPUT_DATA!$CL$4:$CL$397)</f>
        <v>8582898.5199999996</v>
      </c>
      <c r="D187" s="424">
        <f>CurrentLoanToValue[[#This Row],[Principal Outstanding Balance]]/CurrentLoanToValue[[#Totals],[Principal Outstanding Balance]]</f>
        <v>1.2238777138022882E-2</v>
      </c>
      <c r="E187" s="425">
        <f>_xlfn.XLOOKUP(A187,INPUT_DATA!$CJ$4:$CJ$397,INPUT_DATA!$CM$4:$CM$397)</f>
        <v>74</v>
      </c>
      <c r="F187" s="424">
        <f>CurrentLoanToValue[[#This Row],[Nb of Loans]]/CurrentLoanToValue[[#Totals],[Nb of Loans]]</f>
        <v>2.0065075921908895E-2</v>
      </c>
    </row>
    <row r="188" spans="1:8" x14ac:dyDescent="0.35">
      <c r="A188" s="427" t="s">
        <v>413</v>
      </c>
      <c r="B188" s="718" t="s">
        <v>377</v>
      </c>
      <c r="C188" s="423">
        <f>_xlfn.XLOOKUP(A188,INPUT_DATA!$CJ$4:$CJ$397,INPUT_DATA!$CL$4:$CL$397)</f>
        <v>18818438.439999986</v>
      </c>
      <c r="D188" s="424">
        <f>CurrentLoanToValue[[#This Row],[Principal Outstanding Balance]]/CurrentLoanToValue[[#Totals],[Principal Outstanding Balance]]</f>
        <v>2.6834136931256976E-2</v>
      </c>
      <c r="E188" s="425">
        <f>_xlfn.XLOOKUP(A188,INPUT_DATA!$CJ$4:$CJ$397,INPUT_DATA!$CM$4:$CM$397)</f>
        <v>156</v>
      </c>
      <c r="F188" s="424">
        <f>CurrentLoanToValue[[#This Row],[Nb of Loans]]/CurrentLoanToValue[[#Totals],[Nb of Loans]]</f>
        <v>4.2299349240780909E-2</v>
      </c>
    </row>
    <row r="189" spans="1:8" x14ac:dyDescent="0.35">
      <c r="A189" s="427" t="s">
        <v>414</v>
      </c>
      <c r="B189" s="718" t="s">
        <v>379</v>
      </c>
      <c r="C189" s="423">
        <f>_xlfn.XLOOKUP(A189,INPUT_DATA!$CJ$4:$CJ$397,INPUT_DATA!$CL$4:$CL$397)</f>
        <v>31040225.919999983</v>
      </c>
      <c r="D189" s="424">
        <f>CurrentLoanToValue[[#This Row],[Principal Outstanding Balance]]/CurrentLoanToValue[[#Totals],[Principal Outstanding Balance]]</f>
        <v>4.4261784811217959E-2</v>
      </c>
      <c r="E189" s="425">
        <f>_xlfn.XLOOKUP(A189,INPUT_DATA!$CJ$4:$CJ$397,INPUT_DATA!$CM$4:$CM$397)</f>
        <v>210</v>
      </c>
      <c r="F189" s="424">
        <f>CurrentLoanToValue[[#This Row],[Nb of Loans]]/CurrentLoanToValue[[#Totals],[Nb of Loans]]</f>
        <v>5.6941431670281997E-2</v>
      </c>
    </row>
    <row r="190" spans="1:8" x14ac:dyDescent="0.35">
      <c r="A190" s="427" t="s">
        <v>415</v>
      </c>
      <c r="B190" s="718" t="s">
        <v>381</v>
      </c>
      <c r="C190" s="423">
        <f>_xlfn.XLOOKUP(A190,INPUT_DATA!$CJ$4:$CJ$397,INPUT_DATA!$CL$4:$CL$397)</f>
        <v>57481815.969999999</v>
      </c>
      <c r="D190" s="424">
        <f>CurrentLoanToValue[[#This Row],[Principal Outstanding Balance]]/CurrentLoanToValue[[#Totals],[Principal Outstanding Balance]]</f>
        <v>8.1966148557664015E-2</v>
      </c>
      <c r="E190" s="425">
        <f>_xlfn.XLOOKUP(A190,INPUT_DATA!$CJ$4:$CJ$397,INPUT_DATA!$CM$4:$CM$397)</f>
        <v>297</v>
      </c>
      <c r="F190" s="424">
        <f>CurrentLoanToValue[[#This Row],[Nb of Loans]]/CurrentLoanToValue[[#Totals],[Nb of Loans]]</f>
        <v>8.0531453362255964E-2</v>
      </c>
    </row>
    <row r="191" spans="1:8" x14ac:dyDescent="0.35">
      <c r="A191" s="427" t="s">
        <v>416</v>
      </c>
      <c r="B191" s="718" t="s">
        <v>383</v>
      </c>
      <c r="C191" s="423">
        <f>_xlfn.XLOOKUP(A191,INPUT_DATA!$CJ$4:$CJ$397,INPUT_DATA!$CL$4:$CL$397)</f>
        <v>59610873.699999973</v>
      </c>
      <c r="D191" s="424">
        <f>CurrentLoanToValue[[#This Row],[Principal Outstanding Balance]]/CurrentLoanToValue[[#Totals],[Principal Outstanding Balance]]</f>
        <v>8.5002076689720582E-2</v>
      </c>
      <c r="E191" s="425">
        <f>_xlfn.XLOOKUP(A191,INPUT_DATA!$CJ$4:$CJ$397,INPUT_DATA!$CM$4:$CM$397)</f>
        <v>340</v>
      </c>
      <c r="F191" s="424">
        <f>CurrentLoanToValue[[#This Row],[Nb of Loans]]/CurrentLoanToValue[[#Totals],[Nb of Loans]]</f>
        <v>9.2190889370932755E-2</v>
      </c>
    </row>
    <row r="192" spans="1:8" x14ac:dyDescent="0.35">
      <c r="A192" s="427" t="s">
        <v>417</v>
      </c>
      <c r="B192" s="718" t="s">
        <v>385</v>
      </c>
      <c r="C192" s="423">
        <f>_xlfn.XLOOKUP(A192,INPUT_DATA!$CJ$4:$CJ$397,INPUT_DATA!$CL$4:$CL$397)</f>
        <v>76232968.370000049</v>
      </c>
      <c r="D192" s="424">
        <f>CurrentLoanToValue[[#This Row],[Principal Outstanding Balance]]/CurrentLoanToValue[[#Totals],[Principal Outstanding Balance]]</f>
        <v>0.10870433901511144</v>
      </c>
      <c r="E192" s="425">
        <f>_xlfn.XLOOKUP(A192,INPUT_DATA!$CJ$4:$CJ$397,INPUT_DATA!$CM$4:$CM$397)</f>
        <v>420</v>
      </c>
      <c r="F192" s="424">
        <f>CurrentLoanToValue[[#This Row],[Nb of Loans]]/CurrentLoanToValue[[#Totals],[Nb of Loans]]</f>
        <v>0.11388286334056399</v>
      </c>
    </row>
    <row r="193" spans="1:8" x14ac:dyDescent="0.35">
      <c r="A193" s="427" t="s">
        <v>418</v>
      </c>
      <c r="B193" s="718" t="s">
        <v>387</v>
      </c>
      <c r="C193" s="423">
        <f>_xlfn.XLOOKUP(A193,INPUT_DATA!$CJ$4:$CJ$397,INPUT_DATA!$CL$4:$CL$397)</f>
        <v>70530638.980000004</v>
      </c>
      <c r="D193" s="424">
        <f>CurrentLoanToValue[[#This Row],[Principal Outstanding Balance]]/CurrentLoanToValue[[#Totals],[Principal Outstanding Balance]]</f>
        <v>0.10057310707648559</v>
      </c>
      <c r="E193" s="425">
        <f>_xlfn.XLOOKUP(A193,INPUT_DATA!$CJ$4:$CJ$397,INPUT_DATA!$CM$4:$CM$397)</f>
        <v>363</v>
      </c>
      <c r="F193" s="424">
        <f>CurrentLoanToValue[[#This Row],[Nb of Loans]]/CurrentLoanToValue[[#Totals],[Nb of Loans]]</f>
        <v>9.8427331887201736E-2</v>
      </c>
    </row>
    <row r="194" spans="1:8" x14ac:dyDescent="0.35">
      <c r="A194" s="427" t="s">
        <v>419</v>
      </c>
      <c r="B194" s="718" t="s">
        <v>389</v>
      </c>
      <c r="C194" s="423">
        <f>_xlfn.XLOOKUP(A194,INPUT_DATA!$CJ$4:$CJ$397,INPUT_DATA!$CL$4:$CL$397)</f>
        <v>94053894.270000011</v>
      </c>
      <c r="D194" s="424">
        <f>CurrentLoanToValue[[#This Row],[Principal Outstanding Balance]]/CurrentLoanToValue[[#Totals],[Principal Outstanding Balance]]</f>
        <v>0.13411607375426565</v>
      </c>
      <c r="E194" s="425">
        <f>_xlfn.XLOOKUP(A194,INPUT_DATA!$CJ$4:$CJ$397,INPUT_DATA!$CM$4:$CM$397)</f>
        <v>434</v>
      </c>
      <c r="F194" s="424">
        <f>CurrentLoanToValue[[#This Row],[Nb of Loans]]/CurrentLoanToValue[[#Totals],[Nb of Loans]]</f>
        <v>0.11767895878524946</v>
      </c>
    </row>
    <row r="195" spans="1:8" x14ac:dyDescent="0.35">
      <c r="A195" s="427" t="s">
        <v>420</v>
      </c>
      <c r="B195" s="718" t="s">
        <v>391</v>
      </c>
      <c r="C195" s="423">
        <f>_xlfn.XLOOKUP(A195,INPUT_DATA!$CJ$4:$CJ$397,INPUT_DATA!$CL$4:$CL$397)</f>
        <v>244354696.83999994</v>
      </c>
      <c r="D195" s="424">
        <f>CurrentLoanToValue[[#This Row],[Principal Outstanding Balance]]/CurrentLoanToValue[[#Totals],[Principal Outstanding Balance]]</f>
        <v>0.34843738048226436</v>
      </c>
      <c r="E195" s="425">
        <f>_xlfn.XLOOKUP(A195,INPUT_DATA!$CJ$4:$CJ$397,INPUT_DATA!$CM$4:$CM$397)</f>
        <v>1261</v>
      </c>
      <c r="F195" s="424">
        <f>CurrentLoanToValue[[#This Row],[Nb of Loans]]/CurrentLoanToValue[[#Totals],[Nb of Loans]]</f>
        <v>0.34191973969631234</v>
      </c>
    </row>
    <row r="196" spans="1:8" x14ac:dyDescent="0.35">
      <c r="A196" s="427" t="s">
        <v>421</v>
      </c>
      <c r="B196" s="718" t="s">
        <v>1260</v>
      </c>
      <c r="C196" s="423">
        <f>_xlfn.XLOOKUP(A196,INPUT_DATA!$CJ$4:$CJ$397,INPUT_DATA!$CL$4:$CL$397)</f>
        <v>39864820.609999999</v>
      </c>
      <c r="D196" s="424">
        <f>CurrentLoanToValue[[#This Row],[Principal Outstanding Balance]]/CurrentLoanToValue[[#Totals],[Principal Outstanding Balance]]</f>
        <v>5.6845208405545897E-2</v>
      </c>
      <c r="E196" s="425">
        <f>_xlfn.XLOOKUP(A196,INPUT_DATA!$CJ$4:$CJ$397,INPUT_DATA!$CM$4:$CM$397)</f>
        <v>117</v>
      </c>
      <c r="F196" s="424">
        <f>CurrentLoanToValue[[#This Row],[Nb of Loans]]/CurrentLoanToValue[[#Totals],[Nb of Loans]]</f>
        <v>3.1724511930585682E-2</v>
      </c>
    </row>
    <row r="197" spans="1:8" x14ac:dyDescent="0.35">
      <c r="A197" s="427"/>
      <c r="B197" s="718" t="s">
        <v>2</v>
      </c>
      <c r="C197" s="805">
        <f>SUBTOTAL(109,CurrentLoanToValue[Principal Outstanding Balance])</f>
        <v>701287262.87</v>
      </c>
      <c r="D197" s="806">
        <f>SUBTOTAL(109,CurrentLoanToValue[% of Total (Amount)])</f>
        <v>0.99999999999999989</v>
      </c>
      <c r="E197" s="807">
        <f>SUBTOTAL(109,CurrentLoanToValue[Nb of Loans])</f>
        <v>3688</v>
      </c>
      <c r="F197" s="806">
        <f>SUBTOTAL(109,CurrentLoanToValue[% of Total (Number)])</f>
        <v>0.99999999999999989</v>
      </c>
    </row>
    <row r="198" spans="1:8" x14ac:dyDescent="0.35">
      <c r="A198" s="427"/>
      <c r="B198" s="422"/>
      <c r="C198" s="423"/>
      <c r="D198" s="424"/>
      <c r="E198" s="425"/>
      <c r="F198" s="424"/>
      <c r="H198" s="487" t="s">
        <v>654</v>
      </c>
    </row>
    <row r="199" spans="1:8" x14ac:dyDescent="0.35">
      <c r="A199" s="427"/>
      <c r="B199" s="420" t="s">
        <v>1261</v>
      </c>
      <c r="C199" s="420"/>
    </row>
    <row r="200" spans="1:8" ht="15" customHeight="1" x14ac:dyDescent="0.35">
      <c r="A200" s="427"/>
      <c r="B200" s="420"/>
      <c r="C200" s="420"/>
    </row>
    <row r="201" spans="1:8" ht="33" customHeight="1" x14ac:dyDescent="0.35">
      <c r="A201" s="427"/>
      <c r="B201" s="410" t="s">
        <v>371</v>
      </c>
      <c r="C201" s="410" t="s">
        <v>257</v>
      </c>
      <c r="D201" s="410" t="s">
        <v>289</v>
      </c>
      <c r="E201" s="410" t="s">
        <v>290</v>
      </c>
      <c r="F201" s="410" t="s">
        <v>291</v>
      </c>
      <c r="G201" s="421"/>
    </row>
    <row r="202" spans="1:8" x14ac:dyDescent="0.35">
      <c r="A202" s="427" t="s">
        <v>422</v>
      </c>
      <c r="B202" s="718" t="s">
        <v>373</v>
      </c>
      <c r="C202" s="423">
        <f>_xlfn.XLOOKUP(A202,INPUT_DATA!$CJ$4:$CJ$397,INPUT_DATA!$CL$4:$CL$397)</f>
        <v>6238242.3000000035</v>
      </c>
      <c r="D202" s="424">
        <f>CurrentLoanToValueMortgage[[#This Row],[Principal Outstanding Balance]]/CurrentLoanToValueMortgage[[#Totals],[Principal Outstanding Balance]]</f>
        <v>6.0560659520568917E-2</v>
      </c>
      <c r="E202" s="425">
        <f>_xlfn.XLOOKUP(A202,INPUT_DATA!$CJ$4:$CJ$397,INPUT_DATA!$CM$4:$CM$397)</f>
        <v>381</v>
      </c>
      <c r="F202" s="424">
        <f>CurrentLoanToValueMortgage[[#This Row],[Nb of Loans]]/CurrentLoanToValueMortgage[[#Totals],[Nb of Loans]]</f>
        <v>0.4118918918918919</v>
      </c>
    </row>
    <row r="203" spans="1:8" x14ac:dyDescent="0.35">
      <c r="A203" s="427" t="s">
        <v>423</v>
      </c>
      <c r="B203" s="718" t="s">
        <v>375</v>
      </c>
      <c r="C203" s="423">
        <f>_xlfn.XLOOKUP(A203,INPUT_DATA!$CJ$4:$CJ$397,INPUT_DATA!$CL$4:$CL$397)</f>
        <v>10658514.580000002</v>
      </c>
      <c r="D203" s="424">
        <f>CurrentLoanToValueMortgage[[#This Row],[Principal Outstanding Balance]]/CurrentLoanToValueMortgage[[#Totals],[Principal Outstanding Balance]]</f>
        <v>0.10347252341807874</v>
      </c>
      <c r="E203" s="425">
        <f>_xlfn.XLOOKUP(A203,INPUT_DATA!$CJ$4:$CJ$397,INPUT_DATA!$CM$4:$CM$397)</f>
        <v>156</v>
      </c>
      <c r="F203" s="424">
        <f>CurrentLoanToValueMortgage[[#This Row],[Nb of Loans]]/CurrentLoanToValueMortgage[[#Totals],[Nb of Loans]]</f>
        <v>0.16864864864864865</v>
      </c>
    </row>
    <row r="204" spans="1:8" x14ac:dyDescent="0.35">
      <c r="A204" s="427" t="s">
        <v>424</v>
      </c>
      <c r="B204" s="718" t="s">
        <v>377</v>
      </c>
      <c r="C204" s="423">
        <f>_xlfn.XLOOKUP(A204,INPUT_DATA!$CJ$4:$CJ$397,INPUT_DATA!$CL$4:$CL$397)</f>
        <v>11407674.399999997</v>
      </c>
      <c r="D204" s="424">
        <f>CurrentLoanToValueMortgage[[#This Row],[Principal Outstanding Balance]]/CurrentLoanToValueMortgage[[#Totals],[Principal Outstanding Balance]]</f>
        <v>0.11074534332530009</v>
      </c>
      <c r="E204" s="425">
        <f>_xlfn.XLOOKUP(A204,INPUT_DATA!$CJ$4:$CJ$397,INPUT_DATA!$CM$4:$CM$397)</f>
        <v>112</v>
      </c>
      <c r="F204" s="424">
        <f>CurrentLoanToValueMortgage[[#This Row],[Nb of Loans]]/CurrentLoanToValueMortgage[[#Totals],[Nb of Loans]]</f>
        <v>0.12108108108108108</v>
      </c>
    </row>
    <row r="205" spans="1:8" x14ac:dyDescent="0.35">
      <c r="A205" s="427" t="s">
        <v>425</v>
      </c>
      <c r="B205" s="718" t="s">
        <v>379</v>
      </c>
      <c r="C205" s="423">
        <f>_xlfn.XLOOKUP(A205,INPUT_DATA!$CJ$4:$CJ$397,INPUT_DATA!$CL$4:$CL$397)</f>
        <v>17591985.630000003</v>
      </c>
      <c r="D205" s="424">
        <f>CurrentLoanToValueMortgage[[#This Row],[Principal Outstanding Balance]]/CurrentLoanToValueMortgage[[#Totals],[Principal Outstanding Balance]]</f>
        <v>0.17078244171906734</v>
      </c>
      <c r="E205" s="425">
        <f>_xlfn.XLOOKUP(A205,INPUT_DATA!$CJ$4:$CJ$397,INPUT_DATA!$CM$4:$CM$397)</f>
        <v>101</v>
      </c>
      <c r="F205" s="424">
        <f>CurrentLoanToValueMortgage[[#This Row],[Nb of Loans]]/CurrentLoanToValueMortgage[[#Totals],[Nb of Loans]]</f>
        <v>0.10918918918918918</v>
      </c>
    </row>
    <row r="206" spans="1:8" x14ac:dyDescent="0.35">
      <c r="A206" s="427" t="s">
        <v>426</v>
      </c>
      <c r="B206" s="718" t="s">
        <v>381</v>
      </c>
      <c r="C206" s="423">
        <f>_xlfn.XLOOKUP(A206,INPUT_DATA!$CJ$4:$CJ$397,INPUT_DATA!$CL$4:$CL$397)</f>
        <v>15166407.469999997</v>
      </c>
      <c r="D206" s="424">
        <f>CurrentLoanToValueMortgage[[#This Row],[Principal Outstanding Balance]]/CurrentLoanToValueMortgage[[#Totals],[Principal Outstanding Balance]]</f>
        <v>0.14723500543428431</v>
      </c>
      <c r="E206" s="425">
        <f>_xlfn.XLOOKUP(A206,INPUT_DATA!$CJ$4:$CJ$397,INPUT_DATA!$CM$4:$CM$397)</f>
        <v>62</v>
      </c>
      <c r="F206" s="424">
        <f>CurrentLoanToValueMortgage[[#This Row],[Nb of Loans]]/CurrentLoanToValueMortgage[[#Totals],[Nb of Loans]]</f>
        <v>6.7027027027027022E-2</v>
      </c>
    </row>
    <row r="207" spans="1:8" x14ac:dyDescent="0.35">
      <c r="A207" s="427" t="s">
        <v>427</v>
      </c>
      <c r="B207" s="718" t="s">
        <v>383</v>
      </c>
      <c r="C207" s="423">
        <f>_xlfn.XLOOKUP(A207,INPUT_DATA!$CJ$4:$CJ$397,INPUT_DATA!$CL$4:$CL$397)</f>
        <v>10612374.32</v>
      </c>
      <c r="D207" s="424">
        <f>CurrentLoanToValueMortgage[[#This Row],[Principal Outstanding Balance]]/CurrentLoanToValueMortgage[[#Totals],[Principal Outstanding Balance]]</f>
        <v>0.10302459522906776</v>
      </c>
      <c r="E207" s="425">
        <f>_xlfn.XLOOKUP(A207,INPUT_DATA!$CJ$4:$CJ$397,INPUT_DATA!$CM$4:$CM$397)</f>
        <v>39</v>
      </c>
      <c r="F207" s="424">
        <f>CurrentLoanToValueMortgage[[#This Row],[Nb of Loans]]/CurrentLoanToValueMortgage[[#Totals],[Nb of Loans]]</f>
        <v>4.2162162162162162E-2</v>
      </c>
    </row>
    <row r="208" spans="1:8" x14ac:dyDescent="0.35">
      <c r="A208" s="427" t="s">
        <v>428</v>
      </c>
      <c r="B208" s="718" t="s">
        <v>385</v>
      </c>
      <c r="C208" s="423">
        <f>_xlfn.XLOOKUP(A208,INPUT_DATA!$CJ$4:$CJ$397,INPUT_DATA!$CL$4:$CL$397)</f>
        <v>10351063.540000003</v>
      </c>
      <c r="D208" s="424">
        <f>CurrentLoanToValueMortgage[[#This Row],[Principal Outstanding Balance]]/CurrentLoanToValueMortgage[[#Totals],[Principal Outstanding Balance]]</f>
        <v>0.10048779841746681</v>
      </c>
      <c r="E208" s="425">
        <f>_xlfn.XLOOKUP(A208,INPUT_DATA!$CJ$4:$CJ$397,INPUT_DATA!$CM$4:$CM$397)</f>
        <v>31</v>
      </c>
      <c r="F208" s="424">
        <f>CurrentLoanToValueMortgage[[#This Row],[Nb of Loans]]/CurrentLoanToValueMortgage[[#Totals],[Nb of Loans]]</f>
        <v>3.3513513513513511E-2</v>
      </c>
    </row>
    <row r="209" spans="1:8" x14ac:dyDescent="0.35">
      <c r="A209" s="427" t="s">
        <v>429</v>
      </c>
      <c r="B209" s="718" t="s">
        <v>387</v>
      </c>
      <c r="C209" s="423">
        <f>_xlfn.XLOOKUP(A209,INPUT_DATA!$CJ$4:$CJ$397,INPUT_DATA!$CL$4:$CL$397)</f>
        <v>10656970.100000001</v>
      </c>
      <c r="D209" s="424">
        <f>CurrentLoanToValueMortgage[[#This Row],[Principal Outstanding Balance]]/CurrentLoanToValueMortgage[[#Totals],[Principal Outstanding Balance]]</f>
        <v>0.1034575296549451</v>
      </c>
      <c r="E209" s="425">
        <f>_xlfn.XLOOKUP(A209,INPUT_DATA!$CJ$4:$CJ$397,INPUT_DATA!$CM$4:$CM$397)</f>
        <v>23</v>
      </c>
      <c r="F209" s="424">
        <f>CurrentLoanToValueMortgage[[#This Row],[Nb of Loans]]/CurrentLoanToValueMortgage[[#Totals],[Nb of Loans]]</f>
        <v>2.4864864864864864E-2</v>
      </c>
    </row>
    <row r="210" spans="1:8" x14ac:dyDescent="0.35">
      <c r="A210" s="427" t="s">
        <v>430</v>
      </c>
      <c r="B210" s="718" t="s">
        <v>389</v>
      </c>
      <c r="C210" s="423">
        <f>_xlfn.XLOOKUP(A210,INPUT_DATA!$CJ$4:$CJ$397,INPUT_DATA!$CL$4:$CL$397)</f>
        <v>4895967.34</v>
      </c>
      <c r="D210" s="424">
        <f>CurrentLoanToValueMortgage[[#This Row],[Principal Outstanding Balance]]/CurrentLoanToValueMortgage[[#Totals],[Principal Outstanding Balance]]</f>
        <v>4.7529896538575506E-2</v>
      </c>
      <c r="E210" s="425">
        <f>_xlfn.XLOOKUP(A210,INPUT_DATA!$CJ$4:$CJ$397,INPUT_DATA!$CM$4:$CM$397)</f>
        <v>10</v>
      </c>
      <c r="F210" s="424">
        <f>CurrentLoanToValueMortgage[[#This Row],[Nb of Loans]]/CurrentLoanToValueMortgage[[#Totals],[Nb of Loans]]</f>
        <v>1.0810810810810811E-2</v>
      </c>
    </row>
    <row r="211" spans="1:8" x14ac:dyDescent="0.35">
      <c r="A211" s="427" t="s">
        <v>431</v>
      </c>
      <c r="B211" s="718" t="s">
        <v>391</v>
      </c>
      <c r="C211" s="423">
        <f>_xlfn.XLOOKUP(A211,INPUT_DATA!$CJ$4:$CJ$397,INPUT_DATA!$CL$4:$CL$397)</f>
        <v>5428963.5300000003</v>
      </c>
      <c r="D211" s="424">
        <f>CurrentLoanToValueMortgage[[#This Row],[Principal Outstanding Balance]]/CurrentLoanToValueMortgage[[#Totals],[Principal Outstanding Balance]]</f>
        <v>5.27042067426454E-2</v>
      </c>
      <c r="E211" s="425">
        <f>_xlfn.XLOOKUP(A211,INPUT_DATA!$CJ$4:$CJ$397,INPUT_DATA!$CM$4:$CM$397)</f>
        <v>10</v>
      </c>
      <c r="F211" s="808">
        <f>CurrentLoanToValueMortgage[[#This Row],[Nb of Loans]]/CurrentLoanToValueMortgage[[#Totals],[Nb of Loans]]</f>
        <v>1.0810810810810811E-2</v>
      </c>
    </row>
    <row r="212" spans="1:8" x14ac:dyDescent="0.35">
      <c r="A212" s="427" t="s">
        <v>432</v>
      </c>
      <c r="B212" s="718" t="s">
        <v>1260</v>
      </c>
      <c r="C212" s="423">
        <f>_xlfn.XLOOKUP(A212,INPUT_DATA!$CJ$4:$CJ$397,INPUT_DATA!$CL$4:$CL$397)</f>
        <v>0</v>
      </c>
      <c r="D212" s="424">
        <f>CurrentLoanToValueMortgage[[#This Row],[Principal Outstanding Balance]]/CurrentLoanToValueMortgage[[#Totals],[Principal Outstanding Balance]]</f>
        <v>0</v>
      </c>
      <c r="E212" s="425">
        <f>_xlfn.XLOOKUP(A212,INPUT_DATA!$CJ$4:$CJ$397,INPUT_DATA!$CM$4:$CM$397)</f>
        <v>0</v>
      </c>
      <c r="F212" s="424">
        <f>CurrentLoanToValueMortgage[[#This Row],[Nb of Loans]]/CurrentLoanToValueMortgage[[#Totals],[Nb of Loans]]</f>
        <v>0</v>
      </c>
    </row>
    <row r="213" spans="1:8" x14ac:dyDescent="0.35">
      <c r="A213" s="427"/>
      <c r="B213" s="718" t="s">
        <v>2</v>
      </c>
      <c r="C213" s="805">
        <f>SUBTOTAL(109,CurrentLoanToValueMortgage[Principal Outstanding Balance])</f>
        <v>103008163.21000001</v>
      </c>
      <c r="D213" s="806">
        <f>SUBTOTAL(109,CurrentLoanToValueMortgage[% of Total (Amount)])</f>
        <v>1</v>
      </c>
      <c r="E213" s="807">
        <f>SUBTOTAL(109,CurrentLoanToValueMortgage[Nb of Loans])</f>
        <v>925</v>
      </c>
      <c r="F213" s="806">
        <f>SUBTOTAL(109,CurrentLoanToValueMortgage[% of Total (Number)])</f>
        <v>1</v>
      </c>
    </row>
    <row r="214" spans="1:8" x14ac:dyDescent="0.35">
      <c r="A214" s="427"/>
      <c r="B214" s="422"/>
      <c r="C214" s="423"/>
      <c r="D214" s="424"/>
      <c r="E214" s="425"/>
      <c r="F214" s="424"/>
      <c r="H214" s="487" t="s">
        <v>654</v>
      </c>
    </row>
    <row r="215" spans="1:8" x14ac:dyDescent="0.35">
      <c r="A215" s="427"/>
      <c r="B215" s="420" t="s">
        <v>1378</v>
      </c>
      <c r="C215" s="420"/>
    </row>
    <row r="216" spans="1:8" ht="15" customHeight="1" x14ac:dyDescent="0.35">
      <c r="A216" s="427"/>
      <c r="B216" s="420"/>
      <c r="C216" s="420"/>
    </row>
    <row r="217" spans="1:8" ht="33" customHeight="1" x14ac:dyDescent="0.35">
      <c r="A217" s="427"/>
      <c r="B217" s="410" t="s">
        <v>371</v>
      </c>
      <c r="C217" s="410" t="s">
        <v>257</v>
      </c>
      <c r="D217" s="410" t="s">
        <v>289</v>
      </c>
      <c r="E217" s="410" t="s">
        <v>290</v>
      </c>
      <c r="F217" s="410" t="s">
        <v>291</v>
      </c>
      <c r="G217" s="421"/>
    </row>
    <row r="218" spans="1:8" x14ac:dyDescent="0.35">
      <c r="A218" s="427" t="s">
        <v>433</v>
      </c>
      <c r="B218" s="718" t="s">
        <v>373</v>
      </c>
      <c r="C218" s="423">
        <f>_xlfn.XLOOKUP(A218,INPUT_DATA!$CJ$4:$CJ$397,INPUT_DATA!$CL$4:$CL$397)</f>
        <v>164657.46999999997</v>
      </c>
      <c r="D218" s="424">
        <f>CurrentLoanToValueMortgage33[[#This Row],[Principal Outstanding Balance]]/CurrentLoanToValueMortgage33[[#Totals],[Principal Outstanding Balance]]</f>
        <v>1.5984895261583992E-3</v>
      </c>
      <c r="E218" s="425">
        <f>_xlfn.XLOOKUP(A218,INPUT_DATA!$CJ$4:$CJ$397,INPUT_DATA!$CM$4:$CM$397)</f>
        <v>4</v>
      </c>
      <c r="F218" s="424">
        <f>CurrentLoanToValueMortgage33[[#This Row],[Nb of Loans]]/CurrentLoanToValueMortgage33[[#Totals],[Nb of Loans]]</f>
        <v>4.3243243243243244E-3</v>
      </c>
    </row>
    <row r="219" spans="1:8" x14ac:dyDescent="0.35">
      <c r="A219" s="427" t="s">
        <v>434</v>
      </c>
      <c r="B219" s="718" t="s">
        <v>375</v>
      </c>
      <c r="C219" s="423">
        <f>_xlfn.XLOOKUP(A219,INPUT_DATA!$CJ$4:$CJ$397,INPUT_DATA!$CL$4:$CL$397)</f>
        <v>2528643.4400000004</v>
      </c>
      <c r="D219" s="424">
        <f>CurrentLoanToValueMortgage33[[#This Row],[Principal Outstanding Balance]]/CurrentLoanToValueMortgage33[[#Totals],[Principal Outstanding Balance]]</f>
        <v>2.4547990772779069E-2</v>
      </c>
      <c r="E219" s="425">
        <f>_xlfn.XLOOKUP(A219,INPUT_DATA!$CJ$4:$CJ$397,INPUT_DATA!$CM$4:$CM$397)</f>
        <v>19</v>
      </c>
      <c r="F219" s="424">
        <f>CurrentLoanToValueMortgage33[[#This Row],[Nb of Loans]]/CurrentLoanToValueMortgage33[[#Totals],[Nb of Loans]]</f>
        <v>2.0540540540540539E-2</v>
      </c>
    </row>
    <row r="220" spans="1:8" x14ac:dyDescent="0.35">
      <c r="A220" s="427" t="s">
        <v>435</v>
      </c>
      <c r="B220" s="718" t="s">
        <v>377</v>
      </c>
      <c r="C220" s="423">
        <f>_xlfn.XLOOKUP(A220,INPUT_DATA!$CJ$4:$CJ$397,INPUT_DATA!$CL$4:$CL$397)</f>
        <v>2239294.64</v>
      </c>
      <c r="D220" s="424">
        <f>CurrentLoanToValueMortgage33[[#This Row],[Principal Outstanding Balance]]/CurrentLoanToValueMortgage33[[#Totals],[Principal Outstanding Balance]]</f>
        <v>2.1739001747218902E-2</v>
      </c>
      <c r="E220" s="425">
        <f>_xlfn.XLOOKUP(A220,INPUT_DATA!$CJ$4:$CJ$397,INPUT_DATA!$CM$4:$CM$397)</f>
        <v>34</v>
      </c>
      <c r="F220" s="424">
        <f>CurrentLoanToValueMortgage33[[#This Row],[Nb of Loans]]/CurrentLoanToValueMortgage33[[#Totals],[Nb of Loans]]</f>
        <v>3.6756756756756756E-2</v>
      </c>
    </row>
    <row r="221" spans="1:8" x14ac:dyDescent="0.35">
      <c r="A221" s="427" t="s">
        <v>436</v>
      </c>
      <c r="B221" s="718" t="s">
        <v>379</v>
      </c>
      <c r="C221" s="423">
        <f>_xlfn.XLOOKUP(A221,INPUT_DATA!$CJ$4:$CJ$397,INPUT_DATA!$CL$4:$CL$397)</f>
        <v>3064503.0700000003</v>
      </c>
      <c r="D221" s="424">
        <f>CurrentLoanToValueMortgage33[[#This Row],[Principal Outstanding Balance]]/CurrentLoanToValueMortgage33[[#Totals],[Principal Outstanding Balance]]</f>
        <v>2.9750099162068149E-2</v>
      </c>
      <c r="E221" s="425">
        <f>_xlfn.XLOOKUP(A221,INPUT_DATA!$CJ$4:$CJ$397,INPUT_DATA!$CM$4:$CM$397)</f>
        <v>38</v>
      </c>
      <c r="F221" s="424">
        <f>CurrentLoanToValueMortgage33[[#This Row],[Nb of Loans]]/CurrentLoanToValueMortgage33[[#Totals],[Nb of Loans]]</f>
        <v>4.1081081081081078E-2</v>
      </c>
    </row>
    <row r="222" spans="1:8" x14ac:dyDescent="0.35">
      <c r="A222" s="427" t="s">
        <v>437</v>
      </c>
      <c r="B222" s="718" t="s">
        <v>381</v>
      </c>
      <c r="C222" s="423">
        <f>_xlfn.XLOOKUP(A222,INPUT_DATA!$CJ$4:$CJ$397,INPUT_DATA!$CL$4:$CL$397)</f>
        <v>9785544.8800000027</v>
      </c>
      <c r="D222" s="424">
        <f>CurrentLoanToValueMortgage33[[#This Row],[Principal Outstanding Balance]]/CurrentLoanToValueMortgage33[[#Totals],[Principal Outstanding Balance]]</f>
        <v>9.4997761100258357E-2</v>
      </c>
      <c r="E222" s="425">
        <f>_xlfn.XLOOKUP(A222,INPUT_DATA!$CJ$4:$CJ$397,INPUT_DATA!$CM$4:$CM$397)</f>
        <v>70</v>
      </c>
      <c r="F222" s="424">
        <f>CurrentLoanToValueMortgage33[[#This Row],[Nb of Loans]]/CurrentLoanToValueMortgage33[[#Totals],[Nb of Loans]]</f>
        <v>7.567567567567568E-2</v>
      </c>
    </row>
    <row r="223" spans="1:8" x14ac:dyDescent="0.35">
      <c r="A223" s="427" t="s">
        <v>438</v>
      </c>
      <c r="B223" s="718" t="s">
        <v>383</v>
      </c>
      <c r="C223" s="423">
        <f>_xlfn.XLOOKUP(A223,INPUT_DATA!$CJ$4:$CJ$397,INPUT_DATA!$CL$4:$CL$397)</f>
        <v>6877977.2800000003</v>
      </c>
      <c r="D223" s="424">
        <f>CurrentLoanToValueMortgage33[[#This Row],[Principal Outstanding Balance]]/CurrentLoanToValueMortgage33[[#Totals],[Principal Outstanding Balance]]</f>
        <v>6.6771186531867879E-2</v>
      </c>
      <c r="E223" s="425">
        <f>_xlfn.XLOOKUP(A223,INPUT_DATA!$CJ$4:$CJ$397,INPUT_DATA!$CM$4:$CM$397)</f>
        <v>82</v>
      </c>
      <c r="F223" s="424">
        <f>CurrentLoanToValueMortgage33[[#This Row],[Nb of Loans]]/CurrentLoanToValueMortgage33[[#Totals],[Nb of Loans]]</f>
        <v>8.8648648648648645E-2</v>
      </c>
    </row>
    <row r="224" spans="1:8" x14ac:dyDescent="0.35">
      <c r="A224" s="427" t="s">
        <v>439</v>
      </c>
      <c r="B224" s="718" t="s">
        <v>385</v>
      </c>
      <c r="C224" s="423">
        <f>_xlfn.XLOOKUP(A224,INPUT_DATA!$CJ$4:$CJ$397,INPUT_DATA!$CL$4:$CL$397)</f>
        <v>9874445.4600000028</v>
      </c>
      <c r="D224" s="424">
        <f>CurrentLoanToValueMortgage33[[#This Row],[Principal Outstanding Balance]]/CurrentLoanToValueMortgage33[[#Totals],[Principal Outstanding Balance]]</f>
        <v>9.5860805127349305E-2</v>
      </c>
      <c r="E224" s="425">
        <f>_xlfn.XLOOKUP(A224,INPUT_DATA!$CJ$4:$CJ$397,INPUT_DATA!$CM$4:$CM$397)</f>
        <v>133</v>
      </c>
      <c r="F224" s="424">
        <f>CurrentLoanToValueMortgage33[[#This Row],[Nb of Loans]]/CurrentLoanToValueMortgage33[[#Totals],[Nb of Loans]]</f>
        <v>0.14378378378378379</v>
      </c>
    </row>
    <row r="225" spans="1:8" x14ac:dyDescent="0.35">
      <c r="A225" s="427" t="s">
        <v>440</v>
      </c>
      <c r="B225" s="718" t="s">
        <v>387</v>
      </c>
      <c r="C225" s="423">
        <f>_xlfn.XLOOKUP(A225,INPUT_DATA!$CJ$4:$CJ$397,INPUT_DATA!$CL$4:$CL$397)</f>
        <v>18599680.649999984</v>
      </c>
      <c r="D225" s="424">
        <f>CurrentLoanToValueMortgage33[[#This Row],[Principal Outstanding Balance]]/CurrentLoanToValueMortgage33[[#Totals],[Principal Outstanding Balance]]</f>
        <v>0.18056511319477961</v>
      </c>
      <c r="E225" s="425">
        <f>_xlfn.XLOOKUP(A225,INPUT_DATA!$CJ$4:$CJ$397,INPUT_DATA!$CM$4:$CM$397)</f>
        <v>151</v>
      </c>
      <c r="F225" s="424">
        <f>CurrentLoanToValueMortgage33[[#This Row],[Nb of Loans]]/CurrentLoanToValueMortgage33[[#Totals],[Nb of Loans]]</f>
        <v>0.16324324324324324</v>
      </c>
    </row>
    <row r="226" spans="1:8" x14ac:dyDescent="0.35">
      <c r="A226" s="427" t="s">
        <v>441</v>
      </c>
      <c r="B226" s="718" t="s">
        <v>389</v>
      </c>
      <c r="C226" s="423">
        <f>_xlfn.XLOOKUP(A226,INPUT_DATA!$CJ$4:$CJ$397,INPUT_DATA!$CL$4:$CL$397)</f>
        <v>18155411.770000007</v>
      </c>
      <c r="D226" s="424">
        <f>CurrentLoanToValueMortgage33[[#This Row],[Principal Outstanding Balance]]/CurrentLoanToValueMortgage33[[#Totals],[Principal Outstanding Balance]]</f>
        <v>0.17625216491810508</v>
      </c>
      <c r="E226" s="425">
        <f>_xlfn.XLOOKUP(A226,INPUT_DATA!$CJ$4:$CJ$397,INPUT_DATA!$CM$4:$CM$397)</f>
        <v>137</v>
      </c>
      <c r="F226" s="424">
        <f>CurrentLoanToValueMortgage33[[#This Row],[Nb of Loans]]/CurrentLoanToValueMortgage33[[#Totals],[Nb of Loans]]</f>
        <v>0.14810810810810812</v>
      </c>
    </row>
    <row r="227" spans="1:8" x14ac:dyDescent="0.35">
      <c r="A227" s="427" t="s">
        <v>442</v>
      </c>
      <c r="B227" s="718" t="s">
        <v>391</v>
      </c>
      <c r="C227" s="423">
        <f>_xlfn.XLOOKUP(A227,INPUT_DATA!$CJ$4:$CJ$397,INPUT_DATA!$CL$4:$CL$397)</f>
        <v>31718004.550000012</v>
      </c>
      <c r="D227" s="424">
        <f>CurrentLoanToValueMortgage33[[#This Row],[Principal Outstanding Balance]]/CurrentLoanToValueMortgage33[[#Totals],[Principal Outstanding Balance]]</f>
        <v>0.30791738791941525</v>
      </c>
      <c r="E227" s="425">
        <f>_xlfn.XLOOKUP(A227,INPUT_DATA!$CJ$4:$CJ$397,INPUT_DATA!$CM$4:$CM$397)</f>
        <v>257</v>
      </c>
      <c r="F227" s="424">
        <f>CurrentLoanToValueMortgage33[[#This Row],[Nb of Loans]]/CurrentLoanToValueMortgage33[[#Totals],[Nb of Loans]]</f>
        <v>0.27783783783783783</v>
      </c>
    </row>
    <row r="228" spans="1:8" x14ac:dyDescent="0.35">
      <c r="A228" s="427" t="s">
        <v>443</v>
      </c>
      <c r="B228" s="718" t="s">
        <v>1260</v>
      </c>
      <c r="C228" s="423">
        <f>_xlfn.XLOOKUP(A228,INPUT_DATA!$CJ$4:$CJ$397,INPUT_DATA!$CL$4:$CL$397)</f>
        <v>0</v>
      </c>
      <c r="D228" s="424">
        <f>CurrentLoanToValueMortgage33[[#This Row],[Principal Outstanding Balance]]/CurrentLoanToValueMortgage33[[#Totals],[Principal Outstanding Balance]]</f>
        <v>0</v>
      </c>
      <c r="E228" s="425">
        <f>_xlfn.XLOOKUP(A228,INPUT_DATA!$CJ$4:$CJ$397,INPUT_DATA!$CM$4:$CM$397)</f>
        <v>0</v>
      </c>
      <c r="F228" s="424">
        <f>CurrentLoanToValueMortgage33[[#This Row],[Nb of Loans]]/CurrentLoanToValueMortgage33[[#Totals],[Nb of Loans]]</f>
        <v>0</v>
      </c>
    </row>
    <row r="229" spans="1:8" x14ac:dyDescent="0.35">
      <c r="A229" s="427"/>
      <c r="B229" s="718" t="s">
        <v>2</v>
      </c>
      <c r="C229" s="805">
        <f>SUBTOTAL(109,CurrentLoanToValueMortgage33[Principal Outstanding Balance])</f>
        <v>103008163.21000001</v>
      </c>
      <c r="D229" s="812">
        <f>SUBTOTAL(109,CurrentLoanToValueMortgage33[% of Total (Amount)])</f>
        <v>1</v>
      </c>
      <c r="E229" s="813">
        <f>SUBTOTAL(109,CurrentLoanToValueMortgage33[Nb of Loans])</f>
        <v>925</v>
      </c>
      <c r="F229" s="812">
        <f>SUBTOTAL(109,CurrentLoanToValueMortgage33[% of Total (Number)])</f>
        <v>1</v>
      </c>
    </row>
    <row r="230" spans="1:8" x14ac:dyDescent="0.35">
      <c r="A230" s="427"/>
      <c r="B230" s="422"/>
      <c r="C230" s="423"/>
      <c r="D230" s="424"/>
      <c r="E230" s="425"/>
      <c r="F230" s="424"/>
      <c r="H230" s="487" t="s">
        <v>654</v>
      </c>
    </row>
    <row r="231" spans="1:8" x14ac:dyDescent="0.35">
      <c r="A231" s="427"/>
      <c r="B231" s="420" t="s">
        <v>1262</v>
      </c>
      <c r="C231" s="420"/>
    </row>
    <row r="232" spans="1:8" ht="15" customHeight="1" x14ac:dyDescent="0.35">
      <c r="A232" s="427"/>
      <c r="B232" s="420"/>
      <c r="C232" s="420"/>
    </row>
    <row r="233" spans="1:8" ht="33" customHeight="1" x14ac:dyDescent="0.35">
      <c r="A233" s="427"/>
      <c r="B233" s="410" t="s">
        <v>528</v>
      </c>
      <c r="C233" s="410" t="s">
        <v>257</v>
      </c>
      <c r="D233" s="410" t="s">
        <v>289</v>
      </c>
      <c r="E233" s="410" t="s">
        <v>290</v>
      </c>
      <c r="F233" s="410" t="s">
        <v>291</v>
      </c>
      <c r="G233" s="421"/>
    </row>
    <row r="234" spans="1:8" x14ac:dyDescent="0.35">
      <c r="A234" s="427" t="s">
        <v>444</v>
      </c>
      <c r="B234" s="422" t="s">
        <v>941</v>
      </c>
      <c r="C234" s="423">
        <f>_xlfn.XLOOKUP(A234,INPUT_DATA!$CJ$4:$CJ$397,INPUT_DATA!$CL$4:$CL$397)</f>
        <v>371763921.72000021</v>
      </c>
      <c r="D234" s="424">
        <f>Purpose34[[#This Row],[Principal Outstanding Balance]]/Purpose34[[#Totals],[Principal Outstanding Balance]]</f>
        <v>0.53011646069053897</v>
      </c>
      <c r="E234" s="425">
        <f>_xlfn.XLOOKUP(A234,INPUT_DATA!$CJ$4:$CJ$397,INPUT_DATA!$CM$4:$CM$397)</f>
        <v>1778</v>
      </c>
      <c r="F234" s="424">
        <f>Purpose34[[#This Row],[Nb of Loans]]/Purpose34[[#Totals],[Nb of Loans]]</f>
        <v>0.48210412147505421</v>
      </c>
    </row>
    <row r="235" spans="1:8" x14ac:dyDescent="0.35">
      <c r="A235" s="427" t="s">
        <v>445</v>
      </c>
      <c r="B235" s="422" t="s">
        <v>942</v>
      </c>
      <c r="C235" s="423">
        <f>_xlfn.XLOOKUP(A235,INPUT_DATA!$CJ$4:$CJ$397,INPUT_DATA!$CL$4:$CL$397)</f>
        <v>112327835.84000015</v>
      </c>
      <c r="D235" s="424">
        <f>Purpose34[[#This Row],[Principal Outstanding Balance]]/Purpose34[[#Totals],[Principal Outstanding Balance]]</f>
        <v>0.16017378581824135</v>
      </c>
      <c r="E235" s="425">
        <f>_xlfn.XLOOKUP(A235,INPUT_DATA!$CJ$4:$CJ$397,INPUT_DATA!$CM$4:$CM$397)</f>
        <v>707</v>
      </c>
      <c r="F235" s="424">
        <f>Purpose34[[#This Row],[Nb of Loans]]/Purpose34[[#Totals],[Nb of Loans]]</f>
        <v>0.19170281995661606</v>
      </c>
    </row>
    <row r="236" spans="1:8" x14ac:dyDescent="0.35">
      <c r="A236" s="427" t="s">
        <v>446</v>
      </c>
      <c r="B236" s="422" t="s">
        <v>943</v>
      </c>
      <c r="C236" s="423">
        <f>_xlfn.XLOOKUP(A236,INPUT_DATA!$CJ$4:$CJ$397,INPUT_DATA!$CL$4:$CL$397)</f>
        <v>63880727.410000011</v>
      </c>
      <c r="D236" s="424">
        <f>Purpose34[[#This Row],[Principal Outstanding Balance]]/Purpose34[[#Totals],[Principal Outstanding Balance]]</f>
        <v>9.1090671101838855E-2</v>
      </c>
      <c r="E236" s="425">
        <f>_xlfn.XLOOKUP(A236,INPUT_DATA!$CJ$4:$CJ$397,INPUT_DATA!$CM$4:$CM$397)</f>
        <v>257</v>
      </c>
      <c r="F236" s="424">
        <f>Purpose34[[#This Row],[Nb of Loans]]/Purpose34[[#Totals],[Nb of Loans]]</f>
        <v>6.9685466377440344E-2</v>
      </c>
    </row>
    <row r="237" spans="1:8" x14ac:dyDescent="0.35">
      <c r="A237" s="427" t="s">
        <v>447</v>
      </c>
      <c r="B237" s="422" t="s">
        <v>944</v>
      </c>
      <c r="C237" s="423">
        <f>_xlfn.XLOOKUP(A237,INPUT_DATA!$CJ$4:$CJ$397,INPUT_DATA!$CL$4:$CL$397)</f>
        <v>58962679.430000059</v>
      </c>
      <c r="D237" s="424">
        <f>Purpose34[[#This Row],[Principal Outstanding Balance]]/Purpose34[[#Totals],[Principal Outstanding Balance]]</f>
        <v>8.4077784599561653E-2</v>
      </c>
      <c r="E237" s="425">
        <f>_xlfn.XLOOKUP(A237,INPUT_DATA!$CJ$4:$CJ$397,INPUT_DATA!$CM$4:$CM$397)</f>
        <v>471</v>
      </c>
      <c r="F237" s="424">
        <f>Purpose34[[#This Row],[Nb of Loans]]/Purpose34[[#Totals],[Nb of Loans]]</f>
        <v>0.12771149674620391</v>
      </c>
    </row>
    <row r="238" spans="1:8" x14ac:dyDescent="0.35">
      <c r="A238" s="427" t="s">
        <v>448</v>
      </c>
      <c r="B238" s="422" t="s">
        <v>945</v>
      </c>
      <c r="C238" s="423">
        <f>_xlfn.XLOOKUP(A238,INPUT_DATA!$CJ$4:$CJ$397,INPUT_DATA!$CL$4:$CL$397)</f>
        <v>41662828.17999997</v>
      </c>
      <c r="D238" s="424">
        <f>Purpose34[[#This Row],[Principal Outstanding Balance]]/Purpose34[[#Totals],[Principal Outstanding Balance]]</f>
        <v>5.9409075832200203E-2</v>
      </c>
      <c r="E238" s="425">
        <f>_xlfn.XLOOKUP(A238,INPUT_DATA!$CJ$4:$CJ$397,INPUT_DATA!$CM$4:$CM$397)</f>
        <v>158</v>
      </c>
      <c r="F238" s="424">
        <f>Purpose34[[#This Row],[Nb of Loans]]/Purpose34[[#Totals],[Nb of Loans]]</f>
        <v>4.2841648590021694E-2</v>
      </c>
    </row>
    <row r="239" spans="1:8" x14ac:dyDescent="0.35">
      <c r="A239" s="427" t="s">
        <v>449</v>
      </c>
      <c r="B239" s="422" t="s">
        <v>946</v>
      </c>
      <c r="C239" s="423">
        <f>_xlfn.XLOOKUP(A239,INPUT_DATA!$CJ$4:$CJ$397,INPUT_DATA!$CL$4:$CL$397)</f>
        <v>25601020.899999991</v>
      </c>
      <c r="D239" s="424">
        <f>Purpose34[[#This Row],[Principal Outstanding Balance]]/Purpose34[[#Totals],[Principal Outstanding Balance]]</f>
        <v>3.6505754853194482E-2</v>
      </c>
      <c r="E239" s="425">
        <f>_xlfn.XLOOKUP(A239,INPUT_DATA!$CJ$4:$CJ$397,INPUT_DATA!$CM$4:$CM$397)</f>
        <v>120</v>
      </c>
      <c r="F239" s="424">
        <f>Purpose34[[#This Row],[Nb of Loans]]/Purpose34[[#Totals],[Nb of Loans]]</f>
        <v>3.2537960954446853E-2</v>
      </c>
    </row>
    <row r="240" spans="1:8" x14ac:dyDescent="0.35">
      <c r="A240" s="427" t="s">
        <v>450</v>
      </c>
      <c r="B240" s="422" t="s">
        <v>947</v>
      </c>
      <c r="C240" s="423">
        <f>_xlfn.XLOOKUP(A240,INPUT_DATA!$CJ$4:$CJ$397,INPUT_DATA!$CL$4:$CL$397)</f>
        <v>21657960.080000002</v>
      </c>
      <c r="D240" s="424">
        <f>Purpose34[[#This Row],[Principal Outstanding Balance]]/Purpose34[[#Totals],[Principal Outstanding Balance]]</f>
        <v>3.0883150495797328E-2</v>
      </c>
      <c r="E240" s="425">
        <f>_xlfn.XLOOKUP(A240,INPUT_DATA!$CJ$4:$CJ$397,INPUT_DATA!$CM$4:$CM$397)</f>
        <v>146</v>
      </c>
      <c r="F240" s="424">
        <f>Purpose34[[#This Row],[Nb of Loans]]/Purpose34[[#Totals],[Nb of Loans]]</f>
        <v>3.9587852494577004E-2</v>
      </c>
    </row>
    <row r="241" spans="1:8" x14ac:dyDescent="0.35">
      <c r="A241" s="427" t="s">
        <v>451</v>
      </c>
      <c r="B241" s="422" t="s">
        <v>948</v>
      </c>
      <c r="C241" s="423">
        <f>_xlfn.XLOOKUP(A241,INPUT_DATA!$CJ$4:$CJ$397,INPUT_DATA!$CL$4:$CL$397)</f>
        <v>3995757.6600000006</v>
      </c>
      <c r="D241" s="424">
        <f>Purpose34[[#This Row],[Principal Outstanding Balance]]/Purpose34[[#Totals],[Principal Outstanding Balance]]</f>
        <v>5.697747373376587E-3</v>
      </c>
      <c r="E241" s="425">
        <f>_xlfn.XLOOKUP(A241,INPUT_DATA!$CJ$4:$CJ$397,INPUT_DATA!$CM$4:$CM$397)</f>
        <v>30</v>
      </c>
      <c r="F241" s="424">
        <f>Purpose34[[#This Row],[Nb of Loans]]/Purpose34[[#Totals],[Nb of Loans]]</f>
        <v>8.1344902386117132E-3</v>
      </c>
    </row>
    <row r="242" spans="1:8" x14ac:dyDescent="0.35">
      <c r="A242" s="427" t="s">
        <v>452</v>
      </c>
      <c r="B242" s="422" t="s">
        <v>949</v>
      </c>
      <c r="C242" s="423">
        <f>_xlfn.XLOOKUP(A242,INPUT_DATA!$CJ$4:$CJ$397,INPUT_DATA!$CL$4:$CL$397)</f>
        <v>1036116.5099999998</v>
      </c>
      <c r="D242" s="424">
        <f>Purpose34[[#This Row],[Principal Outstanding Balance]]/Purpose34[[#Totals],[Principal Outstanding Balance]]</f>
        <v>1.4774494916102129E-3</v>
      </c>
      <c r="E242" s="425">
        <f>_xlfn.XLOOKUP(A242,INPUT_DATA!$CJ$4:$CJ$397,INPUT_DATA!$CM$4:$CM$397)</f>
        <v>19</v>
      </c>
      <c r="F242" s="424">
        <f>Purpose34[[#This Row],[Nb of Loans]]/Purpose34[[#Totals],[Nb of Loans]]</f>
        <v>5.1518438177874191E-3</v>
      </c>
    </row>
    <row r="243" spans="1:8" x14ac:dyDescent="0.35">
      <c r="A243" s="427" t="s">
        <v>453</v>
      </c>
      <c r="B243" s="422" t="s">
        <v>370</v>
      </c>
      <c r="C243" s="423">
        <f>_xlfn.XLOOKUP(A243,INPUT_DATA!$CJ$4:$CJ$397,INPUT_DATA!$CL$4:$CL$397)</f>
        <v>382831.04</v>
      </c>
      <c r="D243" s="424">
        <f>Purpose34[[#This Row],[Principal Outstanding Balance]]/Purpose34[[#Totals],[Principal Outstanding Balance]]</f>
        <v>5.4589760896736335E-4</v>
      </c>
      <c r="E243" s="425">
        <f>_xlfn.XLOOKUP(A243,INPUT_DATA!$CJ$4:$CJ$397,INPUT_DATA!$CM$4:$CM$397)</f>
        <v>1</v>
      </c>
      <c r="F243" s="424">
        <f>Purpose34[[#This Row],[Nb of Loans]]/Purpose34[[#Totals],[Nb of Loans]]</f>
        <v>2.7114967462039046E-4</v>
      </c>
    </row>
    <row r="244" spans="1:8" x14ac:dyDescent="0.35">
      <c r="A244" s="427" t="s">
        <v>454</v>
      </c>
      <c r="B244" s="422" t="s">
        <v>950</v>
      </c>
      <c r="C244" s="423">
        <f>_xlfn.XLOOKUP(A244,INPUT_DATA!$CJ$4:$CJ$397,INPUT_DATA!$CL$4:$CL$397)</f>
        <v>15584.1</v>
      </c>
      <c r="D244" s="874">
        <f>Purpose34[[#This Row],[Principal Outstanding Balance]]/Purpose34[[#Totals],[Principal Outstanding Balance]]</f>
        <v>2.2222134673061743E-5</v>
      </c>
      <c r="E244" s="875">
        <f>_xlfn.XLOOKUP(A244,INPUT_DATA!$CJ$4:$CJ$397,INPUT_DATA!$CM$4:$CM$397)</f>
        <v>1</v>
      </c>
      <c r="F244" s="874">
        <f>Purpose34[[#This Row],[Nb of Loans]]/Purpose34[[#Totals],[Nb of Loans]]</f>
        <v>2.7114967462039046E-4</v>
      </c>
    </row>
    <row r="245" spans="1:8" x14ac:dyDescent="0.35">
      <c r="A245" s="427"/>
      <c r="B245" s="718" t="s">
        <v>2</v>
      </c>
      <c r="C245" s="805">
        <f>SUBTOTAL(109,Purpose34[Principal Outstanding Balance])</f>
        <v>701287262.87000036</v>
      </c>
      <c r="D245" s="876">
        <f>SUBTOTAL(109,Purpose34[% of Total (Amount)])</f>
        <v>1.0000000000000002</v>
      </c>
      <c r="E245" s="877">
        <f>SUBTOTAL(109,Purpose34[Nb of Loans])</f>
        <v>3688</v>
      </c>
      <c r="F245" s="876">
        <f>SUBTOTAL(109,Purpose34[% of Total (Number)])</f>
        <v>1</v>
      </c>
    </row>
    <row r="246" spans="1:8" x14ac:dyDescent="0.35">
      <c r="A246" s="427"/>
      <c r="B246" s="422"/>
      <c r="C246" s="423"/>
      <c r="D246" s="424"/>
      <c r="E246" s="425"/>
      <c r="F246" s="424"/>
      <c r="H246" s="487" t="s">
        <v>654</v>
      </c>
    </row>
    <row r="247" spans="1:8" x14ac:dyDescent="0.35">
      <c r="A247" s="427"/>
      <c r="B247" s="420" t="s">
        <v>1263</v>
      </c>
      <c r="C247" s="420"/>
    </row>
    <row r="248" spans="1:8" ht="15" customHeight="1" x14ac:dyDescent="0.35">
      <c r="A248" s="427"/>
      <c r="B248" s="420"/>
      <c r="C248" s="420"/>
    </row>
    <row r="249" spans="1:8" ht="33" customHeight="1" x14ac:dyDescent="0.35">
      <c r="A249" s="427"/>
      <c r="B249" s="410" t="s">
        <v>465</v>
      </c>
      <c r="C249" s="410" t="s">
        <v>257</v>
      </c>
      <c r="D249" s="410" t="s">
        <v>289</v>
      </c>
      <c r="E249" s="410" t="s">
        <v>290</v>
      </c>
      <c r="F249" s="410" t="s">
        <v>291</v>
      </c>
      <c r="G249" s="421"/>
    </row>
    <row r="250" spans="1:8" ht="28" x14ac:dyDescent="0.35">
      <c r="A250" s="427" t="s">
        <v>455</v>
      </c>
      <c r="B250" s="422" t="s">
        <v>1264</v>
      </c>
      <c r="C250" s="423">
        <f>_xlfn.XLOOKUP(A250,INPUT_DATA!$CJ$4:$CJ$397,INPUT_DATA!$CL$4:$CL$397)</f>
        <v>671907916.06999958</v>
      </c>
      <c r="D250" s="424">
        <f>PropertyType[[#This Row],[Principal Outstanding Balance]]/PropertyType[[#Totals],[Principal Outstanding Balance]]</f>
        <v>0.95810654441410248</v>
      </c>
      <c r="E250" s="425">
        <f>_xlfn.XLOOKUP(A250,INPUT_DATA!$CJ$4:$CJ$397,INPUT_DATA!$CM$4:$CM$397)</f>
        <v>3621</v>
      </c>
      <c r="F250" s="424">
        <f>PropertyType[[#This Row],[Nb of Loans]]/PropertyType[[#Totals],[Nb of Loans]]</f>
        <v>0.98183297180043383</v>
      </c>
    </row>
    <row r="251" spans="1:8" ht="42" x14ac:dyDescent="0.35">
      <c r="A251" s="427" t="s">
        <v>456</v>
      </c>
      <c r="B251" s="422" t="s">
        <v>1265</v>
      </c>
      <c r="C251" s="423">
        <f>_xlfn.XLOOKUP(A251,INPUT_DATA!$CJ$4:$CJ$397,INPUT_DATA!$CL$4:$CL$397)</f>
        <v>0</v>
      </c>
      <c r="D251" s="424">
        <f>PropertyType[[#This Row],[Principal Outstanding Balance]]/PropertyType[[#Totals],[Principal Outstanding Balance]]</f>
        <v>0</v>
      </c>
      <c r="E251" s="425">
        <f>_xlfn.XLOOKUP(A251,INPUT_DATA!$CJ$4:$CJ$397,INPUT_DATA!$CM$4:$CM$397)</f>
        <v>0</v>
      </c>
      <c r="F251" s="424">
        <f>PropertyType[[#This Row],[Nb of Loans]]/PropertyType[[#Totals],[Nb of Loans]]</f>
        <v>0</v>
      </c>
    </row>
    <row r="252" spans="1:8" ht="28" x14ac:dyDescent="0.35">
      <c r="A252" s="427" t="s">
        <v>457</v>
      </c>
      <c r="B252" s="422" t="s">
        <v>1266</v>
      </c>
      <c r="C252" s="423">
        <f>_xlfn.XLOOKUP(A252,INPUT_DATA!$CJ$4:$CJ$397,INPUT_DATA!$CL$4:$CL$397)</f>
        <v>0</v>
      </c>
      <c r="D252" s="424">
        <f>PropertyType[[#This Row],[Principal Outstanding Balance]]/PropertyType[[#Totals],[Principal Outstanding Balance]]</f>
        <v>0</v>
      </c>
      <c r="E252" s="425">
        <f>_xlfn.XLOOKUP(A252,INPUT_DATA!$CJ$4:$CJ$397,INPUT_DATA!$CM$4:$CM$397)</f>
        <v>0</v>
      </c>
      <c r="F252" s="424">
        <f>PropertyType[[#This Row],[Nb of Loans]]/PropertyType[[#Totals],[Nb of Loans]]</f>
        <v>0</v>
      </c>
    </row>
    <row r="253" spans="1:8" ht="28" x14ac:dyDescent="0.35">
      <c r="A253" s="427" t="s">
        <v>458</v>
      </c>
      <c r="B253" s="422" t="s">
        <v>1267</v>
      </c>
      <c r="C253" s="423">
        <f>_xlfn.XLOOKUP(A253,INPUT_DATA!$CJ$4:$CJ$397,INPUT_DATA!$CL$4:$CL$397)</f>
        <v>29379346.800000001</v>
      </c>
      <c r="D253" s="424">
        <f>PropertyType[[#This Row],[Principal Outstanding Balance]]/PropertyType[[#Totals],[Principal Outstanding Balance]]</f>
        <v>4.189345558589757E-2</v>
      </c>
      <c r="E253" s="425">
        <f>_xlfn.XLOOKUP(A253,INPUT_DATA!$CJ$4:$CJ$397,INPUT_DATA!$CM$4:$CM$397)</f>
        <v>67</v>
      </c>
      <c r="F253" s="424">
        <f>PropertyType[[#This Row],[Nb of Loans]]/PropertyType[[#Totals],[Nb of Loans]]</f>
        <v>1.816702819956616E-2</v>
      </c>
    </row>
    <row r="254" spans="1:8" x14ac:dyDescent="0.35">
      <c r="A254" s="427" t="s">
        <v>459</v>
      </c>
      <c r="B254" s="422" t="s">
        <v>370</v>
      </c>
      <c r="C254" s="423">
        <f>_xlfn.XLOOKUP(A254,INPUT_DATA!$CJ$4:$CJ$397,INPUT_DATA!$CL$4:$CL$397)</f>
        <v>0</v>
      </c>
      <c r="D254" s="424">
        <f>PropertyType[[#This Row],[Principal Outstanding Balance]]/PropertyType[[#Totals],[Principal Outstanding Balance]]</f>
        <v>0</v>
      </c>
      <c r="E254" s="425">
        <f>_xlfn.XLOOKUP(A254,INPUT_DATA!$CJ$4:$CJ$397,INPUT_DATA!$CM$4:$CM$397)</f>
        <v>0</v>
      </c>
      <c r="F254" s="424">
        <f>PropertyType[[#This Row],[Nb of Loans]]/PropertyType[[#Totals],[Nb of Loans]]</f>
        <v>0</v>
      </c>
    </row>
    <row r="255" spans="1:8" x14ac:dyDescent="0.35">
      <c r="A255" s="427"/>
      <c r="B255" s="718" t="s">
        <v>2</v>
      </c>
      <c r="C255" s="805">
        <f>SUBTOTAL(109,PropertyType[Principal Outstanding Balance])</f>
        <v>701287262.86999953</v>
      </c>
      <c r="D255" s="806">
        <f>SUBTOTAL(109,PropertyType[% of Total (Amount)])</f>
        <v>1</v>
      </c>
      <c r="E255" s="807">
        <f>SUBTOTAL(109,PropertyType[Nb of Loans])</f>
        <v>3688</v>
      </c>
      <c r="F255" s="806">
        <f>SUBTOTAL(109,PropertyType[% of Total (Number)])</f>
        <v>1</v>
      </c>
    </row>
    <row r="256" spans="1:8" x14ac:dyDescent="0.35">
      <c r="A256" s="427"/>
      <c r="B256" s="422"/>
      <c r="C256" s="423"/>
      <c r="D256" s="424"/>
      <c r="E256" s="425"/>
      <c r="F256" s="424"/>
      <c r="H256" s="487" t="s">
        <v>654</v>
      </c>
    </row>
    <row r="257" spans="1:8" x14ac:dyDescent="0.35">
      <c r="A257" s="427"/>
      <c r="B257" s="420" t="s">
        <v>1268</v>
      </c>
      <c r="C257" s="420"/>
    </row>
    <row r="258" spans="1:8" ht="15" customHeight="1" x14ac:dyDescent="0.35">
      <c r="A258" s="427"/>
      <c r="B258" s="420"/>
      <c r="C258" s="420"/>
    </row>
    <row r="259" spans="1:8" ht="33" customHeight="1" x14ac:dyDescent="0.35">
      <c r="A259" s="427"/>
      <c r="B259" s="410" t="s">
        <v>490</v>
      </c>
      <c r="C259" s="410" t="s">
        <v>257</v>
      </c>
      <c r="D259" s="410" t="s">
        <v>289</v>
      </c>
      <c r="E259" s="410" t="s">
        <v>290</v>
      </c>
      <c r="F259" s="410" t="s">
        <v>291</v>
      </c>
      <c r="G259" s="421"/>
    </row>
    <row r="260" spans="1:8" x14ac:dyDescent="0.35">
      <c r="A260" s="427" t="s">
        <v>460</v>
      </c>
      <c r="B260" s="422" t="s">
        <v>492</v>
      </c>
      <c r="C260" s="423">
        <f>_xlfn.XLOOKUP(A260,INPUT_DATA!$CJ$4:$CJ$397,INPUT_DATA!$CL$4:$CL$397)</f>
        <v>697448936.85999978</v>
      </c>
      <c r="D260" s="424">
        <f>PaymentFrequency35[[#This Row],[Principal Outstanding Balance]]/PaymentFrequency35[[#Totals],[Principal Outstanding Balance]]</f>
        <v>0.99452674215942305</v>
      </c>
      <c r="E260" s="425">
        <f>_xlfn.XLOOKUP(A260,INPUT_DATA!$CJ$4:$CJ$397,INPUT_DATA!$CM$4:$CM$397)</f>
        <v>3685</v>
      </c>
      <c r="F260" s="424">
        <f>PaymentFrequency35[[#This Row],[Nb of Loans]]/PaymentFrequency35[[#Totals],[Nb of Loans]]</f>
        <v>0.99918655097613884</v>
      </c>
    </row>
    <row r="261" spans="1:8" x14ac:dyDescent="0.35">
      <c r="A261" s="427" t="s">
        <v>461</v>
      </c>
      <c r="B261" s="422" t="s">
        <v>494</v>
      </c>
      <c r="C261" s="423">
        <f>_xlfn.XLOOKUP(A261,INPUT_DATA!$CJ$4:$CJ$397,INPUT_DATA!$CL$4:$CL$397)</f>
        <v>3768795.38</v>
      </c>
      <c r="D261" s="424">
        <f>PaymentFrequency35[[#This Row],[Principal Outstanding Balance]]/PaymentFrequency35[[#Totals],[Principal Outstanding Balance]]</f>
        <v>5.3741106954891833E-3</v>
      </c>
      <c r="E261" s="425">
        <f>_xlfn.XLOOKUP(A261,INPUT_DATA!$CJ$4:$CJ$397,INPUT_DATA!$CM$4:$CM$397)</f>
        <v>2</v>
      </c>
      <c r="F261" s="424">
        <f>PaymentFrequency35[[#This Row],[Nb of Loans]]/PaymentFrequency35[[#Totals],[Nb of Loans]]</f>
        <v>5.4229934924078093E-4</v>
      </c>
    </row>
    <row r="262" spans="1:8" x14ac:dyDescent="0.35">
      <c r="A262" s="427" t="s">
        <v>462</v>
      </c>
      <c r="B262" s="422" t="s">
        <v>496</v>
      </c>
      <c r="C262" s="423">
        <f>_xlfn.XLOOKUP(A262,INPUT_DATA!$CJ$4:$CJ$397,INPUT_DATA!$CL$4:$CL$397)</f>
        <v>0</v>
      </c>
      <c r="D262" s="424">
        <f>PaymentFrequency35[[#This Row],[Principal Outstanding Balance]]/PaymentFrequency35[[#Totals],[Principal Outstanding Balance]]</f>
        <v>0</v>
      </c>
      <c r="E262" s="425">
        <f>_xlfn.XLOOKUP(A262,INPUT_DATA!$CJ$4:$CJ$397,INPUT_DATA!$CM$4:$CM$397)</f>
        <v>0</v>
      </c>
      <c r="F262" s="424">
        <f>PaymentFrequency35[[#This Row],[Nb of Loans]]/PaymentFrequency35[[#Totals],[Nb of Loans]]</f>
        <v>0</v>
      </c>
    </row>
    <row r="263" spans="1:8" x14ac:dyDescent="0.35">
      <c r="A263" s="427" t="s">
        <v>463</v>
      </c>
      <c r="B263" s="422" t="s">
        <v>498</v>
      </c>
      <c r="C263" s="423">
        <f>_xlfn.XLOOKUP(A263,INPUT_DATA!$CJ$4:$CJ$397,INPUT_DATA!$CL$4:$CL$397)</f>
        <v>69530.63</v>
      </c>
      <c r="D263" s="424">
        <f>PaymentFrequency35[[#This Row],[Principal Outstanding Balance]]/PaymentFrequency35[[#Totals],[Principal Outstanding Balance]]</f>
        <v>9.9147145087802847E-5</v>
      </c>
      <c r="E263" s="425">
        <f>_xlfn.XLOOKUP(A263,INPUT_DATA!$CJ$4:$CJ$397,INPUT_DATA!$CM$4:$CM$397)</f>
        <v>1</v>
      </c>
      <c r="F263" s="424">
        <f>PaymentFrequency35[[#This Row],[Nb of Loans]]/PaymentFrequency35[[#Totals],[Nb of Loans]]</f>
        <v>2.7114967462039046E-4</v>
      </c>
    </row>
    <row r="264" spans="1:8" x14ac:dyDescent="0.35">
      <c r="A264" s="427" t="s">
        <v>464</v>
      </c>
      <c r="B264" s="422" t="s">
        <v>370</v>
      </c>
      <c r="C264" s="423">
        <f>_xlfn.XLOOKUP(A264,INPUT_DATA!$CJ$4:$CJ$397,INPUT_DATA!$CL$4:$CL$397)</f>
        <v>0</v>
      </c>
      <c r="D264" s="424">
        <f>PaymentFrequency35[[#This Row],[Principal Outstanding Balance]]/PaymentFrequency35[[#Totals],[Principal Outstanding Balance]]</f>
        <v>0</v>
      </c>
      <c r="E264" s="425">
        <f>_xlfn.XLOOKUP(A264,INPUT_DATA!$CJ$4:$CJ$397,INPUT_DATA!$CM$4:$CM$397)</f>
        <v>0</v>
      </c>
      <c r="F264" s="424">
        <f>PaymentFrequency35[[#This Row],[Nb of Loans]]/PaymentFrequency35[[#Totals],[Nb of Loans]]</f>
        <v>0</v>
      </c>
    </row>
    <row r="265" spans="1:8" x14ac:dyDescent="0.35">
      <c r="A265" s="427"/>
      <c r="B265" s="718" t="s">
        <v>2</v>
      </c>
      <c r="C265" s="805">
        <f>SUBTOTAL(109,PaymentFrequency35[Principal Outstanding Balance])</f>
        <v>701287262.86999977</v>
      </c>
      <c r="D265" s="806">
        <f>SUBTOTAL(109,PaymentFrequency35[% of Total (Amount)])</f>
        <v>1</v>
      </c>
      <c r="E265" s="807">
        <f>SUBTOTAL(109,PaymentFrequency35[Nb of Loans])</f>
        <v>3688</v>
      </c>
      <c r="F265" s="806">
        <f>SUBTOTAL(109,PaymentFrequency35[% of Total (Number)])</f>
        <v>1</v>
      </c>
    </row>
    <row r="266" spans="1:8" x14ac:dyDescent="0.35">
      <c r="A266" s="427"/>
      <c r="B266" s="422"/>
      <c r="C266" s="423"/>
      <c r="D266" s="424"/>
      <c r="E266" s="425"/>
      <c r="F266" s="424"/>
      <c r="H266" s="487" t="s">
        <v>654</v>
      </c>
    </row>
    <row r="267" spans="1:8" x14ac:dyDescent="0.35">
      <c r="A267" s="427"/>
      <c r="B267" s="420" t="s">
        <v>1269</v>
      </c>
      <c r="C267" s="420"/>
    </row>
    <row r="268" spans="1:8" ht="15" customHeight="1" x14ac:dyDescent="0.35">
      <c r="A268" s="427"/>
      <c r="B268" s="420"/>
      <c r="C268" s="420"/>
    </row>
    <row r="269" spans="1:8" ht="33" customHeight="1" x14ac:dyDescent="0.35">
      <c r="A269" s="427"/>
      <c r="B269" s="410" t="s">
        <v>503</v>
      </c>
      <c r="C269" s="410" t="s">
        <v>257</v>
      </c>
      <c r="D269" s="410" t="s">
        <v>289</v>
      </c>
      <c r="E269" s="410" t="s">
        <v>1503</v>
      </c>
      <c r="F269" s="410" t="s">
        <v>291</v>
      </c>
      <c r="G269" s="421"/>
    </row>
    <row r="270" spans="1:8" x14ac:dyDescent="0.35">
      <c r="A270" s="427" t="s">
        <v>466</v>
      </c>
      <c r="B270" s="422" t="s">
        <v>505</v>
      </c>
      <c r="C270" s="423">
        <f>_xlfn.XLOOKUP(A270,INPUT_DATA!$CJ$4:$CJ$397,INPUT_DATA!$CL$4:$CL$397)</f>
        <v>412337657.18000042</v>
      </c>
      <c r="D270" s="424">
        <f>EmploymentType36[[#This Row],[Principal Outstanding Balance]]/EmploymentType36[[#Totals],[Principal Outstanding Balance]]</f>
        <v>0.58797254564772627</v>
      </c>
      <c r="E270" s="425">
        <f>_xlfn.XLOOKUP(A270,INPUT_DATA!$CJ$4:$CJ$397,INPUT_DATA!$CM$4:$CM$397)</f>
        <v>1850</v>
      </c>
      <c r="F270" s="424">
        <f>EmploymentType36[[#This Row],[Nb of Borrowers]]/EmploymentType36[[#Totals],[Nb of Borrowers]]</f>
        <v>0.56145675265553874</v>
      </c>
    </row>
    <row r="271" spans="1:8" x14ac:dyDescent="0.35">
      <c r="A271" s="427" t="s">
        <v>467</v>
      </c>
      <c r="B271" s="422" t="s">
        <v>507</v>
      </c>
      <c r="C271" s="423">
        <f>_xlfn.XLOOKUP(A271,INPUT_DATA!$CJ$4:$CJ$397,INPUT_DATA!$CL$4:$CL$397)</f>
        <v>32774953.340000007</v>
      </c>
      <c r="D271" s="424">
        <f>EmploymentType36[[#This Row],[Principal Outstanding Balance]]/EmploymentType36[[#Totals],[Principal Outstanding Balance]]</f>
        <v>4.6735417959638009E-2</v>
      </c>
      <c r="E271" s="425">
        <f>_xlfn.XLOOKUP(A271,INPUT_DATA!$CJ$4:$CJ$397,INPUT_DATA!$CM$4:$CM$397)</f>
        <v>167</v>
      </c>
      <c r="F271" s="424">
        <f>EmploymentType36[[#This Row],[Nb of Borrowers]]/EmploymentType36[[#Totals],[Nb of Borrowers]]</f>
        <v>5.0682852807283761E-2</v>
      </c>
    </row>
    <row r="272" spans="1:8" x14ac:dyDescent="0.35">
      <c r="A272" s="427" t="s">
        <v>468</v>
      </c>
      <c r="B272" s="422" t="s">
        <v>509</v>
      </c>
      <c r="C272" s="423">
        <f>_xlfn.XLOOKUP(A272,INPUT_DATA!$CJ$4:$CJ$397,INPUT_DATA!$CL$4:$CL$397)</f>
        <v>28751295.749999993</v>
      </c>
      <c r="D272" s="424">
        <f>EmploymentType36[[#This Row],[Principal Outstanding Balance]]/EmploymentType36[[#Totals],[Principal Outstanding Balance]]</f>
        <v>4.0997886703853757E-2</v>
      </c>
      <c r="E272" s="425">
        <f>_xlfn.XLOOKUP(A272,INPUT_DATA!$CJ$4:$CJ$397,INPUT_DATA!$CM$4:$CM$397)</f>
        <v>95</v>
      </c>
      <c r="F272" s="424">
        <f>EmploymentType36[[#This Row],[Nb of Borrowers]]/EmploymentType36[[#Totals],[Nb of Borrowers]]</f>
        <v>2.8831562974203338E-2</v>
      </c>
    </row>
    <row r="273" spans="1:8" x14ac:dyDescent="0.35">
      <c r="A273" s="427" t="s">
        <v>469</v>
      </c>
      <c r="B273" s="422" t="s">
        <v>511</v>
      </c>
      <c r="C273" s="423">
        <f>_xlfn.XLOOKUP(A273,INPUT_DATA!$CJ$4:$CJ$397,INPUT_DATA!$CL$4:$CL$397)</f>
        <v>30293024.059999995</v>
      </c>
      <c r="D273" s="424">
        <f>EmploymentType36[[#This Row],[Principal Outstanding Balance]]/EmploymentType36[[#Totals],[Principal Outstanding Balance]]</f>
        <v>4.3196312928922377E-2</v>
      </c>
      <c r="E273" s="425">
        <f>_xlfn.XLOOKUP(A273,INPUT_DATA!$CJ$4:$CJ$397,INPUT_DATA!$CM$4:$CM$397)</f>
        <v>120</v>
      </c>
      <c r="F273" s="424">
        <f>EmploymentType36[[#This Row],[Nb of Borrowers]]/EmploymentType36[[#Totals],[Nb of Borrowers]]</f>
        <v>3.6418816388467376E-2</v>
      </c>
    </row>
    <row r="274" spans="1:8" x14ac:dyDescent="0.35">
      <c r="A274" s="427" t="s">
        <v>470</v>
      </c>
      <c r="B274" s="422" t="s">
        <v>513</v>
      </c>
      <c r="C274" s="423">
        <f>_xlfn.XLOOKUP(A274,INPUT_DATA!$CJ$4:$CJ$397,INPUT_DATA!$CL$4:$CL$397)</f>
        <v>58480450.199999966</v>
      </c>
      <c r="D274" s="424">
        <f>EmploymentType36[[#This Row],[Principal Outstanding Balance]]/EmploymentType36[[#Totals],[Principal Outstanding Balance]]</f>
        <v>8.3390150222706433E-2</v>
      </c>
      <c r="E274" s="425">
        <f>_xlfn.XLOOKUP(A274,INPUT_DATA!$CJ$4:$CJ$397,INPUT_DATA!$CM$4:$CM$397)</f>
        <v>282</v>
      </c>
      <c r="F274" s="424">
        <f>EmploymentType36[[#This Row],[Nb of Borrowers]]/EmploymentType36[[#Totals],[Nb of Borrowers]]</f>
        <v>8.5584218512898325E-2</v>
      </c>
    </row>
    <row r="275" spans="1:8" x14ac:dyDescent="0.35">
      <c r="A275" s="427" t="s">
        <v>471</v>
      </c>
      <c r="B275" s="422" t="s">
        <v>515</v>
      </c>
      <c r="C275" s="423">
        <f>_xlfn.XLOOKUP(A275,INPUT_DATA!$CJ$4:$CJ$397,INPUT_DATA!$CL$4:$CL$397)</f>
        <v>0</v>
      </c>
      <c r="D275" s="424">
        <f>EmploymentType36[[#This Row],[Principal Outstanding Balance]]/EmploymentType36[[#Totals],[Principal Outstanding Balance]]</f>
        <v>0</v>
      </c>
      <c r="E275" s="425">
        <f>_xlfn.XLOOKUP(A275,INPUT_DATA!$CJ$4:$CJ$397,INPUT_DATA!$CM$4:$CM$397)</f>
        <v>0</v>
      </c>
      <c r="F275" s="424">
        <f>EmploymentType36[[#This Row],[Nb of Borrowers]]/EmploymentType36[[#Totals],[Nb of Borrowers]]</f>
        <v>0</v>
      </c>
    </row>
    <row r="276" spans="1:8" x14ac:dyDescent="0.35">
      <c r="A276" s="427" t="s">
        <v>472</v>
      </c>
      <c r="B276" s="422" t="s">
        <v>517</v>
      </c>
      <c r="C276" s="423">
        <f>_xlfn.XLOOKUP(A276,INPUT_DATA!$CJ$4:$CJ$397,INPUT_DATA!$CL$4:$CL$397)</f>
        <v>2676321.71</v>
      </c>
      <c r="D276" s="424">
        <f>EmploymentType36[[#This Row],[Principal Outstanding Balance]]/EmploymentType36[[#Totals],[Principal Outstanding Balance]]</f>
        <v>3.8162987575836188E-3</v>
      </c>
      <c r="E276" s="425">
        <f>_xlfn.XLOOKUP(A276,INPUT_DATA!$CJ$4:$CJ$397,INPUT_DATA!$CM$4:$CM$397)</f>
        <v>13</v>
      </c>
      <c r="F276" s="424">
        <f>EmploymentType36[[#This Row],[Nb of Borrowers]]/EmploymentType36[[#Totals],[Nb of Borrowers]]</f>
        <v>3.9453717754172985E-3</v>
      </c>
    </row>
    <row r="277" spans="1:8" x14ac:dyDescent="0.35">
      <c r="A277" s="427" t="s">
        <v>473</v>
      </c>
      <c r="B277" s="422" t="s">
        <v>519</v>
      </c>
      <c r="C277" s="423">
        <f>_xlfn.XLOOKUP(A277,INPUT_DATA!$CJ$4:$CJ$397,INPUT_DATA!$CL$4:$CL$397)</f>
        <v>14820671.709999992</v>
      </c>
      <c r="D277" s="424">
        <f>EmploymentType36[[#This Row],[Principal Outstanding Balance]]/EmploymentType36[[#Totals],[Principal Outstanding Balance]]</f>
        <v>2.1133524726153964E-2</v>
      </c>
      <c r="E277" s="425">
        <f>_xlfn.XLOOKUP(A277,INPUT_DATA!$CJ$4:$CJ$397,INPUT_DATA!$CM$4:$CM$397)</f>
        <v>120</v>
      </c>
      <c r="F277" s="424">
        <f>EmploymentType36[[#This Row],[Nb of Borrowers]]/EmploymentType36[[#Totals],[Nb of Borrowers]]</f>
        <v>3.6418816388467376E-2</v>
      </c>
    </row>
    <row r="278" spans="1:8" x14ac:dyDescent="0.35">
      <c r="A278" s="427" t="s">
        <v>474</v>
      </c>
      <c r="B278" s="422" t="s">
        <v>370</v>
      </c>
      <c r="C278" s="423">
        <f>_xlfn.XLOOKUP(A278,INPUT_DATA!$CJ$4:$CJ$397,INPUT_DATA!$CL$4:$CL$397)</f>
        <v>4333882.1499999994</v>
      </c>
      <c r="D278" s="808">
        <f>EmploymentType36[[#This Row],[Principal Outstanding Balance]]/EmploymentType36[[#Totals],[Principal Outstanding Balance]]</f>
        <v>6.1798957138672322E-3</v>
      </c>
      <c r="E278" s="809">
        <f>_xlfn.XLOOKUP(A278,INPUT_DATA!$CJ$4:$CJ$397,INPUT_DATA!$CM$4:$CM$397)</f>
        <v>9</v>
      </c>
      <c r="F278" s="808">
        <f>EmploymentType36[[#This Row],[Nb of Borrowers]]/EmploymentType36[[#Totals],[Nb of Borrowers]]</f>
        <v>2.7314112291350529E-3</v>
      </c>
    </row>
    <row r="279" spans="1:8" x14ac:dyDescent="0.35">
      <c r="A279" s="427" t="s">
        <v>955</v>
      </c>
      <c r="B279" s="422" t="s">
        <v>1270</v>
      </c>
      <c r="C279" s="423">
        <f>_xlfn.XLOOKUP(A279,INPUT_DATA!$CJ$4:$CJ$397,INPUT_DATA!$CL$4:$CL$397)</f>
        <v>116819006.77000006</v>
      </c>
      <c r="D279" s="424">
        <f>EmploymentType36[[#This Row],[Principal Outstanding Balance]]/EmploymentType36[[#Totals],[Principal Outstanding Balance]]</f>
        <v>0.16657796733954811</v>
      </c>
      <c r="E279" s="425">
        <f>_xlfn.XLOOKUP(A279,INPUT_DATA!$CJ$4:$CJ$397,INPUT_DATA!$CM$4:$CM$397)</f>
        <v>639</v>
      </c>
      <c r="F279" s="424">
        <f>EmploymentType36[[#This Row],[Nb of Borrowers]]/EmploymentType36[[#Totals],[Nb of Borrowers]]</f>
        <v>0.19393019726858876</v>
      </c>
    </row>
    <row r="280" spans="1:8" x14ac:dyDescent="0.35">
      <c r="A280" s="427"/>
      <c r="B280" s="718" t="s">
        <v>2</v>
      </c>
      <c r="C280" s="805">
        <f>SUBTOTAL(109,EmploymentType36[Principal Outstanding Balance])</f>
        <v>701287262.8700006</v>
      </c>
      <c r="D280" s="806">
        <f>SUBTOTAL(109,EmploymentType36[% of Total (Amount)])</f>
        <v>0.99999999999999967</v>
      </c>
      <c r="E280" s="807">
        <f>SUBTOTAL(109,EmploymentType36[Nb of Borrowers])</f>
        <v>3295</v>
      </c>
      <c r="F280" s="806">
        <f>SUBTOTAL(109,EmploymentType36[% of Total (Number)])</f>
        <v>0.99999999999999989</v>
      </c>
    </row>
    <row r="281" spans="1:8" x14ac:dyDescent="0.35">
      <c r="A281" s="427"/>
      <c r="B281" s="422"/>
      <c r="C281" s="423"/>
      <c r="D281" s="424"/>
      <c r="E281" s="425"/>
      <c r="F281" s="424"/>
      <c r="H281" s="487" t="s">
        <v>654</v>
      </c>
    </row>
    <row r="282" spans="1:8" x14ac:dyDescent="0.35">
      <c r="A282" s="427"/>
      <c r="B282" s="420" t="s">
        <v>1379</v>
      </c>
      <c r="C282" s="420"/>
    </row>
    <row r="283" spans="1:8" ht="15" customHeight="1" x14ac:dyDescent="0.35">
      <c r="A283" s="427"/>
      <c r="B283" s="420"/>
      <c r="C283" s="420"/>
    </row>
    <row r="284" spans="1:8" ht="33" customHeight="1" x14ac:dyDescent="0.35">
      <c r="A284" s="427"/>
      <c r="B284" s="410" t="s">
        <v>529</v>
      </c>
      <c r="C284" s="410" t="s">
        <v>257</v>
      </c>
      <c r="D284" s="410" t="s">
        <v>289</v>
      </c>
      <c r="E284" s="410" t="s">
        <v>290</v>
      </c>
      <c r="F284" s="410" t="s">
        <v>291</v>
      </c>
      <c r="G284" s="421"/>
    </row>
    <row r="285" spans="1:8" x14ac:dyDescent="0.35">
      <c r="A285" s="427" t="s">
        <v>475</v>
      </c>
      <c r="B285" s="422" t="s">
        <v>530</v>
      </c>
      <c r="C285" s="423">
        <f>_xlfn.XLOOKUP(A285,INPUT_DATA!$CJ$4:$CJ$397,INPUT_DATA!$CL$4:$CL$397)</f>
        <v>3864113.68</v>
      </c>
      <c r="D285" s="424">
        <f>Top20Deb[[#This Row],[Principal Outstanding Balance]]/$C$26</f>
        <v>5.5100297475619529E-3</v>
      </c>
      <c r="E285" s="425">
        <f>_xlfn.XLOOKUP(A285,INPUT_DATA!$CJ$4:$CJ$397,INPUT_DATA!$CM$4:$CM$397)</f>
        <v>1</v>
      </c>
      <c r="F285" s="424">
        <f>Top20Deb[[#This Row],[Nb of Loans]]/$C$28</f>
        <v>2.7114967462039046E-4</v>
      </c>
    </row>
    <row r="286" spans="1:8" x14ac:dyDescent="0.35">
      <c r="A286" s="427" t="s">
        <v>476</v>
      </c>
      <c r="B286" s="422" t="s">
        <v>531</v>
      </c>
      <c r="C286" s="423">
        <f>_xlfn.XLOOKUP(A286,INPUT_DATA!$CJ$4:$CJ$397,INPUT_DATA!$CL$4:$CL$397)</f>
        <v>3623059.44</v>
      </c>
      <c r="D286" s="424">
        <f>Top20Deb[[#This Row],[Principal Outstanding Balance]]/$C$26</f>
        <v>5.1662986508163884E-3</v>
      </c>
      <c r="E286" s="425">
        <f>_xlfn.XLOOKUP(A286,INPUT_DATA!$CJ$4:$CJ$397,INPUT_DATA!$CM$4:$CM$397)</f>
        <v>2</v>
      </c>
      <c r="F286" s="424">
        <f>Top20Deb[[#This Row],[Nb of Loans]]/$C$28</f>
        <v>5.4229934924078093E-4</v>
      </c>
    </row>
    <row r="287" spans="1:8" x14ac:dyDescent="0.35">
      <c r="A287" s="427" t="s">
        <v>477</v>
      </c>
      <c r="B287" s="422" t="s">
        <v>532</v>
      </c>
      <c r="C287" s="423">
        <f>_xlfn.XLOOKUP(A287,INPUT_DATA!$CJ$4:$CJ$397,INPUT_DATA!$CL$4:$CL$397)</f>
        <v>3608148.53</v>
      </c>
      <c r="D287" s="424">
        <f>Top20Deb[[#This Row],[Principal Outstanding Balance]]/$C$26</f>
        <v>5.1450364508742732E-3</v>
      </c>
      <c r="E287" s="425">
        <f>_xlfn.XLOOKUP(A287,INPUT_DATA!$CJ$4:$CJ$397,INPUT_DATA!$CM$4:$CM$397)</f>
        <v>1</v>
      </c>
      <c r="F287" s="424">
        <f>Top20Deb[[#This Row],[Nb of Loans]]/$C$28</f>
        <v>2.7114967462039046E-4</v>
      </c>
    </row>
    <row r="288" spans="1:8" x14ac:dyDescent="0.35">
      <c r="A288" s="427" t="s">
        <v>478</v>
      </c>
      <c r="B288" s="422" t="s">
        <v>533</v>
      </c>
      <c r="C288" s="423">
        <f>_xlfn.XLOOKUP(A288,INPUT_DATA!$CJ$4:$CJ$397,INPUT_DATA!$CL$4:$CL$397)</f>
        <v>3513478.52</v>
      </c>
      <c r="D288" s="424">
        <f>Top20Deb[[#This Row],[Principal Outstanding Balance]]/$C$26</f>
        <v>5.0100418273977751E-3</v>
      </c>
      <c r="E288" s="425">
        <f>_xlfn.XLOOKUP(A288,INPUT_DATA!$CJ$4:$CJ$397,INPUT_DATA!$CM$4:$CM$397)</f>
        <v>2</v>
      </c>
      <c r="F288" s="424">
        <f>Top20Deb[[#This Row],[Nb of Loans]]/$C$28</f>
        <v>5.4229934924078093E-4</v>
      </c>
    </row>
    <row r="289" spans="1:6" x14ac:dyDescent="0.35">
      <c r="A289" s="427" t="s">
        <v>479</v>
      </c>
      <c r="B289" s="422" t="s">
        <v>534</v>
      </c>
      <c r="C289" s="423">
        <f>_xlfn.XLOOKUP(A289,INPUT_DATA!$CJ$4:$CJ$397,INPUT_DATA!$CL$4:$CL$397)</f>
        <v>3414613.44</v>
      </c>
      <c r="D289" s="424">
        <f>Top20Deb[[#This Row],[Principal Outstanding Balance]]/$C$26</f>
        <v>4.8690652472793841E-3</v>
      </c>
      <c r="E289" s="425">
        <f>_xlfn.XLOOKUP(A289,INPUT_DATA!$CJ$4:$CJ$397,INPUT_DATA!$CM$4:$CM$397)</f>
        <v>1</v>
      </c>
      <c r="F289" s="424">
        <f>Top20Deb[[#This Row],[Nb of Loans]]/$C$28</f>
        <v>2.7114967462039046E-4</v>
      </c>
    </row>
    <row r="290" spans="1:6" x14ac:dyDescent="0.35">
      <c r="A290" s="427" t="s">
        <v>480</v>
      </c>
      <c r="B290" s="422" t="s">
        <v>535</v>
      </c>
      <c r="C290" s="423">
        <f>_xlfn.XLOOKUP(A290,INPUT_DATA!$CJ$4:$CJ$397,INPUT_DATA!$CL$4:$CL$397)</f>
        <v>3369319.82</v>
      </c>
      <c r="D290" s="424">
        <f>Top20Deb[[#This Row],[Principal Outstanding Balance]]/$C$26</f>
        <v>4.8044788468154182E-3</v>
      </c>
      <c r="E290" s="425">
        <f>_xlfn.XLOOKUP(A290,INPUT_DATA!$CJ$4:$CJ$397,INPUT_DATA!$CM$4:$CM$397)</f>
        <v>1</v>
      </c>
      <c r="F290" s="424">
        <f>Top20Deb[[#This Row],[Nb of Loans]]/$C$28</f>
        <v>2.7114967462039046E-4</v>
      </c>
    </row>
    <row r="291" spans="1:6" x14ac:dyDescent="0.35">
      <c r="A291" s="427" t="s">
        <v>481</v>
      </c>
      <c r="B291" s="422" t="s">
        <v>536</v>
      </c>
      <c r="C291" s="423">
        <f>_xlfn.XLOOKUP(A291,INPUT_DATA!$CJ$4:$CJ$397,INPUT_DATA!$CL$4:$CL$397)</f>
        <v>2942353.23</v>
      </c>
      <c r="D291" s="424">
        <f>Top20Deb[[#This Row],[Principal Outstanding Balance]]/$C$26</f>
        <v>4.1956461863552098E-3</v>
      </c>
      <c r="E291" s="425">
        <f>_xlfn.XLOOKUP(A291,INPUT_DATA!$CJ$4:$CJ$397,INPUT_DATA!$CM$4:$CM$397)</f>
        <v>1</v>
      </c>
      <c r="F291" s="424">
        <f>Top20Deb[[#This Row],[Nb of Loans]]/$C$28</f>
        <v>2.7114967462039046E-4</v>
      </c>
    </row>
    <row r="292" spans="1:6" x14ac:dyDescent="0.35">
      <c r="A292" s="427" t="s">
        <v>482</v>
      </c>
      <c r="B292" s="422" t="s">
        <v>537</v>
      </c>
      <c r="C292" s="423">
        <f>_xlfn.XLOOKUP(A292,INPUT_DATA!$CJ$4:$CJ$397,INPUT_DATA!$CL$4:$CL$397)</f>
        <v>2709378.37</v>
      </c>
      <c r="D292" s="424">
        <f>Top20Deb[[#This Row],[Principal Outstanding Balance]]/$C$26</f>
        <v>3.8634358749251173E-3</v>
      </c>
      <c r="E292" s="425">
        <f>_xlfn.XLOOKUP(A292,INPUT_DATA!$CJ$4:$CJ$397,INPUT_DATA!$CM$4:$CM$397)</f>
        <v>2</v>
      </c>
      <c r="F292" s="424">
        <f>Top20Deb[[#This Row],[Nb of Loans]]/$C$28</f>
        <v>5.4229934924078093E-4</v>
      </c>
    </row>
    <row r="293" spans="1:6" x14ac:dyDescent="0.35">
      <c r="A293" s="427" t="s">
        <v>483</v>
      </c>
      <c r="B293" s="422" t="s">
        <v>538</v>
      </c>
      <c r="C293" s="423">
        <f>_xlfn.XLOOKUP(A293,INPUT_DATA!$CJ$4:$CJ$397,INPUT_DATA!$CL$4:$CL$397)</f>
        <v>2623453.44</v>
      </c>
      <c r="D293" s="424">
        <f>Top20Deb[[#This Row],[Principal Outstanding Balance]]/$C$26</f>
        <v>3.740911291135652E-3</v>
      </c>
      <c r="E293" s="425">
        <f>_xlfn.XLOOKUP(A293,INPUT_DATA!$CJ$4:$CJ$397,INPUT_DATA!$CM$4:$CM$397)</f>
        <v>2</v>
      </c>
      <c r="F293" s="424">
        <f>Top20Deb[[#This Row],[Nb of Loans]]/$C$28</f>
        <v>5.4229934924078093E-4</v>
      </c>
    </row>
    <row r="294" spans="1:6" x14ac:dyDescent="0.35">
      <c r="A294" s="427" t="s">
        <v>484</v>
      </c>
      <c r="B294" s="422" t="s">
        <v>539</v>
      </c>
      <c r="C294" s="423">
        <f>_xlfn.XLOOKUP(A294,INPUT_DATA!$CJ$4:$CJ$397,INPUT_DATA!$CL$4:$CL$397)</f>
        <v>2474455.89</v>
      </c>
      <c r="D294" s="424">
        <f>Top20Deb[[#This Row],[Principal Outstanding Balance]]/$C$26</f>
        <v>3.5284483563459467E-3</v>
      </c>
      <c r="E294" s="425">
        <f>_xlfn.XLOOKUP(A294,INPUT_DATA!$CJ$4:$CJ$397,INPUT_DATA!$CM$4:$CM$397)</f>
        <v>1</v>
      </c>
      <c r="F294" s="424">
        <f>Top20Deb[[#This Row],[Nb of Loans]]/$C$28</f>
        <v>2.7114967462039046E-4</v>
      </c>
    </row>
    <row r="295" spans="1:6" x14ac:dyDescent="0.35">
      <c r="A295" s="427" t="s">
        <v>485</v>
      </c>
      <c r="B295" s="422" t="s">
        <v>540</v>
      </c>
      <c r="C295" s="423">
        <f>_xlfn.XLOOKUP(A295,INPUT_DATA!$CJ$4:$CJ$397,INPUT_DATA!$CL$4:$CL$397)</f>
        <v>2426099.9400000004</v>
      </c>
      <c r="D295" s="424">
        <f>Top20Deb[[#This Row],[Principal Outstanding Balance]]/$C$26</f>
        <v>3.4594952289183868E-3</v>
      </c>
      <c r="E295" s="425">
        <f>_xlfn.XLOOKUP(A295,INPUT_DATA!$CJ$4:$CJ$397,INPUT_DATA!$CM$4:$CM$397)</f>
        <v>2</v>
      </c>
      <c r="F295" s="424">
        <f>Top20Deb[[#This Row],[Nb of Loans]]/$C$28</f>
        <v>5.4229934924078093E-4</v>
      </c>
    </row>
    <row r="296" spans="1:6" x14ac:dyDescent="0.35">
      <c r="A296" s="427" t="s">
        <v>486</v>
      </c>
      <c r="B296" s="422" t="s">
        <v>541</v>
      </c>
      <c r="C296" s="423">
        <f>_xlfn.XLOOKUP(A296,INPUT_DATA!$CJ$4:$CJ$397,INPUT_DATA!$CL$4:$CL$397)</f>
        <v>2370605.9</v>
      </c>
      <c r="D296" s="424">
        <f>Top20Deb[[#This Row],[Principal Outstanding Balance]]/$C$26</f>
        <v>3.3803635478824407E-3</v>
      </c>
      <c r="E296" s="425">
        <f>_xlfn.XLOOKUP(A296,INPUT_DATA!$CJ$4:$CJ$397,INPUT_DATA!$CM$4:$CM$397)</f>
        <v>1</v>
      </c>
      <c r="F296" s="424">
        <f>Top20Deb[[#This Row],[Nb of Loans]]/$C$28</f>
        <v>2.7114967462039046E-4</v>
      </c>
    </row>
    <row r="297" spans="1:6" x14ac:dyDescent="0.35">
      <c r="A297" s="427" t="s">
        <v>487</v>
      </c>
      <c r="B297" s="422" t="s">
        <v>542</v>
      </c>
      <c r="C297" s="423">
        <f>_xlfn.XLOOKUP(A297,INPUT_DATA!$CJ$4:$CJ$397,INPUT_DATA!$CL$4:$CL$397)</f>
        <v>2342941.75</v>
      </c>
      <c r="D297" s="424">
        <f>Top20Deb[[#This Row],[Principal Outstanding Balance]]/$C$26</f>
        <v>3.3409158757733183E-3</v>
      </c>
      <c r="E297" s="425">
        <f>_xlfn.XLOOKUP(A297,INPUT_DATA!$CJ$4:$CJ$397,INPUT_DATA!$CM$4:$CM$397)</f>
        <v>2</v>
      </c>
      <c r="F297" s="424">
        <f>Top20Deb[[#This Row],[Nb of Loans]]/$C$28</f>
        <v>5.4229934924078093E-4</v>
      </c>
    </row>
    <row r="298" spans="1:6" x14ac:dyDescent="0.35">
      <c r="A298" s="427" t="s">
        <v>488</v>
      </c>
      <c r="B298" s="422" t="s">
        <v>543</v>
      </c>
      <c r="C298" s="423">
        <f>_xlfn.XLOOKUP(A298,INPUT_DATA!$CJ$4:$CJ$397,INPUT_DATA!$CL$4:$CL$397)</f>
        <v>2186947.91</v>
      </c>
      <c r="D298" s="424">
        <f>Top20Deb[[#This Row],[Principal Outstanding Balance]]/$C$26</f>
        <v>3.1184765869694702E-3</v>
      </c>
      <c r="E298" s="425">
        <f>_xlfn.XLOOKUP(A298,INPUT_DATA!$CJ$4:$CJ$397,INPUT_DATA!$CM$4:$CM$397)</f>
        <v>2</v>
      </c>
      <c r="F298" s="424">
        <f>Top20Deb[[#This Row],[Nb of Loans]]/$C$28</f>
        <v>5.4229934924078093E-4</v>
      </c>
    </row>
    <row r="299" spans="1:6" x14ac:dyDescent="0.35">
      <c r="A299" s="427" t="s">
        <v>489</v>
      </c>
      <c r="B299" s="422" t="s">
        <v>544</v>
      </c>
      <c r="C299" s="423">
        <f>_xlfn.XLOOKUP(A299,INPUT_DATA!$CJ$4:$CJ$397,INPUT_DATA!$CL$4:$CL$397)</f>
        <v>2051037.75</v>
      </c>
      <c r="D299" s="424">
        <f>Top20Deb[[#This Row],[Principal Outstanding Balance]]/$C$26</f>
        <v>2.9246756052664926E-3</v>
      </c>
      <c r="E299" s="425">
        <f>_xlfn.XLOOKUP(A299,INPUT_DATA!$CJ$4:$CJ$397,INPUT_DATA!$CM$4:$CM$397)</f>
        <v>2</v>
      </c>
      <c r="F299" s="424">
        <f>Top20Deb[[#This Row],[Nb of Loans]]/$C$28</f>
        <v>5.4229934924078093E-4</v>
      </c>
    </row>
    <row r="300" spans="1:6" x14ac:dyDescent="0.35">
      <c r="A300" s="427" t="s">
        <v>957</v>
      </c>
      <c r="B300" s="422" t="s">
        <v>545</v>
      </c>
      <c r="C300" s="423">
        <f>_xlfn.XLOOKUP(A300,INPUT_DATA!$CJ$4:$CJ$397,INPUT_DATA!$CL$4:$CL$397)</f>
        <v>2000000</v>
      </c>
      <c r="D300" s="424">
        <f>Top20Deb[[#This Row],[Principal Outstanding Balance]]/$C$26</f>
        <v>2.8518983673181957E-3</v>
      </c>
      <c r="E300" s="425">
        <f>_xlfn.XLOOKUP(A300,INPUT_DATA!$CJ$4:$CJ$397,INPUT_DATA!$CM$4:$CM$397)</f>
        <v>1</v>
      </c>
      <c r="F300" s="424">
        <f>Top20Deb[[#This Row],[Nb of Loans]]/$C$28</f>
        <v>2.7114967462039046E-4</v>
      </c>
    </row>
    <row r="301" spans="1:6" x14ac:dyDescent="0.35">
      <c r="A301" s="427" t="s">
        <v>958</v>
      </c>
      <c r="B301" s="422" t="s">
        <v>546</v>
      </c>
      <c r="C301" s="423">
        <f>_xlfn.XLOOKUP(A301,INPUT_DATA!$CJ$4:$CJ$397,INPUT_DATA!$CL$4:$CL$397)</f>
        <v>1931666.13</v>
      </c>
      <c r="D301" s="424">
        <f>Top20Deb[[#This Row],[Principal Outstanding Balance]]/$C$26</f>
        <v>2.7544577411754284E-3</v>
      </c>
      <c r="E301" s="425">
        <f>_xlfn.XLOOKUP(A301,INPUT_DATA!$CJ$4:$CJ$397,INPUT_DATA!$CM$4:$CM$397)</f>
        <v>1</v>
      </c>
      <c r="F301" s="424">
        <f>Top20Deb[[#This Row],[Nb of Loans]]/$C$28</f>
        <v>2.7114967462039046E-4</v>
      </c>
    </row>
    <row r="302" spans="1:6" x14ac:dyDescent="0.35">
      <c r="A302" s="427" t="s">
        <v>959</v>
      </c>
      <c r="B302" s="422" t="s">
        <v>547</v>
      </c>
      <c r="C302" s="423">
        <f>_xlfn.XLOOKUP(A302,INPUT_DATA!$CJ$4:$CJ$397,INPUT_DATA!$CL$4:$CL$397)</f>
        <v>1898952.08</v>
      </c>
      <c r="D302" s="424">
        <f>Top20Deb[[#This Row],[Principal Outstanding Balance]]/$C$26</f>
        <v>2.7078091682837461E-3</v>
      </c>
      <c r="E302" s="425">
        <f>_xlfn.XLOOKUP(A302,INPUT_DATA!$CJ$4:$CJ$397,INPUT_DATA!$CM$4:$CM$397)</f>
        <v>2</v>
      </c>
      <c r="F302" s="424">
        <f>Top20Deb[[#This Row],[Nb of Loans]]/$C$28</f>
        <v>5.4229934924078093E-4</v>
      </c>
    </row>
    <row r="303" spans="1:6" x14ac:dyDescent="0.35">
      <c r="A303" s="427" t="s">
        <v>960</v>
      </c>
      <c r="B303" s="422" t="s">
        <v>548</v>
      </c>
      <c r="C303" s="423">
        <f>_xlfn.XLOOKUP(A303,INPUT_DATA!$CJ$4:$CJ$397,INPUT_DATA!$CL$4:$CL$397)</f>
        <v>1878252.36</v>
      </c>
      <c r="D303" s="424">
        <f>Top20Deb[[#This Row],[Principal Outstanding Balance]]/$C$26</f>
        <v>2.6782924194477739E-3</v>
      </c>
      <c r="E303" s="425">
        <f>_xlfn.XLOOKUP(A303,INPUT_DATA!$CJ$4:$CJ$397,INPUT_DATA!$CM$4:$CM$397)</f>
        <v>2</v>
      </c>
      <c r="F303" s="424">
        <f>Top20Deb[[#This Row],[Nb of Loans]]/$C$28</f>
        <v>5.4229934924078093E-4</v>
      </c>
    </row>
    <row r="304" spans="1:6" x14ac:dyDescent="0.35">
      <c r="A304" s="427" t="s">
        <v>961</v>
      </c>
      <c r="B304" s="422" t="s">
        <v>549</v>
      </c>
      <c r="C304" s="423">
        <f>_xlfn.XLOOKUP(A304,INPUT_DATA!$CJ$4:$CJ$397,INPUT_DATA!$CL$4:$CL$397)</f>
        <v>1850999.19</v>
      </c>
      <c r="D304" s="424">
        <f>Top20Deb[[#This Row],[Principal Outstanding Balance]]/$C$26</f>
        <v>2.6394307839341514E-3</v>
      </c>
      <c r="E304" s="425">
        <f>_xlfn.XLOOKUP(A304,INPUT_DATA!$CJ$4:$CJ$397,INPUT_DATA!$CM$4:$CM$397)</f>
        <v>2</v>
      </c>
      <c r="F304" s="424">
        <f>Top20Deb[[#This Row],[Nb of Loans]]/$C$28</f>
        <v>5.4229934924078093E-4</v>
      </c>
    </row>
    <row r="305" spans="1:8" x14ac:dyDescent="0.35">
      <c r="A305" s="427"/>
      <c r="B305" s="718" t="s">
        <v>2</v>
      </c>
      <c r="C305" s="805">
        <f>SUBTOTAL(109,Top20Deb[Principal Outstanding Balance])</f>
        <v>53079877.369999997</v>
      </c>
      <c r="D305" s="806">
        <f>SUBTOTAL(109,Top20Deb[% of Total (Amount)])</f>
        <v>7.5689207804476508E-2</v>
      </c>
      <c r="E305" s="807">
        <f>SUBTOTAL(109,Top20Deb[Nb of Loans])</f>
        <v>31</v>
      </c>
      <c r="F305" s="806">
        <f>SUBTOTAL(109,Top20Deb[% of Total (Number)])</f>
        <v>8.4056399132321057E-3</v>
      </c>
    </row>
    <row r="306" spans="1:8" x14ac:dyDescent="0.35">
      <c r="A306" s="427"/>
      <c r="B306" s="422"/>
      <c r="C306" s="423"/>
      <c r="D306" s="424"/>
      <c r="E306" s="425"/>
      <c r="F306" s="424"/>
      <c r="H306" s="487" t="s">
        <v>654</v>
      </c>
    </row>
    <row r="307" spans="1:8" x14ac:dyDescent="0.35">
      <c r="A307" s="427"/>
      <c r="B307" s="420" t="s">
        <v>1372</v>
      </c>
      <c r="C307" s="420"/>
    </row>
    <row r="308" spans="1:8" ht="15" customHeight="1" x14ac:dyDescent="0.35">
      <c r="A308" s="427"/>
      <c r="B308" s="420"/>
      <c r="C308" s="420"/>
    </row>
    <row r="309" spans="1:8" ht="33" customHeight="1" x14ac:dyDescent="0.35">
      <c r="A309" s="427"/>
      <c r="B309" s="410" t="s">
        <v>529</v>
      </c>
      <c r="C309" s="410" t="s">
        <v>257</v>
      </c>
      <c r="D309" s="410" t="s">
        <v>289</v>
      </c>
      <c r="E309" s="410" t="s">
        <v>290</v>
      </c>
      <c r="F309" s="410" t="s">
        <v>291</v>
      </c>
      <c r="G309" s="421"/>
    </row>
    <row r="310" spans="1:8" x14ac:dyDescent="0.35">
      <c r="A310" s="427" t="s">
        <v>491</v>
      </c>
      <c r="B310" s="422" t="s">
        <v>1271</v>
      </c>
      <c r="C310" s="423">
        <f>_xlfn.XLOOKUP(A310,INPUT_DATA!$CJ$4:$CJ$397,INPUT_DATA!$CL$4:$CL$397)</f>
        <v>472480712.76999998</v>
      </c>
      <c r="D310" s="424">
        <f>Top20Deb37[[#This Row],[Principal Outstanding Balance]]/Top20Deb37[[#Totals],[Principal Outstanding Balance]]</f>
        <v>0.27696787455113081</v>
      </c>
      <c r="E310" s="425">
        <f>_xlfn.XLOOKUP(A310,INPUT_DATA!$CJ$4:$CJ$397,INPUT_DATA!$CM$4:$CM$397)</f>
        <v>610</v>
      </c>
      <c r="F310" s="424">
        <f>Top20Deb37[[#This Row],[Nb of Loans]]/Top20Deb37[[#Totals],[Nb of Loans]]</f>
        <v>0.16540130151843818</v>
      </c>
    </row>
    <row r="311" spans="1:8" x14ac:dyDescent="0.35">
      <c r="A311" s="427" t="s">
        <v>493</v>
      </c>
      <c r="B311" s="422" t="s">
        <v>1272</v>
      </c>
      <c r="C311" s="423">
        <f>_xlfn.XLOOKUP(A311,INPUT_DATA!$CJ$4:$CJ$397,INPUT_DATA!$CL$4:$CL$397)</f>
        <v>21543520.059999999</v>
      </c>
      <c r="D311" s="808">
        <f>Top20Deb37[[#This Row],[Principal Outstanding Balance]]/Top20Deb37[[#Totals],[Principal Outstanding Balance]]</f>
        <v>1.2628796901329755E-2</v>
      </c>
      <c r="E311" s="809">
        <f>_xlfn.XLOOKUP(A311,INPUT_DATA!$CJ$4:$CJ$397,INPUT_DATA!$CM$4:$CM$397)</f>
        <v>65</v>
      </c>
      <c r="F311" s="808">
        <f>Top20Deb37[[#This Row],[Nb of Loans]]/Top20Deb37[[#Totals],[Nb of Loans]]</f>
        <v>1.7624728850325379E-2</v>
      </c>
    </row>
    <row r="312" spans="1:8" x14ac:dyDescent="0.35">
      <c r="A312" s="427" t="s">
        <v>495</v>
      </c>
      <c r="B312" s="422" t="s">
        <v>1273</v>
      </c>
      <c r="C312" s="423">
        <f>_xlfn.XLOOKUP(A312,INPUT_DATA!$CJ$4:$CJ$397,INPUT_DATA!$CL$4:$CL$397)</f>
        <v>96473518.25999999</v>
      </c>
      <c r="D312" s="808">
        <f>Top20Deb37[[#This Row],[Principal Outstanding Balance]]/Top20Deb37[[#Totals],[Principal Outstanding Balance]]</f>
        <v>5.6552711212889295E-2</v>
      </c>
      <c r="E312" s="809">
        <f>_xlfn.XLOOKUP(A312,INPUT_DATA!$CJ$4:$CJ$397,INPUT_DATA!$CM$4:$CM$397)</f>
        <v>156</v>
      </c>
      <c r="F312" s="808">
        <f>Top20Deb37[[#This Row],[Nb of Loans]]/Top20Deb37[[#Totals],[Nb of Loans]]</f>
        <v>4.2299349240780909E-2</v>
      </c>
    </row>
    <row r="313" spans="1:8" x14ac:dyDescent="0.35">
      <c r="A313" s="427" t="s">
        <v>497</v>
      </c>
      <c r="B313" s="422" t="s">
        <v>1274</v>
      </c>
      <c r="C313" s="423">
        <f>_xlfn.XLOOKUP(A313,INPUT_DATA!$CJ$4:$CJ$397,INPUT_DATA!$CL$4:$CL$397)</f>
        <v>24567495</v>
      </c>
      <c r="D313" s="808">
        <f>Top20Deb37[[#This Row],[Principal Outstanding Balance]]/Top20Deb37[[#Totals],[Principal Outstanding Balance]]</f>
        <v>1.4401448967733561E-2</v>
      </c>
      <c r="E313" s="809">
        <f>_xlfn.XLOOKUP(A313,INPUT_DATA!$CJ$4:$CJ$397,INPUT_DATA!$CM$4:$CM$397)</f>
        <v>68</v>
      </c>
      <c r="F313" s="808">
        <f>Top20Deb37[[#This Row],[Nb of Loans]]/Top20Deb37[[#Totals],[Nb of Loans]]</f>
        <v>1.843817787418655E-2</v>
      </c>
    </row>
    <row r="314" spans="1:8" x14ac:dyDescent="0.35">
      <c r="A314" s="427" t="s">
        <v>499</v>
      </c>
      <c r="B314" s="422" t="s">
        <v>1275</v>
      </c>
      <c r="C314" s="423">
        <f>_xlfn.XLOOKUP(A314,INPUT_DATA!$CJ$4:$CJ$397,INPUT_DATA!$CL$4:$CL$397)</f>
        <v>202152641.78999999</v>
      </c>
      <c r="D314" s="808">
        <f>Top20Deb37[[#This Row],[Principal Outstanding Balance]]/Top20Deb37[[#Totals],[Principal Outstanding Balance]]</f>
        <v>0.11850174201444663</v>
      </c>
      <c r="E314" s="809">
        <f>_xlfn.XLOOKUP(A314,INPUT_DATA!$CJ$4:$CJ$397,INPUT_DATA!$CM$4:$CM$397)</f>
        <v>333</v>
      </c>
      <c r="F314" s="808">
        <f>Top20Deb37[[#This Row],[Nb of Loans]]/Top20Deb37[[#Totals],[Nb of Loans]]</f>
        <v>9.0292841648590028E-2</v>
      </c>
    </row>
    <row r="315" spans="1:8" x14ac:dyDescent="0.35">
      <c r="A315" s="427" t="s">
        <v>967</v>
      </c>
      <c r="B315" s="422" t="s">
        <v>1276</v>
      </c>
      <c r="C315" s="423">
        <f>_xlfn.XLOOKUP(A315,INPUT_DATA!$CJ$4:$CJ$397,INPUT_DATA!$CL$4:$CL$397)</f>
        <v>41722887.859999999</v>
      </c>
      <c r="D315" s="808">
        <f>Top20Deb37[[#This Row],[Principal Outstanding Balance]]/Top20Deb37[[#Totals],[Principal Outstanding Balance]]</f>
        <v>2.4457928669661278E-2</v>
      </c>
      <c r="E315" s="809">
        <f>_xlfn.XLOOKUP(A315,INPUT_DATA!$CJ$4:$CJ$397,INPUT_DATA!$CM$4:$CM$397)</f>
        <v>136</v>
      </c>
      <c r="F315" s="808">
        <f>Top20Deb37[[#This Row],[Nb of Loans]]/Top20Deb37[[#Totals],[Nb of Loans]]</f>
        <v>3.6876355748373099E-2</v>
      </c>
    </row>
    <row r="316" spans="1:8" x14ac:dyDescent="0.35">
      <c r="A316" s="427" t="s">
        <v>969</v>
      </c>
      <c r="B316" s="422" t="s">
        <v>1277</v>
      </c>
      <c r="C316" s="423">
        <f>_xlfn.XLOOKUP(A316,INPUT_DATA!$CJ$4:$CJ$397,INPUT_DATA!$CL$4:$CL$397)</f>
        <v>68287567</v>
      </c>
      <c r="D316" s="808">
        <f>Top20Deb37[[#This Row],[Principal Outstanding Balance]]/Top20Deb37[[#Totals],[Principal Outstanding Balance]]</f>
        <v>4.0030125630683401E-2</v>
      </c>
      <c r="E316" s="809">
        <f>_xlfn.XLOOKUP(A316,INPUT_DATA!$CJ$4:$CJ$397,INPUT_DATA!$CM$4:$CM$397)</f>
        <v>147</v>
      </c>
      <c r="F316" s="808">
        <f>Top20Deb37[[#This Row],[Nb of Loans]]/Top20Deb37[[#Totals],[Nb of Loans]]</f>
        <v>3.9859002169197397E-2</v>
      </c>
    </row>
    <row r="317" spans="1:8" x14ac:dyDescent="0.35">
      <c r="A317" s="427" t="s">
        <v>971</v>
      </c>
      <c r="B317" s="422" t="s">
        <v>1278</v>
      </c>
      <c r="C317" s="423">
        <f>_xlfn.XLOOKUP(A317,INPUT_DATA!$CJ$4:$CJ$397,INPUT_DATA!$CL$4:$CL$397)</f>
        <v>26071145.109999999</v>
      </c>
      <c r="D317" s="808">
        <f>Top20Deb37[[#This Row],[Principal Outstanding Balance]]/Top20Deb37[[#Totals],[Principal Outstanding Balance]]</f>
        <v>1.5282887646137361E-2</v>
      </c>
      <c r="E317" s="809">
        <f>_xlfn.XLOOKUP(A317,INPUT_DATA!$CJ$4:$CJ$397,INPUT_DATA!$CM$4:$CM$397)</f>
        <v>94</v>
      </c>
      <c r="F317" s="808">
        <f>Top20Deb37[[#This Row],[Nb of Loans]]/Top20Deb37[[#Totals],[Nb of Loans]]</f>
        <v>2.5488069414316701E-2</v>
      </c>
    </row>
    <row r="318" spans="1:8" x14ac:dyDescent="0.35">
      <c r="A318" s="427" t="s">
        <v>973</v>
      </c>
      <c r="B318" s="422" t="s">
        <v>1279</v>
      </c>
      <c r="C318" s="423">
        <f>_xlfn.XLOOKUP(A318,INPUT_DATA!$CJ$4:$CJ$397,INPUT_DATA!$CL$4:$CL$397)</f>
        <v>225233</v>
      </c>
      <c r="D318" s="808">
        <f>Top20Deb37[[#This Row],[Principal Outstanding Balance]]/Top20Deb37[[#Totals],[Principal Outstanding Balance]]</f>
        <v>1.3203143240080167E-4</v>
      </c>
      <c r="E318" s="809">
        <f>_xlfn.XLOOKUP(A318,INPUT_DATA!$CJ$4:$CJ$397,INPUT_DATA!$CM$4:$CM$397)</f>
        <v>1</v>
      </c>
      <c r="F318" s="808">
        <f>Top20Deb37[[#This Row],[Nb of Loans]]/Top20Deb37[[#Totals],[Nb of Loans]]</f>
        <v>2.7114967462039046E-4</v>
      </c>
    </row>
    <row r="319" spans="1:8" x14ac:dyDescent="0.35">
      <c r="A319" s="427" t="s">
        <v>975</v>
      </c>
      <c r="B319" s="422" t="s">
        <v>1280</v>
      </c>
      <c r="C319" s="423">
        <f>_xlfn.XLOOKUP(A319,INPUT_DATA!$CJ$4:$CJ$397,INPUT_DATA!$CL$4:$CL$397)</f>
        <v>3933463</v>
      </c>
      <c r="D319" s="808">
        <f>Top20Deb37[[#This Row],[Principal Outstanding Balance]]/Top20Deb37[[#Totals],[Principal Outstanding Balance]]</f>
        <v>2.3057933525973307E-3</v>
      </c>
      <c r="E319" s="809">
        <f>_xlfn.XLOOKUP(A319,INPUT_DATA!$CJ$4:$CJ$397,INPUT_DATA!$CM$4:$CM$397)</f>
        <v>17</v>
      </c>
      <c r="F319" s="808">
        <f>Top20Deb37[[#This Row],[Nb of Loans]]/Top20Deb37[[#Totals],[Nb of Loans]]</f>
        <v>4.6095444685466374E-3</v>
      </c>
    </row>
    <row r="320" spans="1:8" x14ac:dyDescent="0.35">
      <c r="A320" s="427" t="s">
        <v>977</v>
      </c>
      <c r="B320" s="422" t="s">
        <v>1281</v>
      </c>
      <c r="C320" s="423">
        <f>_xlfn.XLOOKUP(A320,INPUT_DATA!$CJ$4:$CJ$397,INPUT_DATA!$CL$4:$CL$397)</f>
        <v>0</v>
      </c>
      <c r="D320" s="808">
        <f>Top20Deb37[[#This Row],[Principal Outstanding Balance]]/Top20Deb37[[#Totals],[Principal Outstanding Balance]]</f>
        <v>0</v>
      </c>
      <c r="E320" s="809">
        <f>_xlfn.XLOOKUP(A320,INPUT_DATA!$CJ$4:$CJ$397,INPUT_DATA!$CM$4:$CM$397)</f>
        <v>0</v>
      </c>
      <c r="F320" s="808">
        <f>Top20Deb37[[#This Row],[Nb of Loans]]/Top20Deb37[[#Totals],[Nb of Loans]]</f>
        <v>0</v>
      </c>
    </row>
    <row r="321" spans="1:6" x14ac:dyDescent="0.35">
      <c r="A321" s="427" t="s">
        <v>979</v>
      </c>
      <c r="B321" s="422" t="s">
        <v>1282</v>
      </c>
      <c r="C321" s="423">
        <f>_xlfn.XLOOKUP(A321,INPUT_DATA!$CJ$4:$CJ$397,INPUT_DATA!$CL$4:$CL$397)</f>
        <v>5318037</v>
      </c>
      <c r="D321" s="808">
        <f>Top20Deb37[[#This Row],[Principal Outstanding Balance]]/Top20Deb37[[#Totals],[Principal Outstanding Balance]]</f>
        <v>3.1174296957837532E-3</v>
      </c>
      <c r="E321" s="809">
        <f>_xlfn.XLOOKUP(A321,INPUT_DATA!$CJ$4:$CJ$397,INPUT_DATA!$CM$4:$CM$397)</f>
        <v>22</v>
      </c>
      <c r="F321" s="808">
        <f>Top20Deb37[[#This Row],[Nb of Loans]]/Top20Deb37[[#Totals],[Nb of Loans]]</f>
        <v>5.9652928416485899E-3</v>
      </c>
    </row>
    <row r="322" spans="1:6" x14ac:dyDescent="0.35">
      <c r="A322" s="427" t="s">
        <v>981</v>
      </c>
      <c r="B322" s="422" t="s">
        <v>1283</v>
      </c>
      <c r="C322" s="423">
        <f>_xlfn.XLOOKUP(A322,INPUT_DATA!$CJ$4:$CJ$397,INPUT_DATA!$CL$4:$CL$397)</f>
        <v>411000</v>
      </c>
      <c r="D322" s="808">
        <f>Top20Deb37[[#This Row],[Principal Outstanding Balance]]/Top20Deb37[[#Totals],[Principal Outstanding Balance]]</f>
        <v>2.4092792227040216E-4</v>
      </c>
      <c r="E322" s="809">
        <f>_xlfn.XLOOKUP(A322,INPUT_DATA!$CJ$4:$CJ$397,INPUT_DATA!$CM$4:$CM$397)</f>
        <v>2</v>
      </c>
      <c r="F322" s="808">
        <f>Top20Deb37[[#This Row],[Nb of Loans]]/Top20Deb37[[#Totals],[Nb of Loans]]</f>
        <v>5.4229934924078093E-4</v>
      </c>
    </row>
    <row r="323" spans="1:6" x14ac:dyDescent="0.35">
      <c r="A323" s="427" t="s">
        <v>983</v>
      </c>
      <c r="B323" s="422" t="s">
        <v>1284</v>
      </c>
      <c r="C323" s="423">
        <f>_xlfn.XLOOKUP(A323,INPUT_DATA!$CJ$4:$CJ$397,INPUT_DATA!$CL$4:$CL$397)</f>
        <v>2012812</v>
      </c>
      <c r="D323" s="808">
        <f>Top20Deb37[[#This Row],[Principal Outstanding Balance]]/Top20Deb37[[#Totals],[Principal Outstanding Balance]]</f>
        <v>1.179909034260177E-3</v>
      </c>
      <c r="E323" s="809">
        <f>_xlfn.XLOOKUP(A323,INPUT_DATA!$CJ$4:$CJ$397,INPUT_DATA!$CM$4:$CM$397)</f>
        <v>9</v>
      </c>
      <c r="F323" s="808">
        <f>Top20Deb37[[#This Row],[Nb of Loans]]/Top20Deb37[[#Totals],[Nb of Loans]]</f>
        <v>2.4403470715835141E-3</v>
      </c>
    </row>
    <row r="324" spans="1:6" x14ac:dyDescent="0.35">
      <c r="A324" s="427" t="s">
        <v>985</v>
      </c>
      <c r="B324" s="422" t="s">
        <v>1285</v>
      </c>
      <c r="C324" s="423">
        <f>_xlfn.XLOOKUP(A324,INPUT_DATA!$CJ$4:$CJ$397,INPUT_DATA!$CL$4:$CL$397)</f>
        <v>3214358</v>
      </c>
      <c r="D324" s="808">
        <f>Top20Deb37[[#This Row],[Principal Outstanding Balance]]/Top20Deb37[[#Totals],[Principal Outstanding Balance]]</f>
        <v>1.8842544875261444E-3</v>
      </c>
      <c r="E324" s="809">
        <f>_xlfn.XLOOKUP(A324,INPUT_DATA!$CJ$4:$CJ$397,INPUT_DATA!$CM$4:$CM$397)</f>
        <v>14</v>
      </c>
      <c r="F324" s="808">
        <f>Top20Deb37[[#This Row],[Nb of Loans]]/Top20Deb37[[#Totals],[Nb of Loans]]</f>
        <v>3.7960954446854662E-3</v>
      </c>
    </row>
    <row r="325" spans="1:6" x14ac:dyDescent="0.35">
      <c r="A325" s="427" t="s">
        <v>987</v>
      </c>
      <c r="B325" s="422" t="s">
        <v>1286</v>
      </c>
      <c r="C325" s="423">
        <f>_xlfn.XLOOKUP(A325,INPUT_DATA!$CJ$4:$CJ$397,INPUT_DATA!$CL$4:$CL$397)</f>
        <v>223900</v>
      </c>
      <c r="D325" s="808">
        <f>Top20Deb37[[#This Row],[Principal Outstanding Balance]]/Top20Deb37[[#Totals],[Principal Outstanding Balance]]</f>
        <v>1.3125002870156458E-4</v>
      </c>
      <c r="E325" s="809">
        <f>_xlfn.XLOOKUP(A325,INPUT_DATA!$CJ$4:$CJ$397,INPUT_DATA!$CM$4:$CM$397)</f>
        <v>2</v>
      </c>
      <c r="F325" s="808">
        <f>Top20Deb37[[#This Row],[Nb of Loans]]/Top20Deb37[[#Totals],[Nb of Loans]]</f>
        <v>5.4229934924078093E-4</v>
      </c>
    </row>
    <row r="326" spans="1:6" x14ac:dyDescent="0.35">
      <c r="A326" s="427" t="s">
        <v>989</v>
      </c>
      <c r="B326" s="422" t="s">
        <v>1287</v>
      </c>
      <c r="C326" s="423">
        <f>_xlfn.XLOOKUP(A326,INPUT_DATA!$CJ$4:$CJ$397,INPUT_DATA!$CL$4:$CL$397)</f>
        <v>1159500</v>
      </c>
      <c r="D326" s="808">
        <f>Top20Deb37[[#This Row],[Principal Outstanding Balance]]/Top20Deb37[[#Totals],[Principal Outstanding Balance]]</f>
        <v>6.796981164781783E-4</v>
      </c>
      <c r="E326" s="809">
        <f>_xlfn.XLOOKUP(A326,INPUT_DATA!$CJ$4:$CJ$397,INPUT_DATA!$CM$4:$CM$397)</f>
        <v>3</v>
      </c>
      <c r="F326" s="808">
        <f>Top20Deb37[[#This Row],[Nb of Loans]]/Top20Deb37[[#Totals],[Nb of Loans]]</f>
        <v>8.1344902386117134E-4</v>
      </c>
    </row>
    <row r="327" spans="1:6" x14ac:dyDescent="0.35">
      <c r="A327" s="427" t="s">
        <v>991</v>
      </c>
      <c r="B327" s="422" t="s">
        <v>1288</v>
      </c>
      <c r="C327" s="423">
        <f>_xlfn.XLOOKUP(A327,INPUT_DATA!$CJ$4:$CJ$397,INPUT_DATA!$CL$4:$CL$397)</f>
        <v>421527</v>
      </c>
      <c r="D327" s="808">
        <f>Top20Deb37[[#This Row],[Principal Outstanding Balance]]/Top20Deb37[[#Totals],[Principal Outstanding Balance]]</f>
        <v>2.4709884255687546E-4</v>
      </c>
      <c r="E327" s="809">
        <f>_xlfn.XLOOKUP(A327,INPUT_DATA!$CJ$4:$CJ$397,INPUT_DATA!$CM$4:$CM$397)</f>
        <v>2</v>
      </c>
      <c r="F327" s="808">
        <f>Top20Deb37[[#This Row],[Nb of Loans]]/Top20Deb37[[#Totals],[Nb of Loans]]</f>
        <v>5.4229934924078093E-4</v>
      </c>
    </row>
    <row r="328" spans="1:6" x14ac:dyDescent="0.35">
      <c r="A328" s="427" t="s">
        <v>993</v>
      </c>
      <c r="B328" s="422" t="s">
        <v>1289</v>
      </c>
      <c r="C328" s="423">
        <f>_xlfn.XLOOKUP(A328,INPUT_DATA!$CJ$4:$CJ$397,INPUT_DATA!$CL$4:$CL$397)</f>
        <v>1009169</v>
      </c>
      <c r="D328" s="808">
        <f>Top20Deb37[[#This Row],[Principal Outstanding Balance]]/Top20Deb37[[#Totals],[Principal Outstanding Balance]]</f>
        <v>5.9157418586301572E-4</v>
      </c>
      <c r="E328" s="809">
        <f>_xlfn.XLOOKUP(A328,INPUT_DATA!$CJ$4:$CJ$397,INPUT_DATA!$CM$4:$CM$397)</f>
        <v>2</v>
      </c>
      <c r="F328" s="808">
        <f>Top20Deb37[[#This Row],[Nb of Loans]]/Top20Deb37[[#Totals],[Nb of Loans]]</f>
        <v>5.4229934924078093E-4</v>
      </c>
    </row>
    <row r="329" spans="1:6" x14ac:dyDescent="0.35">
      <c r="A329" s="427" t="s">
        <v>995</v>
      </c>
      <c r="B329" s="422" t="s">
        <v>1290</v>
      </c>
      <c r="C329" s="423">
        <f>_xlfn.XLOOKUP(A329,INPUT_DATA!$CJ$4:$CJ$397,INPUT_DATA!$CL$4:$CL$397)</f>
        <v>571000</v>
      </c>
      <c r="D329" s="808">
        <f>Top20Deb37[[#This Row],[Principal Outstanding Balance]]/Top20Deb37[[#Totals],[Principal Outstanding Balance]]</f>
        <v>3.347198141518239E-4</v>
      </c>
      <c r="E329" s="809">
        <f>_xlfn.XLOOKUP(A329,INPUT_DATA!$CJ$4:$CJ$397,INPUT_DATA!$CM$4:$CM$397)</f>
        <v>4</v>
      </c>
      <c r="F329" s="808">
        <f>Top20Deb37[[#This Row],[Nb of Loans]]/Top20Deb37[[#Totals],[Nb of Loans]]</f>
        <v>1.0845986984815619E-3</v>
      </c>
    </row>
    <row r="330" spans="1:6" x14ac:dyDescent="0.35">
      <c r="A330" s="427" t="s">
        <v>997</v>
      </c>
      <c r="B330" s="422" t="s">
        <v>1291</v>
      </c>
      <c r="C330" s="423">
        <f>_xlfn.XLOOKUP(A330,INPUT_DATA!$CJ$4:$CJ$397,INPUT_DATA!$CL$4:$CL$397)</f>
        <v>0</v>
      </c>
      <c r="D330" s="808">
        <f>Top20Deb37[[#This Row],[Principal Outstanding Balance]]/Top20Deb37[[#Totals],[Principal Outstanding Balance]]</f>
        <v>0</v>
      </c>
      <c r="E330" s="809">
        <f>_xlfn.XLOOKUP(A330,INPUT_DATA!$CJ$4:$CJ$397,INPUT_DATA!$CM$4:$CM$397)</f>
        <v>0</v>
      </c>
      <c r="F330" s="808">
        <f>Top20Deb37[[#This Row],[Nb of Loans]]/Top20Deb37[[#Totals],[Nb of Loans]]</f>
        <v>0</v>
      </c>
    </row>
    <row r="331" spans="1:6" x14ac:dyDescent="0.35">
      <c r="A331" s="427" t="s">
        <v>999</v>
      </c>
      <c r="B331" s="422" t="s">
        <v>1292</v>
      </c>
      <c r="C331" s="423">
        <f>_xlfn.XLOOKUP(A331,INPUT_DATA!$CJ$4:$CJ$397,INPUT_DATA!$CL$4:$CL$397)</f>
        <v>0</v>
      </c>
      <c r="D331" s="808">
        <f>Top20Deb37[[#This Row],[Principal Outstanding Balance]]/Top20Deb37[[#Totals],[Principal Outstanding Balance]]</f>
        <v>0</v>
      </c>
      <c r="E331" s="809">
        <f>_xlfn.XLOOKUP(A331,INPUT_DATA!$CJ$4:$CJ$397,INPUT_DATA!$CM$4:$CM$397)</f>
        <v>0</v>
      </c>
      <c r="F331" s="808">
        <f>Top20Deb37[[#This Row],[Nb of Loans]]/Top20Deb37[[#Totals],[Nb of Loans]]</f>
        <v>0</v>
      </c>
    </row>
    <row r="332" spans="1:6" x14ac:dyDescent="0.35">
      <c r="A332" s="427" t="s">
        <v>1001</v>
      </c>
      <c r="B332" s="422" t="s">
        <v>1293</v>
      </c>
      <c r="C332" s="423">
        <f>_xlfn.XLOOKUP(A332,INPUT_DATA!$CJ$4:$CJ$397,INPUT_DATA!$CL$4:$CL$397)</f>
        <v>17162670</v>
      </c>
      <c r="D332" s="808">
        <f>Top20Deb37[[#This Row],[Principal Outstanding Balance]]/Top20Deb37[[#Totals],[Principal Outstanding Balance]]</f>
        <v>1.0060745556478255E-2</v>
      </c>
      <c r="E332" s="809">
        <f>_xlfn.XLOOKUP(A332,INPUT_DATA!$CJ$4:$CJ$397,INPUT_DATA!$CM$4:$CM$397)</f>
        <v>37</v>
      </c>
      <c r="F332" s="808">
        <f>Top20Deb37[[#This Row],[Nb of Loans]]/Top20Deb37[[#Totals],[Nb of Loans]]</f>
        <v>1.0032537960954447E-2</v>
      </c>
    </row>
    <row r="333" spans="1:6" x14ac:dyDescent="0.35">
      <c r="A333" s="427" t="s">
        <v>1003</v>
      </c>
      <c r="B333" s="422" t="s">
        <v>1294</v>
      </c>
      <c r="C333" s="423">
        <f>_xlfn.XLOOKUP(A333,INPUT_DATA!$CJ$4:$CJ$397,INPUT_DATA!$CL$4:$CL$397)</f>
        <v>1940311</v>
      </c>
      <c r="D333" s="808">
        <f>Top20Deb37[[#This Row],[Principal Outstanding Balance]]/Top20Deb37[[#Totals],[Principal Outstanding Balance]]</f>
        <v>1.1374089970520834E-3</v>
      </c>
      <c r="E333" s="809">
        <f>_xlfn.XLOOKUP(A333,INPUT_DATA!$CJ$4:$CJ$397,INPUT_DATA!$CM$4:$CM$397)</f>
        <v>6</v>
      </c>
      <c r="F333" s="808">
        <f>Top20Deb37[[#This Row],[Nb of Loans]]/Top20Deb37[[#Totals],[Nb of Loans]]</f>
        <v>1.6268980477223427E-3</v>
      </c>
    </row>
    <row r="334" spans="1:6" x14ac:dyDescent="0.35">
      <c r="A334" s="427" t="s">
        <v>1005</v>
      </c>
      <c r="B334" s="422" t="s">
        <v>1295</v>
      </c>
      <c r="C334" s="423">
        <f>_xlfn.XLOOKUP(A334,INPUT_DATA!$CJ$4:$CJ$397,INPUT_DATA!$CL$4:$CL$397)</f>
        <v>1450854</v>
      </c>
      <c r="D334" s="808">
        <f>Top20Deb37[[#This Row],[Principal Outstanding Balance]]/Top20Deb37[[#Totals],[Principal Outstanding Balance]]</f>
        <v>8.5048963439830186E-4</v>
      </c>
      <c r="E334" s="809">
        <f>_xlfn.XLOOKUP(A334,INPUT_DATA!$CJ$4:$CJ$397,INPUT_DATA!$CM$4:$CM$397)</f>
        <v>4</v>
      </c>
      <c r="F334" s="808">
        <f>Top20Deb37[[#This Row],[Nb of Loans]]/Top20Deb37[[#Totals],[Nb of Loans]]</f>
        <v>1.0845986984815619E-3</v>
      </c>
    </row>
    <row r="335" spans="1:6" x14ac:dyDescent="0.35">
      <c r="A335" s="427" t="s">
        <v>1007</v>
      </c>
      <c r="B335" s="422" t="s">
        <v>1296</v>
      </c>
      <c r="C335" s="423">
        <f>_xlfn.XLOOKUP(A335,INPUT_DATA!$CJ$4:$CJ$397,INPUT_DATA!$CL$4:$CL$397)</f>
        <v>4801122</v>
      </c>
      <c r="D335" s="808">
        <f>Top20Deb37[[#This Row],[Principal Outstanding Balance]]/Top20Deb37[[#Totals],[Principal Outstanding Balance]]</f>
        <v>2.8144144720844712E-3</v>
      </c>
      <c r="E335" s="809">
        <f>_xlfn.XLOOKUP(A335,INPUT_DATA!$CJ$4:$CJ$397,INPUT_DATA!$CM$4:$CM$397)</f>
        <v>15</v>
      </c>
      <c r="F335" s="808">
        <f>Top20Deb37[[#This Row],[Nb of Loans]]/Top20Deb37[[#Totals],[Nb of Loans]]</f>
        <v>4.0672451193058566E-3</v>
      </c>
    </row>
    <row r="336" spans="1:6" x14ac:dyDescent="0.35">
      <c r="A336" s="427" t="s">
        <v>1009</v>
      </c>
      <c r="B336" s="422" t="s">
        <v>1297</v>
      </c>
      <c r="C336" s="423">
        <f>_xlfn.XLOOKUP(A336,INPUT_DATA!$CJ$4:$CJ$397,INPUT_DATA!$CL$4:$CL$397)</f>
        <v>11307519</v>
      </c>
      <c r="D336" s="808">
        <f>Top20Deb37[[#This Row],[Principal Outstanding Balance]]/Top20Deb37[[#Totals],[Principal Outstanding Balance]]</f>
        <v>6.6284599968445147E-3</v>
      </c>
      <c r="E336" s="809">
        <f>_xlfn.XLOOKUP(A336,INPUT_DATA!$CJ$4:$CJ$397,INPUT_DATA!$CM$4:$CM$397)</f>
        <v>46</v>
      </c>
      <c r="F336" s="808">
        <f>Top20Deb37[[#This Row],[Nb of Loans]]/Top20Deb37[[#Totals],[Nb of Loans]]</f>
        <v>1.2472885032537961E-2</v>
      </c>
    </row>
    <row r="337" spans="1:6" x14ac:dyDescent="0.35">
      <c r="A337" s="427" t="s">
        <v>1011</v>
      </c>
      <c r="B337" s="422" t="s">
        <v>1298</v>
      </c>
      <c r="C337" s="423">
        <f>_xlfn.XLOOKUP(A337,INPUT_DATA!$CJ$4:$CJ$397,INPUT_DATA!$CL$4:$CL$397)</f>
        <v>28491231</v>
      </c>
      <c r="D337" s="808">
        <f>Top20Deb37[[#This Row],[Principal Outstanding Balance]]/Top20Deb37[[#Totals],[Principal Outstanding Balance]]</f>
        <v>1.6701540359503827E-2</v>
      </c>
      <c r="E337" s="809">
        <f>_xlfn.XLOOKUP(A337,INPUT_DATA!$CJ$4:$CJ$397,INPUT_DATA!$CM$4:$CM$397)</f>
        <v>94</v>
      </c>
      <c r="F337" s="808">
        <f>Top20Deb37[[#This Row],[Nb of Loans]]/Top20Deb37[[#Totals],[Nb of Loans]]</f>
        <v>2.5488069414316701E-2</v>
      </c>
    </row>
    <row r="338" spans="1:6" x14ac:dyDescent="0.35">
      <c r="A338" s="427" t="s">
        <v>1013</v>
      </c>
      <c r="B338" s="422" t="s">
        <v>1299</v>
      </c>
      <c r="C338" s="423">
        <f>_xlfn.XLOOKUP(A338,INPUT_DATA!$CJ$4:$CJ$397,INPUT_DATA!$CL$4:$CL$397)</f>
        <v>3375048</v>
      </c>
      <c r="D338" s="808">
        <f>Top20Deb37[[#This Row],[Principal Outstanding Balance]]/Top20Deb37[[#Totals],[Principal Outstanding Balance]]</f>
        <v>1.9784508569413049E-3</v>
      </c>
      <c r="E338" s="809">
        <f>_xlfn.XLOOKUP(A338,INPUT_DATA!$CJ$4:$CJ$397,INPUT_DATA!$CM$4:$CM$397)</f>
        <v>14</v>
      </c>
      <c r="F338" s="808">
        <f>Top20Deb37[[#This Row],[Nb of Loans]]/Top20Deb37[[#Totals],[Nb of Loans]]</f>
        <v>3.7960954446854662E-3</v>
      </c>
    </row>
    <row r="339" spans="1:6" x14ac:dyDescent="0.35">
      <c r="A339" s="427" t="s">
        <v>1015</v>
      </c>
      <c r="B339" s="422" t="s">
        <v>1300</v>
      </c>
      <c r="C339" s="423">
        <f>_xlfn.XLOOKUP(A339,INPUT_DATA!$CJ$4:$CJ$397,INPUT_DATA!$CL$4:$CL$397)</f>
        <v>1507754</v>
      </c>
      <c r="D339" s="808">
        <f>Top20Deb37[[#This Row],[Principal Outstanding Balance]]/Top20Deb37[[#Totals],[Principal Outstanding Balance]]</f>
        <v>8.8384437594863242E-4</v>
      </c>
      <c r="E339" s="809">
        <f>_xlfn.XLOOKUP(A339,INPUT_DATA!$CJ$4:$CJ$397,INPUT_DATA!$CM$4:$CM$397)</f>
        <v>4</v>
      </c>
      <c r="F339" s="808">
        <f>Top20Deb37[[#This Row],[Nb of Loans]]/Top20Deb37[[#Totals],[Nb of Loans]]</f>
        <v>1.0845986984815619E-3</v>
      </c>
    </row>
    <row r="340" spans="1:6" x14ac:dyDescent="0.35">
      <c r="A340" s="427" t="s">
        <v>1017</v>
      </c>
      <c r="B340" s="422" t="s">
        <v>1301</v>
      </c>
      <c r="C340" s="423">
        <f>_xlfn.XLOOKUP(A340,INPUT_DATA!$CJ$4:$CJ$397,INPUT_DATA!$CL$4:$CL$397)</f>
        <v>8053346</v>
      </c>
      <c r="D340" s="808">
        <f>Top20Deb37[[#This Row],[Principal Outstanding Balance]]/Top20Deb37[[#Totals],[Principal Outstanding Balance]]</f>
        <v>4.7208659832230025E-3</v>
      </c>
      <c r="E340" s="809">
        <f>_xlfn.XLOOKUP(A340,INPUT_DATA!$CJ$4:$CJ$397,INPUT_DATA!$CM$4:$CM$397)</f>
        <v>21</v>
      </c>
      <c r="F340" s="808">
        <f>Top20Deb37[[#This Row],[Nb of Loans]]/Top20Deb37[[#Totals],[Nb of Loans]]</f>
        <v>5.6941431670281999E-3</v>
      </c>
    </row>
    <row r="341" spans="1:6" x14ac:dyDescent="0.35">
      <c r="A341" s="427" t="s">
        <v>1019</v>
      </c>
      <c r="B341" s="422" t="s">
        <v>1302</v>
      </c>
      <c r="C341" s="423">
        <f>_xlfn.XLOOKUP(A341,INPUT_DATA!$CJ$4:$CJ$397,INPUT_DATA!$CL$4:$CL$397)</f>
        <v>764000</v>
      </c>
      <c r="D341" s="808">
        <f>Top20Deb37[[#This Row],[Principal Outstanding Balance]]/Top20Deb37[[#Totals],[Principal Outstanding Balance]]</f>
        <v>4.4785628373378891E-4</v>
      </c>
      <c r="E341" s="809">
        <f>_xlfn.XLOOKUP(A341,INPUT_DATA!$CJ$4:$CJ$397,INPUT_DATA!$CM$4:$CM$397)</f>
        <v>5</v>
      </c>
      <c r="F341" s="808">
        <f>Top20Deb37[[#This Row],[Nb of Loans]]/Top20Deb37[[#Totals],[Nb of Loans]]</f>
        <v>1.3557483731019523E-3</v>
      </c>
    </row>
    <row r="342" spans="1:6" x14ac:dyDescent="0.35">
      <c r="A342" s="427" t="s">
        <v>1021</v>
      </c>
      <c r="B342" s="422" t="s">
        <v>1303</v>
      </c>
      <c r="C342" s="423">
        <f>_xlfn.XLOOKUP(A342,INPUT_DATA!$CJ$4:$CJ$397,INPUT_DATA!$CL$4:$CL$397)</f>
        <v>10709395</v>
      </c>
      <c r="D342" s="808">
        <f>Top20Deb37[[#This Row],[Principal Outstanding Balance]]/Top20Deb37[[#Totals],[Principal Outstanding Balance]]</f>
        <v>6.2778401122214923E-3</v>
      </c>
      <c r="E342" s="809">
        <f>_xlfn.XLOOKUP(A342,INPUT_DATA!$CJ$4:$CJ$397,INPUT_DATA!$CM$4:$CM$397)</f>
        <v>35</v>
      </c>
      <c r="F342" s="808">
        <f>Top20Deb37[[#This Row],[Nb of Loans]]/Top20Deb37[[#Totals],[Nb of Loans]]</f>
        <v>9.4902386117136656E-3</v>
      </c>
    </row>
    <row r="343" spans="1:6" x14ac:dyDescent="0.35">
      <c r="A343" s="427" t="s">
        <v>1023</v>
      </c>
      <c r="B343" s="422" t="s">
        <v>1304</v>
      </c>
      <c r="C343" s="423">
        <f>_xlfn.XLOOKUP(A343,INPUT_DATA!$CJ$4:$CJ$397,INPUT_DATA!$CL$4:$CL$397)</f>
        <v>0</v>
      </c>
      <c r="D343" s="808">
        <f>Top20Deb37[[#This Row],[Principal Outstanding Balance]]/Top20Deb37[[#Totals],[Principal Outstanding Balance]]</f>
        <v>0</v>
      </c>
      <c r="E343" s="809">
        <f>_xlfn.XLOOKUP(A343,INPUT_DATA!$CJ$4:$CJ$397,INPUT_DATA!$CM$4:$CM$397)</f>
        <v>0</v>
      </c>
      <c r="F343" s="808">
        <f>Top20Deb37[[#This Row],[Nb of Loans]]/Top20Deb37[[#Totals],[Nb of Loans]]</f>
        <v>0</v>
      </c>
    </row>
    <row r="344" spans="1:6" x14ac:dyDescent="0.35">
      <c r="A344" s="427" t="s">
        <v>1025</v>
      </c>
      <c r="B344" s="422" t="s">
        <v>1305</v>
      </c>
      <c r="C344" s="423">
        <f>_xlfn.XLOOKUP(A344,INPUT_DATA!$CJ$4:$CJ$397,INPUT_DATA!$CL$4:$CL$397)</f>
        <v>0</v>
      </c>
      <c r="D344" s="808">
        <f>Top20Deb37[[#This Row],[Principal Outstanding Balance]]/Top20Deb37[[#Totals],[Principal Outstanding Balance]]</f>
        <v>0</v>
      </c>
      <c r="E344" s="809">
        <f>_xlfn.XLOOKUP(A344,INPUT_DATA!$CJ$4:$CJ$397,INPUT_DATA!$CM$4:$CM$397)</f>
        <v>0</v>
      </c>
      <c r="F344" s="808">
        <f>Top20Deb37[[#This Row],[Nb of Loans]]/Top20Deb37[[#Totals],[Nb of Loans]]</f>
        <v>0</v>
      </c>
    </row>
    <row r="345" spans="1:6" x14ac:dyDescent="0.35">
      <c r="A345" s="427" t="s">
        <v>1027</v>
      </c>
      <c r="B345" s="422" t="s">
        <v>1306</v>
      </c>
      <c r="C345" s="423">
        <f>_xlfn.XLOOKUP(A345,INPUT_DATA!$CJ$4:$CJ$397,INPUT_DATA!$CL$4:$CL$397)</f>
        <v>198240</v>
      </c>
      <c r="D345" s="808">
        <f>Top20Deb37[[#This Row],[Principal Outstanding Balance]]/Top20Deb37[[#Totals],[Principal Outstanding Balance]]</f>
        <v>1.1620815404108156E-4</v>
      </c>
      <c r="E345" s="809">
        <f>_xlfn.XLOOKUP(A345,INPUT_DATA!$CJ$4:$CJ$397,INPUT_DATA!$CM$4:$CM$397)</f>
        <v>2</v>
      </c>
      <c r="F345" s="808">
        <f>Top20Deb37[[#This Row],[Nb of Loans]]/Top20Deb37[[#Totals],[Nb of Loans]]</f>
        <v>5.4229934924078093E-4</v>
      </c>
    </row>
    <row r="346" spans="1:6" x14ac:dyDescent="0.35">
      <c r="A346" s="427" t="s">
        <v>1029</v>
      </c>
      <c r="B346" s="422" t="s">
        <v>1307</v>
      </c>
      <c r="C346" s="423">
        <f>_xlfn.XLOOKUP(A346,INPUT_DATA!$CJ$4:$CJ$397,INPUT_DATA!$CL$4:$CL$397)</f>
        <v>326406</v>
      </c>
      <c r="D346" s="808">
        <f>Top20Deb37[[#This Row],[Principal Outstanding Balance]]/Top20Deb37[[#Totals],[Principal Outstanding Balance]]</f>
        <v>1.9133897663404595E-4</v>
      </c>
      <c r="E346" s="809">
        <f>_xlfn.XLOOKUP(A346,INPUT_DATA!$CJ$4:$CJ$397,INPUT_DATA!$CM$4:$CM$397)</f>
        <v>2</v>
      </c>
      <c r="F346" s="808">
        <f>Top20Deb37[[#This Row],[Nb of Loans]]/Top20Deb37[[#Totals],[Nb of Loans]]</f>
        <v>5.4229934924078093E-4</v>
      </c>
    </row>
    <row r="347" spans="1:6" x14ac:dyDescent="0.35">
      <c r="A347" s="427" t="s">
        <v>1031</v>
      </c>
      <c r="B347" s="422" t="s">
        <v>1308</v>
      </c>
      <c r="C347" s="423">
        <f>_xlfn.XLOOKUP(A347,INPUT_DATA!$CJ$4:$CJ$397,INPUT_DATA!$CL$4:$CL$397)</f>
        <v>0</v>
      </c>
      <c r="D347" s="808">
        <f>Top20Deb37[[#This Row],[Principal Outstanding Balance]]/Top20Deb37[[#Totals],[Principal Outstanding Balance]]</f>
        <v>0</v>
      </c>
      <c r="E347" s="809">
        <f>_xlfn.XLOOKUP(A347,INPUT_DATA!$CJ$4:$CJ$397,INPUT_DATA!$CM$4:$CM$397)</f>
        <v>0</v>
      </c>
      <c r="F347" s="808">
        <f>Top20Deb37[[#This Row],[Nb of Loans]]/Top20Deb37[[#Totals],[Nb of Loans]]</f>
        <v>0</v>
      </c>
    </row>
    <row r="348" spans="1:6" x14ac:dyDescent="0.35">
      <c r="A348" s="427" t="s">
        <v>1033</v>
      </c>
      <c r="B348" s="422" t="s">
        <v>1309</v>
      </c>
      <c r="C348" s="423">
        <f>_xlfn.XLOOKUP(A348,INPUT_DATA!$CJ$4:$CJ$397,INPUT_DATA!$CL$4:$CL$397)</f>
        <v>3161933</v>
      </c>
      <c r="D348" s="808">
        <f>Top20Deb37[[#This Row],[Principal Outstanding Balance]]/Top20Deb37[[#Totals],[Principal Outstanding Balance]]</f>
        <v>1.8535229879518722E-3</v>
      </c>
      <c r="E348" s="809">
        <f>_xlfn.XLOOKUP(A348,INPUT_DATA!$CJ$4:$CJ$397,INPUT_DATA!$CM$4:$CM$397)</f>
        <v>12</v>
      </c>
      <c r="F348" s="808">
        <f>Top20Deb37[[#This Row],[Nb of Loans]]/Top20Deb37[[#Totals],[Nb of Loans]]</f>
        <v>3.2537960954446853E-3</v>
      </c>
    </row>
    <row r="349" spans="1:6" x14ac:dyDescent="0.35">
      <c r="A349" s="427" t="s">
        <v>1035</v>
      </c>
      <c r="B349" s="422" t="s">
        <v>1310</v>
      </c>
      <c r="C349" s="423">
        <f>_xlfn.XLOOKUP(A349,INPUT_DATA!$CJ$4:$CJ$397,INPUT_DATA!$CL$4:$CL$397)</f>
        <v>0</v>
      </c>
      <c r="D349" s="808">
        <f>Top20Deb37[[#This Row],[Principal Outstanding Balance]]/Top20Deb37[[#Totals],[Principal Outstanding Balance]]</f>
        <v>0</v>
      </c>
      <c r="E349" s="809">
        <f>_xlfn.XLOOKUP(A349,INPUT_DATA!$CJ$4:$CJ$397,INPUT_DATA!$CM$4:$CM$397)</f>
        <v>0</v>
      </c>
      <c r="F349" s="808">
        <f>Top20Deb37[[#This Row],[Nb of Loans]]/Top20Deb37[[#Totals],[Nb of Loans]]</f>
        <v>0</v>
      </c>
    </row>
    <row r="350" spans="1:6" x14ac:dyDescent="0.35">
      <c r="A350" s="427" t="s">
        <v>1037</v>
      </c>
      <c r="B350" s="422" t="s">
        <v>1311</v>
      </c>
      <c r="C350" s="423">
        <f>_xlfn.XLOOKUP(A350,INPUT_DATA!$CJ$4:$CJ$397,INPUT_DATA!$CL$4:$CL$397)</f>
        <v>4252063</v>
      </c>
      <c r="D350" s="808">
        <f>Top20Deb37[[#This Row],[Principal Outstanding Balance]]/Top20Deb37[[#Totals],[Principal Outstanding Balance]]</f>
        <v>2.4925564573062115E-3</v>
      </c>
      <c r="E350" s="809">
        <f>_xlfn.XLOOKUP(A350,INPUT_DATA!$CJ$4:$CJ$397,INPUT_DATA!$CM$4:$CM$397)</f>
        <v>15</v>
      </c>
      <c r="F350" s="808">
        <f>Top20Deb37[[#This Row],[Nb of Loans]]/Top20Deb37[[#Totals],[Nb of Loans]]</f>
        <v>4.0672451193058566E-3</v>
      </c>
    </row>
    <row r="351" spans="1:6" x14ac:dyDescent="0.35">
      <c r="A351" s="427" t="s">
        <v>1039</v>
      </c>
      <c r="B351" s="422" t="s">
        <v>1312</v>
      </c>
      <c r="C351" s="423">
        <f>_xlfn.XLOOKUP(A351,INPUT_DATA!$CJ$4:$CJ$397,INPUT_DATA!$CL$4:$CL$397)</f>
        <v>265000</v>
      </c>
      <c r="D351" s="808">
        <f>Top20Deb37[[#This Row],[Principal Outstanding Balance]]/Top20Deb37[[#Totals],[Principal Outstanding Balance]]</f>
        <v>1.5534282092860479E-4</v>
      </c>
      <c r="E351" s="809">
        <f>_xlfn.XLOOKUP(A351,INPUT_DATA!$CJ$4:$CJ$397,INPUT_DATA!$CM$4:$CM$397)</f>
        <v>1</v>
      </c>
      <c r="F351" s="808">
        <f>Top20Deb37[[#This Row],[Nb of Loans]]/Top20Deb37[[#Totals],[Nb of Loans]]</f>
        <v>2.7114967462039046E-4</v>
      </c>
    </row>
    <row r="352" spans="1:6" x14ac:dyDescent="0.35">
      <c r="A352" s="427" t="s">
        <v>1041</v>
      </c>
      <c r="B352" s="422" t="s">
        <v>1313</v>
      </c>
      <c r="C352" s="423">
        <f>_xlfn.XLOOKUP(A352,INPUT_DATA!$CJ$4:$CJ$397,INPUT_DATA!$CL$4:$CL$397)</f>
        <v>19829400.140000001</v>
      </c>
      <c r="D352" s="808">
        <f>Top20Deb37[[#This Row],[Principal Outstanding Balance]]/Top20Deb37[[#Totals],[Principal Outstanding Balance]]</f>
        <v>1.1623980962527061E-2</v>
      </c>
      <c r="E352" s="809">
        <f>_xlfn.XLOOKUP(A352,INPUT_DATA!$CJ$4:$CJ$397,INPUT_DATA!$CM$4:$CM$397)</f>
        <v>61</v>
      </c>
      <c r="F352" s="808">
        <f>Top20Deb37[[#This Row],[Nb of Loans]]/Top20Deb37[[#Totals],[Nb of Loans]]</f>
        <v>1.6540130151843819E-2</v>
      </c>
    </row>
    <row r="353" spans="1:6" x14ac:dyDescent="0.35">
      <c r="A353" s="427" t="s">
        <v>1043</v>
      </c>
      <c r="B353" s="422" t="s">
        <v>1314</v>
      </c>
      <c r="C353" s="423">
        <f>_xlfn.XLOOKUP(A353,INPUT_DATA!$CJ$4:$CJ$397,INPUT_DATA!$CL$4:$CL$397)</f>
        <v>1750826</v>
      </c>
      <c r="D353" s="808">
        <f>Top20Deb37[[#This Row],[Principal Outstanding Balance]]/Top20Deb37[[#Totals],[Principal Outstanding Balance]]</f>
        <v>1.0263330180948884E-3</v>
      </c>
      <c r="E353" s="809">
        <f>_xlfn.XLOOKUP(A353,INPUT_DATA!$CJ$4:$CJ$397,INPUT_DATA!$CM$4:$CM$397)</f>
        <v>11</v>
      </c>
      <c r="F353" s="808">
        <f>Top20Deb37[[#This Row],[Nb of Loans]]/Top20Deb37[[#Totals],[Nb of Loans]]</f>
        <v>2.9826464208242949E-3</v>
      </c>
    </row>
    <row r="354" spans="1:6" x14ac:dyDescent="0.35">
      <c r="A354" s="427" t="s">
        <v>1045</v>
      </c>
      <c r="B354" s="422" t="s">
        <v>1315</v>
      </c>
      <c r="C354" s="423">
        <f>_xlfn.XLOOKUP(A354,INPUT_DATA!$CJ$4:$CJ$397,INPUT_DATA!$CL$4:$CL$397)</f>
        <v>353296</v>
      </c>
      <c r="D354" s="808">
        <f>Top20Deb37[[#This Row],[Principal Outstanding Balance]]/Top20Deb37[[#Totals],[Principal Outstanding Balance]]</f>
        <v>2.0710187646336739E-4</v>
      </c>
      <c r="E354" s="809">
        <f>_xlfn.XLOOKUP(A354,INPUT_DATA!$CJ$4:$CJ$397,INPUT_DATA!$CM$4:$CM$397)</f>
        <v>2</v>
      </c>
      <c r="F354" s="808">
        <f>Top20Deb37[[#This Row],[Nb of Loans]]/Top20Deb37[[#Totals],[Nb of Loans]]</f>
        <v>5.4229934924078093E-4</v>
      </c>
    </row>
    <row r="355" spans="1:6" x14ac:dyDescent="0.35">
      <c r="A355" s="427" t="s">
        <v>1047</v>
      </c>
      <c r="B355" s="422" t="s">
        <v>1316</v>
      </c>
      <c r="C355" s="423">
        <f>_xlfn.XLOOKUP(A355,INPUT_DATA!$CJ$4:$CJ$397,INPUT_DATA!$CL$4:$CL$397)</f>
        <v>979557</v>
      </c>
      <c r="D355" s="808">
        <f>Top20Deb37[[#This Row],[Principal Outstanding Balance]]/Top20Deb37[[#Totals],[Principal Outstanding Balance]]</f>
        <v>5.7421565147306158E-4</v>
      </c>
      <c r="E355" s="809">
        <f>_xlfn.XLOOKUP(A355,INPUT_DATA!$CJ$4:$CJ$397,INPUT_DATA!$CM$4:$CM$397)</f>
        <v>5</v>
      </c>
      <c r="F355" s="808">
        <f>Top20Deb37[[#This Row],[Nb of Loans]]/Top20Deb37[[#Totals],[Nb of Loans]]</f>
        <v>1.3557483731019523E-3</v>
      </c>
    </row>
    <row r="356" spans="1:6" x14ac:dyDescent="0.35">
      <c r="A356" s="427" t="s">
        <v>1049</v>
      </c>
      <c r="B356" s="422" t="s">
        <v>1317</v>
      </c>
      <c r="C356" s="423">
        <f>_xlfn.XLOOKUP(A356,INPUT_DATA!$CJ$4:$CJ$397,INPUT_DATA!$CL$4:$CL$397)</f>
        <v>5514426</v>
      </c>
      <c r="D356" s="808">
        <f>Top20Deb37[[#This Row],[Principal Outstanding Balance]]/Top20Deb37[[#Totals],[Principal Outstanding Balance]]</f>
        <v>3.232552794875632E-3</v>
      </c>
      <c r="E356" s="809">
        <f>_xlfn.XLOOKUP(A356,INPUT_DATA!$CJ$4:$CJ$397,INPUT_DATA!$CM$4:$CM$397)</f>
        <v>14</v>
      </c>
      <c r="F356" s="808">
        <f>Top20Deb37[[#This Row],[Nb of Loans]]/Top20Deb37[[#Totals],[Nb of Loans]]</f>
        <v>3.7960954446854662E-3</v>
      </c>
    </row>
    <row r="357" spans="1:6" x14ac:dyDescent="0.35">
      <c r="A357" s="427" t="s">
        <v>1051</v>
      </c>
      <c r="B357" s="422" t="s">
        <v>1318</v>
      </c>
      <c r="C357" s="423">
        <f>_xlfn.XLOOKUP(A357,INPUT_DATA!$CJ$4:$CJ$397,INPUT_DATA!$CL$4:$CL$397)</f>
        <v>3660064</v>
      </c>
      <c r="D357" s="808">
        <f>Top20Deb37[[#This Row],[Principal Outstanding Balance]]/Top20Deb37[[#Totals],[Principal Outstanding Balance]]</f>
        <v>2.1455270435442753E-3</v>
      </c>
      <c r="E357" s="809">
        <f>_xlfn.XLOOKUP(A357,INPUT_DATA!$CJ$4:$CJ$397,INPUT_DATA!$CM$4:$CM$397)</f>
        <v>9</v>
      </c>
      <c r="F357" s="808">
        <f>Top20Deb37[[#This Row],[Nb of Loans]]/Top20Deb37[[#Totals],[Nb of Loans]]</f>
        <v>2.4403470715835141E-3</v>
      </c>
    </row>
    <row r="358" spans="1:6" x14ac:dyDescent="0.35">
      <c r="A358" s="427" t="s">
        <v>1053</v>
      </c>
      <c r="B358" s="422" t="s">
        <v>1319</v>
      </c>
      <c r="C358" s="423">
        <f>_xlfn.XLOOKUP(A358,INPUT_DATA!$CJ$4:$CJ$397,INPUT_DATA!$CL$4:$CL$397)</f>
        <v>2144239</v>
      </c>
      <c r="D358" s="808">
        <f>Top20Deb37[[#This Row],[Principal Outstanding Balance]]/Top20Deb37[[#Totals],[Principal Outstanding Balance]]</f>
        <v>1.2569514528495494E-3</v>
      </c>
      <c r="E358" s="809">
        <f>_xlfn.XLOOKUP(A358,INPUT_DATA!$CJ$4:$CJ$397,INPUT_DATA!$CM$4:$CM$397)</f>
        <v>9</v>
      </c>
      <c r="F358" s="808">
        <f>Top20Deb37[[#This Row],[Nb of Loans]]/Top20Deb37[[#Totals],[Nb of Loans]]</f>
        <v>2.4403470715835141E-3</v>
      </c>
    </row>
    <row r="359" spans="1:6" x14ac:dyDescent="0.35">
      <c r="A359" s="427" t="s">
        <v>1055</v>
      </c>
      <c r="B359" s="422" t="s">
        <v>1320</v>
      </c>
      <c r="C359" s="423">
        <f>_xlfn.XLOOKUP(A359,INPUT_DATA!$CJ$4:$CJ$397,INPUT_DATA!$CL$4:$CL$397)</f>
        <v>6753149</v>
      </c>
      <c r="D359" s="808">
        <f>Top20Deb37[[#This Row],[Principal Outstanding Balance]]/Top20Deb37[[#Totals],[Principal Outstanding Balance]]</f>
        <v>3.958691380419572E-3</v>
      </c>
      <c r="E359" s="809">
        <f>_xlfn.XLOOKUP(A359,INPUT_DATA!$CJ$4:$CJ$397,INPUT_DATA!$CM$4:$CM$397)</f>
        <v>22</v>
      </c>
      <c r="F359" s="808">
        <f>Top20Deb37[[#This Row],[Nb of Loans]]/Top20Deb37[[#Totals],[Nb of Loans]]</f>
        <v>5.9652928416485899E-3</v>
      </c>
    </row>
    <row r="360" spans="1:6" x14ac:dyDescent="0.35">
      <c r="A360" s="427" t="s">
        <v>1057</v>
      </c>
      <c r="B360" s="422" t="s">
        <v>1321</v>
      </c>
      <c r="C360" s="423">
        <f>_xlfn.XLOOKUP(A360,INPUT_DATA!$CJ$4:$CJ$397,INPUT_DATA!$CL$4:$CL$397)</f>
        <v>12600297</v>
      </c>
      <c r="D360" s="808">
        <f>Top20Deb37[[#This Row],[Principal Outstanding Balance]]/Top20Deb37[[#Totals],[Principal Outstanding Balance]]</f>
        <v>7.386285586861269E-3</v>
      </c>
      <c r="E360" s="809">
        <f>_xlfn.XLOOKUP(A360,INPUT_DATA!$CJ$4:$CJ$397,INPUT_DATA!$CM$4:$CM$397)</f>
        <v>31</v>
      </c>
      <c r="F360" s="808">
        <f>Top20Deb37[[#This Row],[Nb of Loans]]/Top20Deb37[[#Totals],[Nb of Loans]]</f>
        <v>8.405639913232104E-3</v>
      </c>
    </row>
    <row r="361" spans="1:6" x14ac:dyDescent="0.35">
      <c r="A361" s="427" t="s">
        <v>1059</v>
      </c>
      <c r="B361" s="422" t="s">
        <v>1322</v>
      </c>
      <c r="C361" s="423">
        <f>_xlfn.XLOOKUP(A361,INPUT_DATA!$CJ$4:$CJ$397,INPUT_DATA!$CL$4:$CL$397)</f>
        <v>3301276.04</v>
      </c>
      <c r="D361" s="808">
        <f>Top20Deb37[[#This Row],[Principal Outstanding Balance]]/Top20Deb37[[#Totals],[Principal Outstanding Balance]]</f>
        <v>1.9352057838400512E-3</v>
      </c>
      <c r="E361" s="809">
        <f>_xlfn.XLOOKUP(A361,INPUT_DATA!$CJ$4:$CJ$397,INPUT_DATA!$CM$4:$CM$397)</f>
        <v>9</v>
      </c>
      <c r="F361" s="808">
        <f>Top20Deb37[[#This Row],[Nb of Loans]]/Top20Deb37[[#Totals],[Nb of Loans]]</f>
        <v>2.4403470715835141E-3</v>
      </c>
    </row>
    <row r="362" spans="1:6" x14ac:dyDescent="0.35">
      <c r="A362" s="427" t="s">
        <v>1061</v>
      </c>
      <c r="B362" s="422" t="s">
        <v>1323</v>
      </c>
      <c r="C362" s="423">
        <f>_xlfn.XLOOKUP(A362,INPUT_DATA!$CJ$4:$CJ$397,INPUT_DATA!$CL$4:$CL$397)</f>
        <v>66831127</v>
      </c>
      <c r="D362" s="808">
        <f>Top20Deb37[[#This Row],[Principal Outstanding Balance]]/Top20Deb37[[#Totals],[Principal Outstanding Balance]]</f>
        <v>3.9176361486859795E-2</v>
      </c>
      <c r="E362" s="809">
        <f>_xlfn.XLOOKUP(A362,INPUT_DATA!$CJ$4:$CJ$397,INPUT_DATA!$CM$4:$CM$397)</f>
        <v>175</v>
      </c>
      <c r="F362" s="808">
        <f>Top20Deb37[[#This Row],[Nb of Loans]]/Top20Deb37[[#Totals],[Nb of Loans]]</f>
        <v>4.7451193058568326E-2</v>
      </c>
    </row>
    <row r="363" spans="1:6" x14ac:dyDescent="0.35">
      <c r="A363" s="427" t="s">
        <v>1063</v>
      </c>
      <c r="B363" s="422" t="s">
        <v>1324</v>
      </c>
      <c r="C363" s="423">
        <f>_xlfn.XLOOKUP(A363,INPUT_DATA!$CJ$4:$CJ$397,INPUT_DATA!$CL$4:$CL$397)</f>
        <v>15244360</v>
      </c>
      <c r="D363" s="808">
        <f>Top20Deb37[[#This Row],[Principal Outstanding Balance]]/Top20Deb37[[#Totals],[Principal Outstanding Balance]]</f>
        <v>8.9362335307591918E-3</v>
      </c>
      <c r="E363" s="809">
        <f>_xlfn.XLOOKUP(A363,INPUT_DATA!$CJ$4:$CJ$397,INPUT_DATA!$CM$4:$CM$397)</f>
        <v>21</v>
      </c>
      <c r="F363" s="808">
        <f>Top20Deb37[[#This Row],[Nb of Loans]]/Top20Deb37[[#Totals],[Nb of Loans]]</f>
        <v>5.6941431670281999E-3</v>
      </c>
    </row>
    <row r="364" spans="1:6" x14ac:dyDescent="0.35">
      <c r="A364" s="427" t="s">
        <v>1065</v>
      </c>
      <c r="B364" s="422" t="s">
        <v>1325</v>
      </c>
      <c r="C364" s="423">
        <f>_xlfn.XLOOKUP(A364,INPUT_DATA!$CJ$4:$CJ$397,INPUT_DATA!$CL$4:$CL$397)</f>
        <v>526507</v>
      </c>
      <c r="D364" s="808">
        <f>Top20Deb37[[#This Row],[Principal Outstanding Balance]]/Top20Deb37[[#Totals],[Principal Outstanding Balance]]</f>
        <v>3.0863804761757332E-4</v>
      </c>
      <c r="E364" s="809">
        <f>_xlfn.XLOOKUP(A364,INPUT_DATA!$CJ$4:$CJ$397,INPUT_DATA!$CM$4:$CM$397)</f>
        <v>3</v>
      </c>
      <c r="F364" s="808">
        <f>Top20Deb37[[#This Row],[Nb of Loans]]/Top20Deb37[[#Totals],[Nb of Loans]]</f>
        <v>8.1344902386117134E-4</v>
      </c>
    </row>
    <row r="365" spans="1:6" x14ac:dyDescent="0.35">
      <c r="A365" s="427" t="s">
        <v>1067</v>
      </c>
      <c r="B365" s="422" t="s">
        <v>1326</v>
      </c>
      <c r="C365" s="423">
        <f>_xlfn.XLOOKUP(A365,INPUT_DATA!$CJ$4:$CJ$397,INPUT_DATA!$CL$4:$CL$397)</f>
        <v>22378996</v>
      </c>
      <c r="D365" s="808">
        <f>Top20Deb37[[#This Row],[Principal Outstanding Balance]]/Top20Deb37[[#Totals],[Principal Outstanding Balance]]</f>
        <v>1.3118552332792313E-2</v>
      </c>
      <c r="E365" s="809">
        <f>_xlfn.XLOOKUP(A365,INPUT_DATA!$CJ$4:$CJ$397,INPUT_DATA!$CM$4:$CM$397)</f>
        <v>55</v>
      </c>
      <c r="F365" s="808">
        <f>Top20Deb37[[#This Row],[Nb of Loans]]/Top20Deb37[[#Totals],[Nb of Loans]]</f>
        <v>1.4913232104121476E-2</v>
      </c>
    </row>
    <row r="366" spans="1:6" x14ac:dyDescent="0.35">
      <c r="A366" s="427" t="s">
        <v>1069</v>
      </c>
      <c r="B366" s="422" t="s">
        <v>1327</v>
      </c>
      <c r="C366" s="423">
        <f>_xlfn.XLOOKUP(A366,INPUT_DATA!$CJ$4:$CJ$397,INPUT_DATA!$CL$4:$CL$397)</f>
        <v>0</v>
      </c>
      <c r="D366" s="808">
        <f>Top20Deb37[[#This Row],[Principal Outstanding Balance]]/Top20Deb37[[#Totals],[Principal Outstanding Balance]]</f>
        <v>0</v>
      </c>
      <c r="E366" s="809">
        <f>_xlfn.XLOOKUP(A366,INPUT_DATA!$CJ$4:$CJ$397,INPUT_DATA!$CM$4:$CM$397)</f>
        <v>0</v>
      </c>
      <c r="F366" s="808">
        <f>Top20Deb37[[#This Row],[Nb of Loans]]/Top20Deb37[[#Totals],[Nb of Loans]]</f>
        <v>0</v>
      </c>
    </row>
    <row r="367" spans="1:6" x14ac:dyDescent="0.35">
      <c r="A367" s="427" t="s">
        <v>1071</v>
      </c>
      <c r="B367" s="422" t="s">
        <v>1328</v>
      </c>
      <c r="C367" s="423">
        <f>_xlfn.XLOOKUP(A367,INPUT_DATA!$CJ$4:$CJ$397,INPUT_DATA!$CL$4:$CL$397)</f>
        <v>0</v>
      </c>
      <c r="D367" s="808">
        <f>Top20Deb37[[#This Row],[Principal Outstanding Balance]]/Top20Deb37[[#Totals],[Principal Outstanding Balance]]</f>
        <v>0</v>
      </c>
      <c r="E367" s="809">
        <f>_xlfn.XLOOKUP(A367,INPUT_DATA!$CJ$4:$CJ$397,INPUT_DATA!$CM$4:$CM$397)</f>
        <v>0</v>
      </c>
      <c r="F367" s="808">
        <f>Top20Deb37[[#This Row],[Nb of Loans]]/Top20Deb37[[#Totals],[Nb of Loans]]</f>
        <v>0</v>
      </c>
    </row>
    <row r="368" spans="1:6" x14ac:dyDescent="0.35">
      <c r="A368" s="427" t="s">
        <v>1073</v>
      </c>
      <c r="B368" s="422" t="s">
        <v>1329</v>
      </c>
      <c r="C368" s="423">
        <f>_xlfn.XLOOKUP(A368,INPUT_DATA!$CJ$4:$CJ$397,INPUT_DATA!$CL$4:$CL$397)</f>
        <v>718300</v>
      </c>
      <c r="D368" s="808">
        <f>Top20Deb37[[#This Row],[Principal Outstanding Balance]]/Top20Deb37[[#Totals],[Principal Outstanding Balance]]</f>
        <v>4.2106697461515783E-4</v>
      </c>
      <c r="E368" s="809">
        <f>_xlfn.XLOOKUP(A368,INPUT_DATA!$CJ$4:$CJ$397,INPUT_DATA!$CM$4:$CM$397)</f>
        <v>4</v>
      </c>
      <c r="F368" s="808">
        <f>Top20Deb37[[#This Row],[Nb of Loans]]/Top20Deb37[[#Totals],[Nb of Loans]]</f>
        <v>1.0845986984815619E-3</v>
      </c>
    </row>
    <row r="369" spans="1:6" x14ac:dyDescent="0.35">
      <c r="A369" s="427" t="s">
        <v>1075</v>
      </c>
      <c r="B369" s="422" t="s">
        <v>1330</v>
      </c>
      <c r="C369" s="423">
        <f>_xlfn.XLOOKUP(A369,INPUT_DATA!$CJ$4:$CJ$397,INPUT_DATA!$CL$4:$CL$397)</f>
        <v>1036800</v>
      </c>
      <c r="D369" s="808">
        <f>Top20Deb37[[#This Row],[Principal Outstanding Balance]]/Top20Deb37[[#Totals],[Principal Outstanding Balance]]</f>
        <v>6.0777145939161297E-4</v>
      </c>
      <c r="E369" s="809">
        <f>_xlfn.XLOOKUP(A369,INPUT_DATA!$CJ$4:$CJ$397,INPUT_DATA!$CM$4:$CM$397)</f>
        <v>3</v>
      </c>
      <c r="F369" s="808">
        <f>Top20Deb37[[#This Row],[Nb of Loans]]/Top20Deb37[[#Totals],[Nb of Loans]]</f>
        <v>8.1344902386117134E-4</v>
      </c>
    </row>
    <row r="370" spans="1:6" x14ac:dyDescent="0.35">
      <c r="A370" s="427" t="s">
        <v>1077</v>
      </c>
      <c r="B370" s="422" t="s">
        <v>1331</v>
      </c>
      <c r="C370" s="423">
        <f>_xlfn.XLOOKUP(A370,INPUT_DATA!$CJ$4:$CJ$397,INPUT_DATA!$CL$4:$CL$397)</f>
        <v>9114419</v>
      </c>
      <c r="D370" s="808">
        <f>Top20Deb37[[#This Row],[Principal Outstanding Balance]]/Top20Deb37[[#Totals],[Principal Outstanding Balance]]</f>
        <v>5.3428662588123517E-3</v>
      </c>
      <c r="E370" s="809">
        <f>_xlfn.XLOOKUP(A370,INPUT_DATA!$CJ$4:$CJ$397,INPUT_DATA!$CM$4:$CM$397)</f>
        <v>30</v>
      </c>
      <c r="F370" s="808">
        <f>Top20Deb37[[#This Row],[Nb of Loans]]/Top20Deb37[[#Totals],[Nb of Loans]]</f>
        <v>8.1344902386117132E-3</v>
      </c>
    </row>
    <row r="371" spans="1:6" x14ac:dyDescent="0.35">
      <c r="A371" s="427" t="s">
        <v>1079</v>
      </c>
      <c r="B371" s="422" t="s">
        <v>1332</v>
      </c>
      <c r="C371" s="423">
        <f>_xlfn.XLOOKUP(A371,INPUT_DATA!$CJ$4:$CJ$397,INPUT_DATA!$CL$4:$CL$397)</f>
        <v>1451316</v>
      </c>
      <c r="D371" s="808">
        <f>Top20Deb37[[#This Row],[Principal Outstanding Balance]]/Top20Deb37[[#Totals],[Principal Outstanding Balance]]</f>
        <v>8.5076045848610942E-4</v>
      </c>
      <c r="E371" s="809">
        <f>_xlfn.XLOOKUP(A371,INPUT_DATA!$CJ$4:$CJ$397,INPUT_DATA!$CM$4:$CM$397)</f>
        <v>4</v>
      </c>
      <c r="F371" s="808">
        <f>Top20Deb37[[#This Row],[Nb of Loans]]/Top20Deb37[[#Totals],[Nb of Loans]]</f>
        <v>1.0845986984815619E-3</v>
      </c>
    </row>
    <row r="372" spans="1:6" x14ac:dyDescent="0.35">
      <c r="A372" s="427" t="s">
        <v>1081</v>
      </c>
      <c r="B372" s="422" t="s">
        <v>1333</v>
      </c>
      <c r="C372" s="423">
        <f>_xlfn.XLOOKUP(A372,INPUT_DATA!$CJ$4:$CJ$397,INPUT_DATA!$CL$4:$CL$397)</f>
        <v>1089392</v>
      </c>
      <c r="D372" s="808">
        <f>Top20Deb37[[#This Row],[Principal Outstanding Balance]]/Top20Deb37[[#Totals],[Principal Outstanding Balance]]</f>
        <v>6.3860085425303638E-4</v>
      </c>
      <c r="E372" s="809">
        <f>_xlfn.XLOOKUP(A372,INPUT_DATA!$CJ$4:$CJ$397,INPUT_DATA!$CM$4:$CM$397)</f>
        <v>8</v>
      </c>
      <c r="F372" s="808">
        <f>Top20Deb37[[#This Row],[Nb of Loans]]/Top20Deb37[[#Totals],[Nb of Loans]]</f>
        <v>2.1691973969631237E-3</v>
      </c>
    </row>
    <row r="373" spans="1:6" x14ac:dyDescent="0.35">
      <c r="A373" s="427" t="s">
        <v>1083</v>
      </c>
      <c r="B373" s="422" t="s">
        <v>1334</v>
      </c>
      <c r="C373" s="423">
        <f>_xlfn.XLOOKUP(A373,INPUT_DATA!$CJ$4:$CJ$397,INPUT_DATA!$CL$4:$CL$397)</f>
        <v>1020000</v>
      </c>
      <c r="D373" s="808">
        <f>Top20Deb37[[#This Row],[Principal Outstanding Balance]]/Top20Deb37[[#Totals],[Principal Outstanding Balance]]</f>
        <v>5.9792331074406371E-4</v>
      </c>
      <c r="E373" s="809">
        <f>_xlfn.XLOOKUP(A373,INPUT_DATA!$CJ$4:$CJ$397,INPUT_DATA!$CM$4:$CM$397)</f>
        <v>4</v>
      </c>
      <c r="F373" s="808">
        <f>Top20Deb37[[#This Row],[Nb of Loans]]/Top20Deb37[[#Totals],[Nb of Loans]]</f>
        <v>1.0845986984815619E-3</v>
      </c>
    </row>
    <row r="374" spans="1:6" x14ac:dyDescent="0.35">
      <c r="A374" s="427" t="s">
        <v>1085</v>
      </c>
      <c r="B374" s="422" t="s">
        <v>1335</v>
      </c>
      <c r="C374" s="423">
        <f>_xlfn.XLOOKUP(A374,INPUT_DATA!$CJ$4:$CJ$397,INPUT_DATA!$CL$4:$CL$397)</f>
        <v>12469019</v>
      </c>
      <c r="D374" s="808">
        <f>Top20Deb37[[#This Row],[Principal Outstanding Balance]]/Top20Deb37[[#Totals],[Principal Outstanding Balance]]</f>
        <v>7.3093305119712104E-3</v>
      </c>
      <c r="E374" s="809">
        <f>_xlfn.XLOOKUP(A374,INPUT_DATA!$CJ$4:$CJ$397,INPUT_DATA!$CM$4:$CM$397)</f>
        <v>24</v>
      </c>
      <c r="F374" s="808">
        <f>Top20Deb37[[#This Row],[Nb of Loans]]/Top20Deb37[[#Totals],[Nb of Loans]]</f>
        <v>6.5075921908893707E-3</v>
      </c>
    </row>
    <row r="375" spans="1:6" x14ac:dyDescent="0.35">
      <c r="A375" s="427" t="s">
        <v>1087</v>
      </c>
      <c r="B375" s="422" t="s">
        <v>1336</v>
      </c>
      <c r="C375" s="423">
        <f>_xlfn.XLOOKUP(A375,INPUT_DATA!$CJ$4:$CJ$397,INPUT_DATA!$CL$4:$CL$397)</f>
        <v>20075356.170000002</v>
      </c>
      <c r="D375" s="808">
        <f>Top20Deb37[[#This Row],[Principal Outstanding Balance]]/Top20Deb37[[#Totals],[Principal Outstanding Balance]]</f>
        <v>1.176816022111046E-2</v>
      </c>
      <c r="E375" s="809">
        <f>_xlfn.XLOOKUP(A375,INPUT_DATA!$CJ$4:$CJ$397,INPUT_DATA!$CM$4:$CM$397)</f>
        <v>75</v>
      </c>
      <c r="F375" s="808">
        <f>Top20Deb37[[#This Row],[Nb of Loans]]/Top20Deb37[[#Totals],[Nb of Loans]]</f>
        <v>2.0336225596529284E-2</v>
      </c>
    </row>
    <row r="376" spans="1:6" x14ac:dyDescent="0.35">
      <c r="A376" s="427" t="s">
        <v>1089</v>
      </c>
      <c r="B376" s="422" t="s">
        <v>1337</v>
      </c>
      <c r="C376" s="423">
        <f>_xlfn.XLOOKUP(A376,INPUT_DATA!$CJ$4:$CJ$397,INPUT_DATA!$CL$4:$CL$397)</f>
        <v>0</v>
      </c>
      <c r="D376" s="808">
        <f>Top20Deb37[[#This Row],[Principal Outstanding Balance]]/Top20Deb37[[#Totals],[Principal Outstanding Balance]]</f>
        <v>0</v>
      </c>
      <c r="E376" s="809">
        <f>_xlfn.XLOOKUP(A376,INPUT_DATA!$CJ$4:$CJ$397,INPUT_DATA!$CM$4:$CM$397)</f>
        <v>0</v>
      </c>
      <c r="F376" s="808">
        <f>Top20Deb37[[#This Row],[Nb of Loans]]/Top20Deb37[[#Totals],[Nb of Loans]]</f>
        <v>0</v>
      </c>
    </row>
    <row r="377" spans="1:6" x14ac:dyDescent="0.35">
      <c r="A377" s="427" t="s">
        <v>1091</v>
      </c>
      <c r="B377" s="422" t="s">
        <v>1338</v>
      </c>
      <c r="C377" s="423">
        <f>_xlfn.XLOOKUP(A377,INPUT_DATA!$CJ$4:$CJ$397,INPUT_DATA!$CL$4:$CL$397)</f>
        <v>1812003</v>
      </c>
      <c r="D377" s="808">
        <f>Top20Deb37[[#This Row],[Principal Outstanding Balance]]/Top20Deb37[[#Totals],[Principal Outstanding Balance]]</f>
        <v>1.0621949341550743E-3</v>
      </c>
      <c r="E377" s="809">
        <f>_xlfn.XLOOKUP(A377,INPUT_DATA!$CJ$4:$CJ$397,INPUT_DATA!$CM$4:$CM$397)</f>
        <v>10</v>
      </c>
      <c r="F377" s="808">
        <f>Top20Deb37[[#This Row],[Nb of Loans]]/Top20Deb37[[#Totals],[Nb of Loans]]</f>
        <v>2.7114967462039045E-3</v>
      </c>
    </row>
    <row r="378" spans="1:6" x14ac:dyDescent="0.35">
      <c r="A378" s="427" t="s">
        <v>1093</v>
      </c>
      <c r="B378" s="422" t="s">
        <v>1339</v>
      </c>
      <c r="C378" s="423">
        <f>_xlfn.XLOOKUP(A378,INPUT_DATA!$CJ$4:$CJ$397,INPUT_DATA!$CL$4:$CL$397)</f>
        <v>194670</v>
      </c>
      <c r="D378" s="808">
        <f>Top20Deb37[[#This Row],[Principal Outstanding Balance]]/Top20Deb37[[#Totals],[Principal Outstanding Balance]]</f>
        <v>1.1411542245347734E-4</v>
      </c>
      <c r="E378" s="809">
        <f>_xlfn.XLOOKUP(A378,INPUT_DATA!$CJ$4:$CJ$397,INPUT_DATA!$CM$4:$CM$397)</f>
        <v>2</v>
      </c>
      <c r="F378" s="808">
        <f>Top20Deb37[[#This Row],[Nb of Loans]]/Top20Deb37[[#Totals],[Nb of Loans]]</f>
        <v>5.4229934924078093E-4</v>
      </c>
    </row>
    <row r="379" spans="1:6" x14ac:dyDescent="0.35">
      <c r="A379" s="427" t="s">
        <v>1095</v>
      </c>
      <c r="B379" s="422" t="s">
        <v>1340</v>
      </c>
      <c r="C379" s="423">
        <f>_xlfn.XLOOKUP(A379,INPUT_DATA!$CJ$4:$CJ$397,INPUT_DATA!$CL$4:$CL$397)</f>
        <v>0</v>
      </c>
      <c r="D379" s="808">
        <f>Top20Deb37[[#This Row],[Principal Outstanding Balance]]/Top20Deb37[[#Totals],[Principal Outstanding Balance]]</f>
        <v>0</v>
      </c>
      <c r="E379" s="809">
        <f>_xlfn.XLOOKUP(A379,INPUT_DATA!$CJ$4:$CJ$397,INPUT_DATA!$CM$4:$CM$397)</f>
        <v>0</v>
      </c>
      <c r="F379" s="808">
        <f>Top20Deb37[[#This Row],[Nb of Loans]]/Top20Deb37[[#Totals],[Nb of Loans]]</f>
        <v>0</v>
      </c>
    </row>
    <row r="380" spans="1:6" x14ac:dyDescent="0.35">
      <c r="A380" s="427" t="s">
        <v>1097</v>
      </c>
      <c r="B380" s="422" t="s">
        <v>1341</v>
      </c>
      <c r="C380" s="423">
        <f>_xlfn.XLOOKUP(A380,INPUT_DATA!$CJ$4:$CJ$397,INPUT_DATA!$CL$4:$CL$397)</f>
        <v>34906316</v>
      </c>
      <c r="D380" s="808">
        <f>Top20Deb37[[#This Row],[Principal Outstanding Balance]]/Top20Deb37[[#Totals],[Principal Outstanding Balance]]</f>
        <v>2.0462058851567141E-2</v>
      </c>
      <c r="E380" s="809">
        <f>_xlfn.XLOOKUP(A380,INPUT_DATA!$CJ$4:$CJ$397,INPUT_DATA!$CM$4:$CM$397)</f>
        <v>123</v>
      </c>
      <c r="F380" s="808">
        <f>Top20Deb37[[#This Row],[Nb of Loans]]/Top20Deb37[[#Totals],[Nb of Loans]]</f>
        <v>3.3351409978308023E-2</v>
      </c>
    </row>
    <row r="381" spans="1:6" x14ac:dyDescent="0.35">
      <c r="A381" s="427" t="s">
        <v>1099</v>
      </c>
      <c r="B381" s="422" t="s">
        <v>1342</v>
      </c>
      <c r="C381" s="423">
        <f>_xlfn.XLOOKUP(A381,INPUT_DATA!$CJ$4:$CJ$397,INPUT_DATA!$CL$4:$CL$397)</f>
        <v>1451000</v>
      </c>
      <c r="D381" s="808">
        <f>Top20Deb37[[#This Row],[Principal Outstanding Balance]]/Top20Deb37[[#Totals],[Principal Outstanding Balance]]</f>
        <v>8.5057521949964362E-4</v>
      </c>
      <c r="E381" s="809">
        <f>_xlfn.XLOOKUP(A381,INPUT_DATA!$CJ$4:$CJ$397,INPUT_DATA!$CM$4:$CM$397)</f>
        <v>4</v>
      </c>
      <c r="F381" s="808">
        <f>Top20Deb37[[#This Row],[Nb of Loans]]/Top20Deb37[[#Totals],[Nb of Loans]]</f>
        <v>1.0845986984815619E-3</v>
      </c>
    </row>
    <row r="382" spans="1:6" x14ac:dyDescent="0.35">
      <c r="A382" s="427" t="s">
        <v>1101</v>
      </c>
      <c r="B382" s="422" t="s">
        <v>1343</v>
      </c>
      <c r="C382" s="423">
        <f>_xlfn.XLOOKUP(A382,INPUT_DATA!$CJ$4:$CJ$397,INPUT_DATA!$CL$4:$CL$397)</f>
        <v>435000</v>
      </c>
      <c r="D382" s="808">
        <f>Top20Deb37[[#This Row],[Principal Outstanding Balance]]/Top20Deb37[[#Totals],[Principal Outstanding Balance]]</f>
        <v>2.5499670605261542E-4</v>
      </c>
      <c r="E382" s="809">
        <f>_xlfn.XLOOKUP(A382,INPUT_DATA!$CJ$4:$CJ$397,INPUT_DATA!$CM$4:$CM$397)</f>
        <v>2</v>
      </c>
      <c r="F382" s="808">
        <f>Top20Deb37[[#This Row],[Nb of Loans]]/Top20Deb37[[#Totals],[Nb of Loans]]</f>
        <v>5.4229934924078093E-4</v>
      </c>
    </row>
    <row r="383" spans="1:6" x14ac:dyDescent="0.35">
      <c r="A383" s="427" t="s">
        <v>1103</v>
      </c>
      <c r="B383" s="422" t="s">
        <v>1344</v>
      </c>
      <c r="C383" s="423">
        <f>_xlfn.XLOOKUP(A383,INPUT_DATA!$CJ$4:$CJ$397,INPUT_DATA!$CL$4:$CL$397)</f>
        <v>732250</v>
      </c>
      <c r="D383" s="808">
        <f>Top20Deb37[[#This Row],[Principal Outstanding Balance]]/Top20Deb37[[#Totals],[Principal Outstanding Balance]]</f>
        <v>4.292444551885693E-4</v>
      </c>
      <c r="E383" s="809">
        <f>_xlfn.XLOOKUP(A383,INPUT_DATA!$CJ$4:$CJ$397,INPUT_DATA!$CM$4:$CM$397)</f>
        <v>4</v>
      </c>
      <c r="F383" s="808">
        <f>Top20Deb37[[#This Row],[Nb of Loans]]/Top20Deb37[[#Totals],[Nb of Loans]]</f>
        <v>1.0845986984815619E-3</v>
      </c>
    </row>
    <row r="384" spans="1:6" x14ac:dyDescent="0.35">
      <c r="A384" s="427" t="s">
        <v>1105</v>
      </c>
      <c r="B384" s="422" t="s">
        <v>1345</v>
      </c>
      <c r="C384" s="423">
        <f>_xlfn.XLOOKUP(A384,INPUT_DATA!$CJ$4:$CJ$397,INPUT_DATA!$CL$4:$CL$397)</f>
        <v>1405771</v>
      </c>
      <c r="D384" s="808">
        <f>Top20Deb37[[#This Row],[Principal Outstanding Balance]]/Top20Deb37[[#Totals],[Principal Outstanding Balance]]</f>
        <v>8.2406201026273844E-4</v>
      </c>
      <c r="E384" s="809">
        <f>_xlfn.XLOOKUP(A384,INPUT_DATA!$CJ$4:$CJ$397,INPUT_DATA!$CM$4:$CM$397)</f>
        <v>6</v>
      </c>
      <c r="F384" s="808">
        <f>Top20Deb37[[#This Row],[Nb of Loans]]/Top20Deb37[[#Totals],[Nb of Loans]]</f>
        <v>1.6268980477223427E-3</v>
      </c>
    </row>
    <row r="385" spans="1:6" x14ac:dyDescent="0.35">
      <c r="A385" s="427" t="s">
        <v>1107</v>
      </c>
      <c r="B385" s="422" t="s">
        <v>1346</v>
      </c>
      <c r="C385" s="423">
        <f>_xlfn.XLOOKUP(A385,INPUT_DATA!$CJ$4:$CJ$397,INPUT_DATA!$CL$4:$CL$397)</f>
        <v>1982965</v>
      </c>
      <c r="D385" s="808">
        <f>Top20Deb37[[#This Row],[Principal Outstanding Balance]]/Top20Deb37[[#Totals],[Principal Outstanding Balance]]</f>
        <v>1.1624127430290218E-3</v>
      </c>
      <c r="E385" s="809">
        <f>_xlfn.XLOOKUP(A385,INPUT_DATA!$CJ$4:$CJ$397,INPUT_DATA!$CM$4:$CM$397)</f>
        <v>7</v>
      </c>
      <c r="F385" s="808">
        <f>Top20Deb37[[#This Row],[Nb of Loans]]/Top20Deb37[[#Totals],[Nb of Loans]]</f>
        <v>1.8980477223427331E-3</v>
      </c>
    </row>
    <row r="386" spans="1:6" x14ac:dyDescent="0.35">
      <c r="A386" s="427" t="s">
        <v>1109</v>
      </c>
      <c r="B386" s="422" t="s">
        <v>1347</v>
      </c>
      <c r="C386" s="423">
        <f>_xlfn.XLOOKUP(A386,INPUT_DATA!$CJ$4:$CJ$397,INPUT_DATA!$CL$4:$CL$397)</f>
        <v>717971</v>
      </c>
      <c r="D386" s="808">
        <f>Top20Deb37[[#This Row],[Principal Outstanding Balance]]/Top20Deb37[[#Totals],[Principal Outstanding Balance]]</f>
        <v>4.2087411503747668E-4</v>
      </c>
      <c r="E386" s="809">
        <f>_xlfn.XLOOKUP(A386,INPUT_DATA!$CJ$4:$CJ$397,INPUT_DATA!$CM$4:$CM$397)</f>
        <v>2</v>
      </c>
      <c r="F386" s="808">
        <f>Top20Deb37[[#This Row],[Nb of Loans]]/Top20Deb37[[#Totals],[Nb of Loans]]</f>
        <v>5.4229934924078093E-4</v>
      </c>
    </row>
    <row r="387" spans="1:6" x14ac:dyDescent="0.35">
      <c r="A387" s="427" t="s">
        <v>1111</v>
      </c>
      <c r="B387" s="422" t="s">
        <v>1348</v>
      </c>
      <c r="C387" s="423">
        <f>_xlfn.XLOOKUP(A387,INPUT_DATA!$CJ$4:$CJ$397,INPUT_DATA!$CL$4:$CL$397)</f>
        <v>243200</v>
      </c>
      <c r="D387" s="808">
        <f>Top20Deb37[[#This Row],[Principal Outstanding Balance]]/Top20Deb37[[#Totals],[Principal Outstanding Balance]]</f>
        <v>1.4256367565976109E-4</v>
      </c>
      <c r="E387" s="809">
        <f>_xlfn.XLOOKUP(A387,INPUT_DATA!$CJ$4:$CJ$397,INPUT_DATA!$CM$4:$CM$397)</f>
        <v>1</v>
      </c>
      <c r="F387" s="808">
        <f>Top20Deb37[[#This Row],[Nb of Loans]]/Top20Deb37[[#Totals],[Nb of Loans]]</f>
        <v>2.7114967462039046E-4</v>
      </c>
    </row>
    <row r="388" spans="1:6" x14ac:dyDescent="0.35">
      <c r="A388" s="427" t="s">
        <v>1113</v>
      </c>
      <c r="B388" s="422" t="s">
        <v>1349</v>
      </c>
      <c r="C388" s="423">
        <f>_xlfn.XLOOKUP(A388,INPUT_DATA!$CJ$4:$CJ$397,INPUT_DATA!$CL$4:$CL$397)</f>
        <v>220285</v>
      </c>
      <c r="D388" s="808">
        <f>Top20Deb37[[#This Row],[Principal Outstanding Balance]]/Top20Deb37[[#Totals],[Principal Outstanding Balance]]</f>
        <v>1.291309181443687E-4</v>
      </c>
      <c r="E388" s="809">
        <f>_xlfn.XLOOKUP(A388,INPUT_DATA!$CJ$4:$CJ$397,INPUT_DATA!$CM$4:$CM$397)</f>
        <v>1</v>
      </c>
      <c r="F388" s="808">
        <f>Top20Deb37[[#This Row],[Nb of Loans]]/Top20Deb37[[#Totals],[Nb of Loans]]</f>
        <v>2.7114967462039046E-4</v>
      </c>
    </row>
    <row r="389" spans="1:6" x14ac:dyDescent="0.35">
      <c r="A389" s="427" t="s">
        <v>1115</v>
      </c>
      <c r="B389" s="422" t="s">
        <v>1350</v>
      </c>
      <c r="C389" s="423">
        <f>_xlfn.XLOOKUP(A389,INPUT_DATA!$CJ$4:$CJ$397,INPUT_DATA!$CL$4:$CL$397)</f>
        <v>2851009</v>
      </c>
      <c r="D389" s="808">
        <f>Top20Deb37[[#This Row],[Principal Outstanding Balance]]/Top20Deb37[[#Totals],[Principal Outstanding Balance]]</f>
        <v>1.6712595492560025E-3</v>
      </c>
      <c r="E389" s="809">
        <f>_xlfn.XLOOKUP(A389,INPUT_DATA!$CJ$4:$CJ$397,INPUT_DATA!$CM$4:$CM$397)</f>
        <v>13</v>
      </c>
      <c r="F389" s="808">
        <f>Top20Deb37[[#This Row],[Nb of Loans]]/Top20Deb37[[#Totals],[Nb of Loans]]</f>
        <v>3.5249457700650758E-3</v>
      </c>
    </row>
    <row r="390" spans="1:6" x14ac:dyDescent="0.35">
      <c r="A390" s="427" t="s">
        <v>1117</v>
      </c>
      <c r="B390" s="422" t="s">
        <v>1351</v>
      </c>
      <c r="C390" s="423">
        <f>_xlfn.XLOOKUP(A390,INPUT_DATA!$CJ$4:$CJ$397,INPUT_DATA!$CL$4:$CL$397)</f>
        <v>5621173</v>
      </c>
      <c r="D390" s="808">
        <f>Top20Deb37[[#This Row],[Principal Outstanding Balance]]/Top20Deb37[[#Totals],[Principal Outstanding Balance]]</f>
        <v>3.2951278141422949E-3</v>
      </c>
      <c r="E390" s="809">
        <f>_xlfn.XLOOKUP(A390,INPUT_DATA!$CJ$4:$CJ$397,INPUT_DATA!$CM$4:$CM$397)</f>
        <v>14</v>
      </c>
      <c r="F390" s="808">
        <f>Top20Deb37[[#This Row],[Nb of Loans]]/Top20Deb37[[#Totals],[Nb of Loans]]</f>
        <v>3.7960954446854662E-3</v>
      </c>
    </row>
    <row r="391" spans="1:6" x14ac:dyDescent="0.35">
      <c r="A391" s="427" t="s">
        <v>1119</v>
      </c>
      <c r="B391" s="422" t="s">
        <v>1352</v>
      </c>
      <c r="C391" s="423">
        <f>_xlfn.XLOOKUP(A391,INPUT_DATA!$CJ$4:$CJ$397,INPUT_DATA!$CL$4:$CL$397)</f>
        <v>1105000</v>
      </c>
      <c r="D391" s="808">
        <f>Top20Deb37[[#This Row],[Principal Outstanding Balance]]/Top20Deb37[[#Totals],[Principal Outstanding Balance]]</f>
        <v>6.4775025330606904E-4</v>
      </c>
      <c r="E391" s="809">
        <f>_xlfn.XLOOKUP(A391,INPUT_DATA!$CJ$4:$CJ$397,INPUT_DATA!$CM$4:$CM$397)</f>
        <v>3</v>
      </c>
      <c r="F391" s="808">
        <f>Top20Deb37[[#This Row],[Nb of Loans]]/Top20Deb37[[#Totals],[Nb of Loans]]</f>
        <v>8.1344902386117134E-4</v>
      </c>
    </row>
    <row r="392" spans="1:6" x14ac:dyDescent="0.35">
      <c r="A392" s="427" t="s">
        <v>1121</v>
      </c>
      <c r="B392" s="422" t="s">
        <v>1353</v>
      </c>
      <c r="C392" s="423">
        <f>_xlfn.XLOOKUP(A392,INPUT_DATA!$CJ$4:$CJ$397,INPUT_DATA!$CL$4:$CL$397)</f>
        <v>2502852</v>
      </c>
      <c r="D392" s="808">
        <f>Top20Deb37[[#This Row],[Principal Outstanding Balance]]/Top20Deb37[[#Totals],[Principal Outstanding Balance]]</f>
        <v>1.4671701511200013E-3</v>
      </c>
      <c r="E392" s="809">
        <f>_xlfn.XLOOKUP(A392,INPUT_DATA!$CJ$4:$CJ$397,INPUT_DATA!$CM$4:$CM$397)</f>
        <v>9</v>
      </c>
      <c r="F392" s="808">
        <f>Top20Deb37[[#This Row],[Nb of Loans]]/Top20Deb37[[#Totals],[Nb of Loans]]</f>
        <v>2.4403470715835141E-3</v>
      </c>
    </row>
    <row r="393" spans="1:6" x14ac:dyDescent="0.35">
      <c r="A393" s="427" t="s">
        <v>1123</v>
      </c>
      <c r="B393" s="422" t="s">
        <v>1354</v>
      </c>
      <c r="C393" s="423">
        <f>_xlfn.XLOOKUP(A393,INPUT_DATA!$CJ$4:$CJ$397,INPUT_DATA!$CL$4:$CL$397)</f>
        <v>15045915</v>
      </c>
      <c r="D393" s="808">
        <f>Top20Deb37[[#This Row],[Principal Outstanding Balance]]/Top20Deb37[[#Totals],[Principal Outstanding Balance]]</f>
        <v>8.8199052058566367E-3</v>
      </c>
      <c r="E393" s="809">
        <f>_xlfn.XLOOKUP(A393,INPUT_DATA!$CJ$4:$CJ$397,INPUT_DATA!$CM$4:$CM$397)</f>
        <v>53</v>
      </c>
      <c r="F393" s="808">
        <f>Top20Deb37[[#This Row],[Nb of Loans]]/Top20Deb37[[#Totals],[Nb of Loans]]</f>
        <v>1.4370932754880694E-2</v>
      </c>
    </row>
    <row r="394" spans="1:6" x14ac:dyDescent="0.35">
      <c r="A394" s="427" t="s">
        <v>1125</v>
      </c>
      <c r="B394" s="422" t="s">
        <v>1355</v>
      </c>
      <c r="C394" s="423">
        <f>_xlfn.XLOOKUP(A394,INPUT_DATA!$CJ$4:$CJ$397,INPUT_DATA!$CL$4:$CL$397)</f>
        <v>4052466</v>
      </c>
      <c r="D394" s="424">
        <f>Top20Deb37[[#This Row],[Principal Outstanding Balance]]/Top20Deb37[[#Totals],[Principal Outstanding Balance]]</f>
        <v>2.3755528307821106E-3</v>
      </c>
      <c r="E394" s="425">
        <f>_xlfn.XLOOKUP(A394,INPUT_DATA!$CJ$4:$CJ$397,INPUT_DATA!$CM$4:$CM$397)</f>
        <v>17</v>
      </c>
      <c r="F394" s="424">
        <f>Top20Deb37[[#This Row],[Nb of Loans]]/Top20Deb37[[#Totals],[Nb of Loans]]</f>
        <v>4.6095444685466374E-3</v>
      </c>
    </row>
    <row r="395" spans="1:6" x14ac:dyDescent="0.35">
      <c r="A395" s="427" t="s">
        <v>1127</v>
      </c>
      <c r="B395" s="422" t="s">
        <v>1356</v>
      </c>
      <c r="C395" s="423">
        <f>_xlfn.XLOOKUP(A395,INPUT_DATA!$CJ$4:$CJ$397,INPUT_DATA!$CL$4:$CL$397)</f>
        <v>63083263</v>
      </c>
      <c r="D395" s="424">
        <f>Top20Deb37[[#This Row],[Principal Outstanding Balance]]/Top20Deb37[[#Totals],[Principal Outstanding Balance]]</f>
        <v>3.6979366142645589E-2</v>
      </c>
      <c r="E395" s="425">
        <f>_xlfn.XLOOKUP(A395,INPUT_DATA!$CJ$4:$CJ$397,INPUT_DATA!$CM$4:$CM$397)</f>
        <v>153</v>
      </c>
      <c r="F395" s="424">
        <f>Top20Deb37[[#This Row],[Nb of Loans]]/Top20Deb37[[#Totals],[Nb of Loans]]</f>
        <v>4.1485900216919738E-2</v>
      </c>
    </row>
    <row r="396" spans="1:6" x14ac:dyDescent="0.35">
      <c r="A396" s="427" t="s">
        <v>1129</v>
      </c>
      <c r="B396" s="422" t="s">
        <v>1357</v>
      </c>
      <c r="C396" s="423">
        <f>_xlfn.XLOOKUP(A396,INPUT_DATA!$CJ$4:$CJ$397,INPUT_DATA!$CL$4:$CL$397)</f>
        <v>20023802</v>
      </c>
      <c r="D396" s="424">
        <f>Top20Deb37[[#This Row],[Principal Outstanding Balance]]/Top20Deb37[[#Totals],[Principal Outstanding Balance]]</f>
        <v>1.1737939201493731E-2</v>
      </c>
      <c r="E396" s="425">
        <f>_xlfn.XLOOKUP(A396,INPUT_DATA!$CJ$4:$CJ$397,INPUT_DATA!$CM$4:$CM$397)</f>
        <v>48</v>
      </c>
      <c r="F396" s="424">
        <f>Top20Deb37[[#This Row],[Nb of Loans]]/Top20Deb37[[#Totals],[Nb of Loans]]</f>
        <v>1.3015184381778741E-2</v>
      </c>
    </row>
    <row r="397" spans="1:6" x14ac:dyDescent="0.35">
      <c r="A397" s="427" t="s">
        <v>1131</v>
      </c>
      <c r="B397" s="422" t="s">
        <v>1358</v>
      </c>
      <c r="C397" s="423">
        <f>_xlfn.XLOOKUP(A397,INPUT_DATA!$CJ$4:$CJ$397,INPUT_DATA!$CL$4:$CL$397)</f>
        <v>18690902</v>
      </c>
      <c r="D397" s="424">
        <f>Top20Deb37[[#This Row],[Principal Outstanding Balance]]/Top20Deb37[[#Totals],[Principal Outstanding Balance]]</f>
        <v>1.0956594122189061E-2</v>
      </c>
      <c r="E397" s="425">
        <f>_xlfn.XLOOKUP(A397,INPUT_DATA!$CJ$4:$CJ$397,INPUT_DATA!$CM$4:$CM$397)</f>
        <v>44</v>
      </c>
      <c r="F397" s="424">
        <f>Top20Deb37[[#This Row],[Nb of Loans]]/Top20Deb37[[#Totals],[Nb of Loans]]</f>
        <v>1.193058568329718E-2</v>
      </c>
    </row>
    <row r="398" spans="1:6" x14ac:dyDescent="0.35">
      <c r="A398" s="427" t="s">
        <v>1133</v>
      </c>
      <c r="B398" s="422" t="s">
        <v>1359</v>
      </c>
      <c r="C398" s="423">
        <f>_xlfn.XLOOKUP(A398,INPUT_DATA!$CJ$4:$CJ$397,INPUT_DATA!$CL$4:$CL$397)</f>
        <v>3045286</v>
      </c>
      <c r="D398" s="424">
        <f>Top20Deb37[[#This Row],[Principal Outstanding Balance]]/Top20Deb37[[#Totals],[Principal Outstanding Balance]]</f>
        <v>1.7851445953750459E-3</v>
      </c>
      <c r="E398" s="425">
        <f>_xlfn.XLOOKUP(A398,INPUT_DATA!$CJ$4:$CJ$397,INPUT_DATA!$CM$4:$CM$397)</f>
        <v>13</v>
      </c>
      <c r="F398" s="424">
        <f>Top20Deb37[[#This Row],[Nb of Loans]]/Top20Deb37[[#Totals],[Nb of Loans]]</f>
        <v>3.5249457700650758E-3</v>
      </c>
    </row>
    <row r="399" spans="1:6" x14ac:dyDescent="0.35">
      <c r="A399" s="427" t="s">
        <v>1135</v>
      </c>
      <c r="B399" s="422" t="s">
        <v>1360</v>
      </c>
      <c r="C399" s="423">
        <f>_xlfn.XLOOKUP(A399,INPUT_DATA!$CJ$4:$CJ$397,INPUT_DATA!$CL$4:$CL$397)</f>
        <v>0</v>
      </c>
      <c r="D399" s="424">
        <f>Top20Deb37[[#This Row],[Principal Outstanding Balance]]/Top20Deb37[[#Totals],[Principal Outstanding Balance]]</f>
        <v>0</v>
      </c>
      <c r="E399" s="425">
        <f>_xlfn.XLOOKUP(A399,INPUT_DATA!$CJ$4:$CJ$397,INPUT_DATA!$CM$4:$CM$397)</f>
        <v>0</v>
      </c>
      <c r="F399" s="424">
        <f>Top20Deb37[[#This Row],[Nb of Loans]]/Top20Deb37[[#Totals],[Nb of Loans]]</f>
        <v>0</v>
      </c>
    </row>
    <row r="400" spans="1:6" x14ac:dyDescent="0.35">
      <c r="A400" s="427" t="s">
        <v>1137</v>
      </c>
      <c r="B400" s="422" t="s">
        <v>1361</v>
      </c>
      <c r="C400" s="423">
        <f>_xlfn.XLOOKUP(A400,INPUT_DATA!$CJ$4:$CJ$397,INPUT_DATA!$CL$4:$CL$397)</f>
        <v>131462847.56</v>
      </c>
      <c r="D400" s="424">
        <f>Top20Deb37[[#This Row],[Principal Outstanding Balance]]/Top20Deb37[[#Totals],[Principal Outstanding Balance]]</f>
        <v>7.7063432404820942E-2</v>
      </c>
      <c r="E400" s="425">
        <f>_xlfn.XLOOKUP(A400,INPUT_DATA!$CJ$4:$CJ$397,INPUT_DATA!$CM$4:$CM$397)</f>
        <v>283</v>
      </c>
      <c r="F400" s="424">
        <f>Top20Deb37[[#This Row],[Nb of Loans]]/Top20Deb37[[#Totals],[Nb of Loans]]</f>
        <v>7.6735357917570496E-2</v>
      </c>
    </row>
    <row r="401" spans="1:8" x14ac:dyDescent="0.35">
      <c r="A401" s="427" t="s">
        <v>1139</v>
      </c>
      <c r="B401" s="422" t="s">
        <v>1362</v>
      </c>
      <c r="C401" s="423">
        <f>_xlfn.XLOOKUP(A401,INPUT_DATA!$CJ$4:$CJ$397,INPUT_DATA!$CL$4:$CL$397)</f>
        <v>45687981.670000002</v>
      </c>
      <c r="D401" s="424">
        <f>Top20Deb37[[#This Row],[Principal Outstanding Balance]]/Top20Deb37[[#Totals],[Principal Outstanding Balance]]</f>
        <v>2.6782263981706373E-2</v>
      </c>
      <c r="E401" s="425">
        <f>_xlfn.XLOOKUP(A401,INPUT_DATA!$CJ$4:$CJ$397,INPUT_DATA!$CM$4:$CM$397)</f>
        <v>119</v>
      </c>
      <c r="F401" s="424">
        <f>Top20Deb37[[#This Row],[Nb of Loans]]/Top20Deb37[[#Totals],[Nb of Loans]]</f>
        <v>3.2266811279826467E-2</v>
      </c>
    </row>
    <row r="402" spans="1:8" x14ac:dyDescent="0.35">
      <c r="A402" s="427" t="s">
        <v>1141</v>
      </c>
      <c r="B402" s="422" t="s">
        <v>1363</v>
      </c>
      <c r="C402" s="423">
        <f>_xlfn.XLOOKUP(A402,INPUT_DATA!$CJ$4:$CJ$397,INPUT_DATA!$CL$4:$CL$397)</f>
        <v>40066042.43</v>
      </c>
      <c r="D402" s="424">
        <f>Top20Deb37[[#This Row],[Principal Outstanding Balance]]/Top20Deb37[[#Totals],[Principal Outstanding Balance]]</f>
        <v>2.3486686998193854E-2</v>
      </c>
      <c r="E402" s="425">
        <f>_xlfn.XLOOKUP(A402,INPUT_DATA!$CJ$4:$CJ$397,INPUT_DATA!$CM$4:$CM$397)</f>
        <v>95</v>
      </c>
      <c r="F402" s="424">
        <f>Top20Deb37[[#This Row],[Nb of Loans]]/Top20Deb37[[#Totals],[Nb of Loans]]</f>
        <v>2.5759219088937094E-2</v>
      </c>
    </row>
    <row r="403" spans="1:8" x14ac:dyDescent="0.35">
      <c r="A403" s="427" t="s">
        <v>1143</v>
      </c>
      <c r="B403" s="422" t="s">
        <v>1364</v>
      </c>
      <c r="C403" s="423">
        <f>_xlfn.XLOOKUP(A403,INPUT_DATA!$CJ$4:$CJ$397,INPUT_DATA!$CL$4:$CL$397)</f>
        <v>6332628</v>
      </c>
      <c r="D403" s="424">
        <f>Top20Deb37[[#This Row],[Principal Outstanding Balance]]/Top20Deb37[[#Totals],[Principal Outstanding Balance]]</f>
        <v>3.7121822543829007E-3</v>
      </c>
      <c r="E403" s="425">
        <f>_xlfn.XLOOKUP(A403,INPUT_DATA!$CJ$4:$CJ$397,INPUT_DATA!$CM$4:$CM$397)</f>
        <v>16</v>
      </c>
      <c r="F403" s="424">
        <f>Top20Deb37[[#This Row],[Nb of Loans]]/Top20Deb37[[#Totals],[Nb of Loans]]</f>
        <v>4.3383947939262474E-3</v>
      </c>
    </row>
    <row r="404" spans="1:8" x14ac:dyDescent="0.35">
      <c r="A404" s="427" t="s">
        <v>1145</v>
      </c>
      <c r="B404" s="422" t="s">
        <v>1365</v>
      </c>
      <c r="C404" s="423">
        <f>_xlfn.XLOOKUP(A404,INPUT_DATA!$CJ$4:$CJ$397,INPUT_DATA!$CL$4:$CL$397)</f>
        <v>3709000</v>
      </c>
      <c r="D404" s="424">
        <f>Top20Deb37[[#This Row],[Principal Outstanding Balance]]/Top20Deb37[[#Totals],[Principal Outstanding Balance]]</f>
        <v>2.1742132936762083E-3</v>
      </c>
      <c r="E404" s="425">
        <f>_xlfn.XLOOKUP(A404,INPUT_DATA!$CJ$4:$CJ$397,INPUT_DATA!$CM$4:$CM$397)</f>
        <v>7</v>
      </c>
      <c r="F404" s="424">
        <f>Top20Deb37[[#This Row],[Nb of Loans]]/Top20Deb37[[#Totals],[Nb of Loans]]</f>
        <v>1.8980477223427331E-3</v>
      </c>
    </row>
    <row r="405" spans="1:8" x14ac:dyDescent="0.35">
      <c r="A405" s="427" t="s">
        <v>1147</v>
      </c>
      <c r="B405" s="422" t="s">
        <v>1366</v>
      </c>
      <c r="C405" s="423">
        <f>_xlfn.XLOOKUP(A405,INPUT_DATA!$CJ$4:$CJ$397,INPUT_DATA!$CL$4:$CL$397)</f>
        <v>3130000</v>
      </c>
      <c r="D405" s="424">
        <f>Top20Deb37[[#This Row],[Principal Outstanding Balance]]/Top20Deb37[[#Totals],[Principal Outstanding Balance]]</f>
        <v>1.8348038849303131E-3</v>
      </c>
      <c r="E405" s="425">
        <f>_xlfn.XLOOKUP(A405,INPUT_DATA!$CJ$4:$CJ$397,INPUT_DATA!$CM$4:$CM$397)</f>
        <v>9</v>
      </c>
      <c r="F405" s="424">
        <f>Top20Deb37[[#This Row],[Nb of Loans]]/Top20Deb37[[#Totals],[Nb of Loans]]</f>
        <v>2.4403470715835141E-3</v>
      </c>
    </row>
    <row r="406" spans="1:8" x14ac:dyDescent="0.35">
      <c r="A406" s="427" t="s">
        <v>500</v>
      </c>
      <c r="B406" s="422" t="s">
        <v>1367</v>
      </c>
      <c r="C406" s="423">
        <f>_xlfn.XLOOKUP(A406,INPUT_DATA!$CJ$4:$CJ$397,INPUT_DATA!$CL$4:$CL$397)</f>
        <v>0</v>
      </c>
      <c r="D406" s="424">
        <f>Top20Deb37[[#This Row],[Principal Outstanding Balance]]/Top20Deb37[[#Totals],[Principal Outstanding Balance]]</f>
        <v>0</v>
      </c>
      <c r="E406" s="425">
        <f>_xlfn.XLOOKUP(A406,INPUT_DATA!$CJ$4:$CJ$397,INPUT_DATA!$CM$4:$CM$397)</f>
        <v>0</v>
      </c>
      <c r="F406" s="424">
        <f>Top20Deb37[[#This Row],[Nb of Loans]]/Top20Deb37[[#Totals],[Nb of Loans]]</f>
        <v>0</v>
      </c>
    </row>
    <row r="407" spans="1:8" x14ac:dyDescent="0.35">
      <c r="A407" s="427" t="s">
        <v>501</v>
      </c>
      <c r="B407" s="422" t="s">
        <v>1368</v>
      </c>
      <c r="C407" s="423">
        <f>_xlfn.XLOOKUP(A407,INPUT_DATA!$CJ$4:$CJ$397,INPUT_DATA!$CL$4:$CL$397)</f>
        <v>0</v>
      </c>
      <c r="D407" s="424">
        <f>Top20Deb37[[#This Row],[Principal Outstanding Balance]]/Top20Deb37[[#Totals],[Principal Outstanding Balance]]</f>
        <v>0</v>
      </c>
      <c r="E407" s="425">
        <f>_xlfn.XLOOKUP(A407,INPUT_DATA!$CJ$4:$CJ$397,INPUT_DATA!$CM$4:$CM$397)</f>
        <v>0</v>
      </c>
      <c r="F407" s="424">
        <f>Top20Deb37[[#This Row],[Nb of Loans]]/Top20Deb37[[#Totals],[Nb of Loans]]</f>
        <v>0</v>
      </c>
    </row>
    <row r="408" spans="1:8" x14ac:dyDescent="0.35">
      <c r="A408" s="427" t="s">
        <v>502</v>
      </c>
      <c r="B408" s="422" t="s">
        <v>1369</v>
      </c>
      <c r="C408" s="423">
        <f>_xlfn.XLOOKUP(A408,INPUT_DATA!$CJ$4:$CJ$397,INPUT_DATA!$CL$4:$CL$397)</f>
        <v>0</v>
      </c>
      <c r="D408" s="424">
        <f>Top20Deb37[[#This Row],[Principal Outstanding Balance]]/Top20Deb37[[#Totals],[Principal Outstanding Balance]]</f>
        <v>0</v>
      </c>
      <c r="E408" s="425">
        <f>_xlfn.XLOOKUP(A408,INPUT_DATA!$CJ$4:$CJ$397,INPUT_DATA!$CM$4:$CM$397)</f>
        <v>0</v>
      </c>
      <c r="F408" s="424">
        <f>Top20Deb37[[#This Row],[Nb of Loans]]/Top20Deb37[[#Totals],[Nb of Loans]]</f>
        <v>0</v>
      </c>
    </row>
    <row r="409" spans="1:8" x14ac:dyDescent="0.35">
      <c r="A409" s="427" t="s">
        <v>1152</v>
      </c>
      <c r="B409" s="422" t="s">
        <v>1370</v>
      </c>
      <c r="C409" s="423">
        <f>_xlfn.XLOOKUP(A409,INPUT_DATA!$CJ$4:$CJ$397,INPUT_DATA!$CL$4:$CL$397)</f>
        <v>0</v>
      </c>
      <c r="D409" s="424">
        <f>Top20Deb37[[#This Row],[Principal Outstanding Balance]]/Top20Deb37[[#Totals],[Principal Outstanding Balance]]</f>
        <v>0</v>
      </c>
      <c r="E409" s="425">
        <f>_xlfn.XLOOKUP(A409,INPUT_DATA!$CJ$4:$CJ$397,INPUT_DATA!$CM$4:$CM$397)</f>
        <v>0</v>
      </c>
      <c r="F409" s="424">
        <f>Top20Deb37[[#This Row],[Nb of Loans]]/Top20Deb37[[#Totals],[Nb of Loans]]</f>
        <v>0</v>
      </c>
    </row>
    <row r="410" spans="1:8" x14ac:dyDescent="0.35">
      <c r="A410" s="427" t="s">
        <v>1154</v>
      </c>
      <c r="B410" s="422" t="s">
        <v>1371</v>
      </c>
      <c r="C410" s="423">
        <f>_xlfn.XLOOKUP(A410,INPUT_DATA!$CJ$4:$CJ$397,INPUT_DATA!$CL$4:$CL$397)</f>
        <v>0</v>
      </c>
      <c r="D410" s="424">
        <f>Top20Deb37[[#This Row],[Principal Outstanding Balance]]/Top20Deb37[[#Totals],[Principal Outstanding Balance]]</f>
        <v>0</v>
      </c>
      <c r="E410" s="425">
        <f>_xlfn.XLOOKUP(A410,INPUT_DATA!$CJ$4:$CJ$397,INPUT_DATA!$CM$4:$CM$397)</f>
        <v>0</v>
      </c>
      <c r="F410" s="424">
        <f>Top20Deb37[[#This Row],[Nb of Loans]]/Top20Deb37[[#Totals],[Nb of Loans]]</f>
        <v>0</v>
      </c>
    </row>
    <row r="411" spans="1:8" x14ac:dyDescent="0.35">
      <c r="A411" s="427" t="s">
        <v>1156</v>
      </c>
      <c r="B411" s="422" t="s">
        <v>1270</v>
      </c>
      <c r="C411" s="423">
        <f>_xlfn.XLOOKUP(A411,INPUT_DATA!$CJ$4:$CJ$397,INPUT_DATA!$CL$4:$CL$397)</f>
        <v>16984289</v>
      </c>
      <c r="D411" s="424">
        <f>Top20Deb37[[#This Row],[Principal Outstanding Balance]]/Top20Deb37[[#Totals],[Principal Outstanding Balance]]</f>
        <v>9.9561787348176316E-3</v>
      </c>
      <c r="E411" s="425">
        <f>_xlfn.XLOOKUP(A411,INPUT_DATA!$CJ$4:$CJ$397,INPUT_DATA!$CM$4:$CM$397)</f>
        <v>51</v>
      </c>
      <c r="F411" s="424">
        <f>Top20Deb37[[#This Row],[Nb of Loans]]/Top20Deb37[[#Totals],[Nb of Loans]]</f>
        <v>1.3828633405639914E-2</v>
      </c>
    </row>
    <row r="412" spans="1:8" x14ac:dyDescent="0.35">
      <c r="A412" s="427"/>
      <c r="B412" s="718" t="s">
        <v>2</v>
      </c>
      <c r="C412" s="805">
        <f>SUBTOTAL(109,Top20Deb37[Principal Outstanding Balance])</f>
        <v>1705904388.8600001</v>
      </c>
      <c r="D412" s="806">
        <f>SUBTOTAL(109,Top20Deb37[% of Total (Amount)])</f>
        <v>0.99999999999999944</v>
      </c>
      <c r="E412" s="807">
        <f>SUBTOTAL(109,Top20Deb37[Nb of Loans])</f>
        <v>3688</v>
      </c>
      <c r="F412" s="806">
        <f>SUBTOTAL(109,Top20Deb37[% of Total (Number)])</f>
        <v>0.99999999999999944</v>
      </c>
    </row>
    <row r="413" spans="1:8" x14ac:dyDescent="0.35">
      <c r="A413" s="427"/>
      <c r="B413" s="422"/>
      <c r="C413" s="423"/>
      <c r="D413" s="424"/>
      <c r="E413" s="425"/>
      <c r="F413" s="424"/>
      <c r="H413" s="487" t="s">
        <v>654</v>
      </c>
    </row>
    <row r="414" spans="1:8" x14ac:dyDescent="0.35">
      <c r="A414" s="427"/>
      <c r="B414" s="420" t="s">
        <v>1373</v>
      </c>
      <c r="C414" s="420"/>
    </row>
    <row r="415" spans="1:8" ht="15" customHeight="1" x14ac:dyDescent="0.35">
      <c r="A415" s="427"/>
      <c r="B415" s="420"/>
      <c r="C415" s="420"/>
    </row>
    <row r="416" spans="1:8" ht="33" customHeight="1" x14ac:dyDescent="0.35">
      <c r="A416" s="427"/>
      <c r="B416" s="410" t="s">
        <v>529</v>
      </c>
      <c r="C416" s="410" t="s">
        <v>257</v>
      </c>
      <c r="D416" s="410" t="s">
        <v>289</v>
      </c>
      <c r="E416" s="410" t="s">
        <v>290</v>
      </c>
      <c r="F416" s="410" t="s">
        <v>291</v>
      </c>
      <c r="G416" s="421"/>
    </row>
    <row r="417" spans="1:6" x14ac:dyDescent="0.35">
      <c r="A417" s="427" t="s">
        <v>504</v>
      </c>
      <c r="B417" s="422" t="s">
        <v>1271</v>
      </c>
      <c r="C417" s="423">
        <f>_xlfn.XLOOKUP(A417,INPUT_DATA!$CJ$4:$CJ$397,INPUT_DATA!$CL$4:$CL$397)</f>
        <v>127192400.77</v>
      </c>
      <c r="D417" s="424">
        <f>Top20Deb3738[[#This Row],[Principal Outstanding Balance]]/Top20Deb3738[[#Totals],[Principal Outstanding Balance]]</f>
        <v>0.32507166426166451</v>
      </c>
      <c r="E417" s="425">
        <f>_xlfn.XLOOKUP(A417,INPUT_DATA!$CJ$4:$CJ$397,INPUT_DATA!$CM$4:$CM$397)</f>
        <v>172</v>
      </c>
      <c r="F417" s="424">
        <f>Top20Deb3738[[#This Row],[Nb of Loans]]/Top20Deb3738[[#Totals],[Nb of Loans]]</f>
        <v>0.18594594594594593</v>
      </c>
    </row>
    <row r="418" spans="1:6" x14ac:dyDescent="0.35">
      <c r="A418" s="427" t="s">
        <v>506</v>
      </c>
      <c r="B418" s="422" t="s">
        <v>1272</v>
      </c>
      <c r="C418" s="423">
        <f>_xlfn.XLOOKUP(A418,INPUT_DATA!$CJ$4:$CJ$397,INPUT_DATA!$CL$4:$CL$397)</f>
        <v>7493256.0600000005</v>
      </c>
      <c r="D418" s="808">
        <f>Top20Deb3738[[#This Row],[Principal Outstanding Balance]]/Top20Deb3738[[#Totals],[Principal Outstanding Balance]]</f>
        <v>1.9150870676367712E-2</v>
      </c>
      <c r="E418" s="809">
        <f>_xlfn.XLOOKUP(A418,INPUT_DATA!$CJ$4:$CJ$397,INPUT_DATA!$CM$4:$CM$397)</f>
        <v>30</v>
      </c>
      <c r="F418" s="808">
        <f>Top20Deb3738[[#This Row],[Nb of Loans]]/Top20Deb3738[[#Totals],[Nb of Loans]]</f>
        <v>3.2432432432432434E-2</v>
      </c>
    </row>
    <row r="419" spans="1:6" x14ac:dyDescent="0.35">
      <c r="A419" s="427" t="s">
        <v>508</v>
      </c>
      <c r="B419" s="422" t="s">
        <v>1273</v>
      </c>
      <c r="C419" s="423">
        <f>_xlfn.XLOOKUP(A419,INPUT_DATA!$CJ$4:$CJ$397,INPUT_DATA!$CL$4:$CL$397)</f>
        <v>25332640.760000002</v>
      </c>
      <c r="D419" s="808">
        <f>Top20Deb3738[[#This Row],[Principal Outstanding Balance]]/Top20Deb3738[[#Totals],[Principal Outstanding Balance]]</f>
        <v>6.4743834082408427E-2</v>
      </c>
      <c r="E419" s="809">
        <f>_xlfn.XLOOKUP(A419,INPUT_DATA!$CJ$4:$CJ$397,INPUT_DATA!$CM$4:$CM$397)</f>
        <v>43</v>
      </c>
      <c r="F419" s="808">
        <f>Top20Deb3738[[#This Row],[Nb of Loans]]/Top20Deb3738[[#Totals],[Nb of Loans]]</f>
        <v>4.6486486486486484E-2</v>
      </c>
    </row>
    <row r="420" spans="1:6" x14ac:dyDescent="0.35">
      <c r="A420" s="427" t="s">
        <v>510</v>
      </c>
      <c r="B420" s="422" t="s">
        <v>1274</v>
      </c>
      <c r="C420" s="423">
        <f>_xlfn.XLOOKUP(A420,INPUT_DATA!$CJ$4:$CJ$397,INPUT_DATA!$CL$4:$CL$397)</f>
        <v>6806823</v>
      </c>
      <c r="D420" s="808">
        <f>Top20Deb3738[[#This Row],[Principal Outstanding Balance]]/Top20Deb3738[[#Totals],[Principal Outstanding Balance]]</f>
        <v>1.7396521077904455E-2</v>
      </c>
      <c r="E420" s="809">
        <f>_xlfn.XLOOKUP(A420,INPUT_DATA!$CJ$4:$CJ$397,INPUT_DATA!$CM$4:$CM$397)</f>
        <v>20</v>
      </c>
      <c r="F420" s="808">
        <f>Top20Deb3738[[#This Row],[Nb of Loans]]/Top20Deb3738[[#Totals],[Nb of Loans]]</f>
        <v>2.1621621621621623E-2</v>
      </c>
    </row>
    <row r="421" spans="1:6" x14ac:dyDescent="0.35">
      <c r="A421" s="427" t="s">
        <v>512</v>
      </c>
      <c r="B421" s="422" t="s">
        <v>1275</v>
      </c>
      <c r="C421" s="423">
        <f>_xlfn.XLOOKUP(A421,INPUT_DATA!$CJ$4:$CJ$397,INPUT_DATA!$CL$4:$CL$397)</f>
        <v>35075140.789999999</v>
      </c>
      <c r="D421" s="808">
        <f>Top20Deb3738[[#This Row],[Principal Outstanding Balance]]/Top20Deb3738[[#Totals],[Principal Outstanding Balance]]</f>
        <v>8.9643204482282163E-2</v>
      </c>
      <c r="E421" s="809">
        <f>_xlfn.XLOOKUP(A421,INPUT_DATA!$CJ$4:$CJ$397,INPUT_DATA!$CM$4:$CM$397)</f>
        <v>72</v>
      </c>
      <c r="F421" s="808">
        <f>Top20Deb3738[[#This Row],[Nb of Loans]]/Top20Deb3738[[#Totals],[Nb of Loans]]</f>
        <v>7.7837837837837834E-2</v>
      </c>
    </row>
    <row r="422" spans="1:6" x14ac:dyDescent="0.35">
      <c r="A422" s="427" t="s">
        <v>514</v>
      </c>
      <c r="B422" s="422" t="s">
        <v>1276</v>
      </c>
      <c r="C422" s="423">
        <f>_xlfn.XLOOKUP(A422,INPUT_DATA!$CJ$4:$CJ$397,INPUT_DATA!$CL$4:$CL$397)</f>
        <v>20648174.059999999</v>
      </c>
      <c r="D422" s="808">
        <f>Top20Deb3738[[#This Row],[Principal Outstanding Balance]]/Top20Deb3738[[#Totals],[Principal Outstanding Balance]]</f>
        <v>5.2771519878661459E-2</v>
      </c>
      <c r="E422" s="809">
        <f>_xlfn.XLOOKUP(A422,INPUT_DATA!$CJ$4:$CJ$397,INPUT_DATA!$CM$4:$CM$397)</f>
        <v>88</v>
      </c>
      <c r="F422" s="808">
        <f>Top20Deb3738[[#This Row],[Nb of Loans]]/Top20Deb3738[[#Totals],[Nb of Loans]]</f>
        <v>9.5135135135135135E-2</v>
      </c>
    </row>
    <row r="423" spans="1:6" x14ac:dyDescent="0.35">
      <c r="A423" s="427" t="s">
        <v>516</v>
      </c>
      <c r="B423" s="422" t="s">
        <v>1277</v>
      </c>
      <c r="C423" s="423">
        <f>_xlfn.XLOOKUP(A423,INPUT_DATA!$CJ$4:$CJ$397,INPUT_DATA!$CL$4:$CL$397)</f>
        <v>21394420</v>
      </c>
      <c r="D423" s="808">
        <f>Top20Deb3738[[#This Row],[Principal Outstanding Balance]]/Top20Deb3738[[#Totals],[Principal Outstanding Balance]]</f>
        <v>5.4678736097521656E-2</v>
      </c>
      <c r="E423" s="809">
        <f>_xlfn.XLOOKUP(A423,INPUT_DATA!$CJ$4:$CJ$397,INPUT_DATA!$CM$4:$CM$397)</f>
        <v>50</v>
      </c>
      <c r="F423" s="808">
        <f>Top20Deb3738[[#This Row],[Nb of Loans]]/Top20Deb3738[[#Totals],[Nb of Loans]]</f>
        <v>5.4054054054054057E-2</v>
      </c>
    </row>
    <row r="424" spans="1:6" x14ac:dyDescent="0.35">
      <c r="A424" s="427" t="s">
        <v>518</v>
      </c>
      <c r="B424" s="422" t="s">
        <v>1278</v>
      </c>
      <c r="C424" s="423">
        <f>_xlfn.XLOOKUP(A424,INPUT_DATA!$CJ$4:$CJ$397,INPUT_DATA!$CL$4:$CL$397)</f>
        <v>10726310.109999999</v>
      </c>
      <c r="D424" s="808">
        <f>Top20Deb3738[[#This Row],[Principal Outstanding Balance]]/Top20Deb3738[[#Totals],[Principal Outstanding Balance]]</f>
        <v>2.7413740583052425E-2</v>
      </c>
      <c r="E424" s="809">
        <f>_xlfn.XLOOKUP(A424,INPUT_DATA!$CJ$4:$CJ$397,INPUT_DATA!$CM$4:$CM$397)</f>
        <v>46</v>
      </c>
      <c r="F424" s="808">
        <f>Top20Deb3738[[#This Row],[Nb of Loans]]/Top20Deb3738[[#Totals],[Nb of Loans]]</f>
        <v>4.9729729729729728E-2</v>
      </c>
    </row>
    <row r="425" spans="1:6" x14ac:dyDescent="0.35">
      <c r="A425" s="427" t="s">
        <v>520</v>
      </c>
      <c r="B425" s="422" t="s">
        <v>1279</v>
      </c>
      <c r="C425" s="423">
        <f>_xlfn.XLOOKUP(A425,INPUT_DATA!$CJ$4:$CJ$397,INPUT_DATA!$CL$4:$CL$397)</f>
        <v>0</v>
      </c>
      <c r="D425" s="808">
        <f>Top20Deb3738[[#This Row],[Principal Outstanding Balance]]/Top20Deb3738[[#Totals],[Principal Outstanding Balance]]</f>
        <v>0</v>
      </c>
      <c r="E425" s="809">
        <f>_xlfn.XLOOKUP(A425,INPUT_DATA!$CJ$4:$CJ$397,INPUT_DATA!$CM$4:$CM$397)</f>
        <v>0</v>
      </c>
      <c r="F425" s="808">
        <f>Top20Deb3738[[#This Row],[Nb of Loans]]/Top20Deb3738[[#Totals],[Nb of Loans]]</f>
        <v>0</v>
      </c>
    </row>
    <row r="426" spans="1:6" x14ac:dyDescent="0.35">
      <c r="A426" s="427" t="s">
        <v>1158</v>
      </c>
      <c r="B426" s="422" t="s">
        <v>1280</v>
      </c>
      <c r="C426" s="423">
        <f>_xlfn.XLOOKUP(A426,INPUT_DATA!$CJ$4:$CJ$397,INPUT_DATA!$CL$4:$CL$397)</f>
        <v>1027000</v>
      </c>
      <c r="D426" s="808">
        <f>Top20Deb3738[[#This Row],[Principal Outstanding Balance]]/Top20Deb3738[[#Totals],[Principal Outstanding Balance]]</f>
        <v>2.6247527145935594E-3</v>
      </c>
      <c r="E426" s="809">
        <f>_xlfn.XLOOKUP(A426,INPUT_DATA!$CJ$4:$CJ$397,INPUT_DATA!$CM$4:$CM$397)</f>
        <v>4</v>
      </c>
      <c r="F426" s="808">
        <f>Top20Deb3738[[#This Row],[Nb of Loans]]/Top20Deb3738[[#Totals],[Nb of Loans]]</f>
        <v>4.3243243243243244E-3</v>
      </c>
    </row>
    <row r="427" spans="1:6" x14ac:dyDescent="0.35">
      <c r="A427" s="427" t="s">
        <v>1159</v>
      </c>
      <c r="B427" s="422" t="s">
        <v>1281</v>
      </c>
      <c r="C427" s="423">
        <f>_xlfn.XLOOKUP(A427,INPUT_DATA!$CJ$4:$CJ$397,INPUT_DATA!$CL$4:$CL$397)</f>
        <v>0</v>
      </c>
      <c r="D427" s="808">
        <f>Top20Deb3738[[#This Row],[Principal Outstanding Balance]]/Top20Deb3738[[#Totals],[Principal Outstanding Balance]]</f>
        <v>0</v>
      </c>
      <c r="E427" s="809">
        <f>_xlfn.XLOOKUP(A427,INPUT_DATA!$CJ$4:$CJ$397,INPUT_DATA!$CM$4:$CM$397)</f>
        <v>0</v>
      </c>
      <c r="F427" s="808">
        <f>Top20Deb3738[[#This Row],[Nb of Loans]]/Top20Deb3738[[#Totals],[Nb of Loans]]</f>
        <v>0</v>
      </c>
    </row>
    <row r="428" spans="1:6" x14ac:dyDescent="0.35">
      <c r="A428" s="427" t="s">
        <v>1160</v>
      </c>
      <c r="B428" s="422" t="s">
        <v>1282</v>
      </c>
      <c r="C428" s="423">
        <f>_xlfn.XLOOKUP(A428,INPUT_DATA!$CJ$4:$CJ$397,INPUT_DATA!$CL$4:$CL$397)</f>
        <v>594860</v>
      </c>
      <c r="D428" s="808">
        <f>Top20Deb3738[[#This Row],[Principal Outstanding Balance]]/Top20Deb3738[[#Totals],[Principal Outstanding Balance]]</f>
        <v>1.5203119764392646E-3</v>
      </c>
      <c r="E428" s="809">
        <f>_xlfn.XLOOKUP(A428,INPUT_DATA!$CJ$4:$CJ$397,INPUT_DATA!$CM$4:$CM$397)</f>
        <v>4</v>
      </c>
      <c r="F428" s="808">
        <f>Top20Deb3738[[#This Row],[Nb of Loans]]/Top20Deb3738[[#Totals],[Nb of Loans]]</f>
        <v>4.3243243243243244E-3</v>
      </c>
    </row>
    <row r="429" spans="1:6" x14ac:dyDescent="0.35">
      <c r="A429" s="427" t="s">
        <v>1161</v>
      </c>
      <c r="B429" s="422" t="s">
        <v>1283</v>
      </c>
      <c r="C429" s="423">
        <f>_xlfn.XLOOKUP(A429,INPUT_DATA!$CJ$4:$CJ$397,INPUT_DATA!$CL$4:$CL$397)</f>
        <v>111000</v>
      </c>
      <c r="D429" s="808">
        <f>Top20Deb3738[[#This Row],[Principal Outstanding Balance]]/Top20Deb3738[[#Totals],[Principal Outstanding Balance]]</f>
        <v>2.8368797596872941E-4</v>
      </c>
      <c r="E429" s="809">
        <f>_xlfn.XLOOKUP(A429,INPUT_DATA!$CJ$4:$CJ$397,INPUT_DATA!$CM$4:$CM$397)</f>
        <v>1</v>
      </c>
      <c r="F429" s="808">
        <f>Top20Deb3738[[#This Row],[Nb of Loans]]/Top20Deb3738[[#Totals],[Nb of Loans]]</f>
        <v>1.0810810810810811E-3</v>
      </c>
    </row>
    <row r="430" spans="1:6" x14ac:dyDescent="0.35">
      <c r="A430" s="427" t="s">
        <v>1162</v>
      </c>
      <c r="B430" s="422" t="s">
        <v>1284</v>
      </c>
      <c r="C430" s="423">
        <f>_xlfn.XLOOKUP(A430,INPUT_DATA!$CJ$4:$CJ$397,INPUT_DATA!$CL$4:$CL$397)</f>
        <v>1096200</v>
      </c>
      <c r="D430" s="808">
        <f>Top20Deb3738[[#This Row],[Principal Outstanding Balance]]/Top20Deb3738[[#Totals],[Principal Outstanding Balance]]</f>
        <v>2.8016104437560466E-3</v>
      </c>
      <c r="E430" s="809">
        <f>_xlfn.XLOOKUP(A430,INPUT_DATA!$CJ$4:$CJ$397,INPUT_DATA!$CM$4:$CM$397)</f>
        <v>4</v>
      </c>
      <c r="F430" s="808">
        <f>Top20Deb3738[[#This Row],[Nb of Loans]]/Top20Deb3738[[#Totals],[Nb of Loans]]</f>
        <v>4.3243243243243244E-3</v>
      </c>
    </row>
    <row r="431" spans="1:6" x14ac:dyDescent="0.35">
      <c r="A431" s="427" t="s">
        <v>1163</v>
      </c>
      <c r="B431" s="422" t="s">
        <v>1285</v>
      </c>
      <c r="C431" s="423">
        <f>_xlfn.XLOOKUP(A431,INPUT_DATA!$CJ$4:$CJ$397,INPUT_DATA!$CL$4:$CL$397)</f>
        <v>0</v>
      </c>
      <c r="D431" s="808">
        <f>Top20Deb3738[[#This Row],[Principal Outstanding Balance]]/Top20Deb3738[[#Totals],[Principal Outstanding Balance]]</f>
        <v>0</v>
      </c>
      <c r="E431" s="809">
        <f>_xlfn.XLOOKUP(A431,INPUT_DATA!$CJ$4:$CJ$397,INPUT_DATA!$CM$4:$CM$397)</f>
        <v>0</v>
      </c>
      <c r="F431" s="808">
        <f>Top20Deb3738[[#This Row],[Nb of Loans]]/Top20Deb3738[[#Totals],[Nb of Loans]]</f>
        <v>0</v>
      </c>
    </row>
    <row r="432" spans="1:6" x14ac:dyDescent="0.35">
      <c r="A432" s="427" t="s">
        <v>1164</v>
      </c>
      <c r="B432" s="422" t="s">
        <v>1286</v>
      </c>
      <c r="C432" s="423">
        <f>_xlfn.XLOOKUP(A432,INPUT_DATA!$CJ$4:$CJ$397,INPUT_DATA!$CL$4:$CL$397)</f>
        <v>0</v>
      </c>
      <c r="D432" s="808">
        <f>Top20Deb3738[[#This Row],[Principal Outstanding Balance]]/Top20Deb3738[[#Totals],[Principal Outstanding Balance]]</f>
        <v>0</v>
      </c>
      <c r="E432" s="809">
        <f>_xlfn.XLOOKUP(A432,INPUT_DATA!$CJ$4:$CJ$397,INPUT_DATA!$CM$4:$CM$397)</f>
        <v>0</v>
      </c>
      <c r="F432" s="808">
        <f>Top20Deb3738[[#This Row],[Nb of Loans]]/Top20Deb3738[[#Totals],[Nb of Loans]]</f>
        <v>0</v>
      </c>
    </row>
    <row r="433" spans="1:6" x14ac:dyDescent="0.35">
      <c r="A433" s="427" t="s">
        <v>1165</v>
      </c>
      <c r="B433" s="422" t="s">
        <v>1287</v>
      </c>
      <c r="C433" s="423">
        <f>_xlfn.XLOOKUP(A433,INPUT_DATA!$CJ$4:$CJ$397,INPUT_DATA!$CL$4:$CL$397)</f>
        <v>0</v>
      </c>
      <c r="D433" s="808">
        <f>Top20Deb3738[[#This Row],[Principal Outstanding Balance]]/Top20Deb3738[[#Totals],[Principal Outstanding Balance]]</f>
        <v>0</v>
      </c>
      <c r="E433" s="809">
        <f>_xlfn.XLOOKUP(A433,INPUT_DATA!$CJ$4:$CJ$397,INPUT_DATA!$CM$4:$CM$397)</f>
        <v>0</v>
      </c>
      <c r="F433" s="808">
        <f>Top20Deb3738[[#This Row],[Nb of Loans]]/Top20Deb3738[[#Totals],[Nb of Loans]]</f>
        <v>0</v>
      </c>
    </row>
    <row r="434" spans="1:6" x14ac:dyDescent="0.35">
      <c r="A434" s="427" t="s">
        <v>1166</v>
      </c>
      <c r="B434" s="422" t="s">
        <v>1288</v>
      </c>
      <c r="C434" s="423">
        <f>_xlfn.XLOOKUP(A434,INPUT_DATA!$CJ$4:$CJ$397,INPUT_DATA!$CL$4:$CL$397)</f>
        <v>0</v>
      </c>
      <c r="D434" s="808">
        <f>Top20Deb3738[[#This Row],[Principal Outstanding Balance]]/Top20Deb3738[[#Totals],[Principal Outstanding Balance]]</f>
        <v>0</v>
      </c>
      <c r="E434" s="809">
        <f>_xlfn.XLOOKUP(A434,INPUT_DATA!$CJ$4:$CJ$397,INPUT_DATA!$CM$4:$CM$397)</f>
        <v>0</v>
      </c>
      <c r="F434" s="808">
        <f>Top20Deb3738[[#This Row],[Nb of Loans]]/Top20Deb3738[[#Totals],[Nb of Loans]]</f>
        <v>0</v>
      </c>
    </row>
    <row r="435" spans="1:6" x14ac:dyDescent="0.35">
      <c r="A435" s="427" t="s">
        <v>1167</v>
      </c>
      <c r="B435" s="422" t="s">
        <v>1289</v>
      </c>
      <c r="C435" s="423">
        <f>_xlfn.XLOOKUP(A435,INPUT_DATA!$CJ$4:$CJ$397,INPUT_DATA!$CL$4:$CL$397)</f>
        <v>750000</v>
      </c>
      <c r="D435" s="808">
        <f>Top20Deb3738[[#This Row],[Principal Outstanding Balance]]/Top20Deb3738[[#Totals],[Principal Outstanding Balance]]</f>
        <v>1.9168106484373608E-3</v>
      </c>
      <c r="E435" s="809">
        <f>_xlfn.XLOOKUP(A435,INPUT_DATA!$CJ$4:$CJ$397,INPUT_DATA!$CM$4:$CM$397)</f>
        <v>1</v>
      </c>
      <c r="F435" s="808">
        <f>Top20Deb3738[[#This Row],[Nb of Loans]]/Top20Deb3738[[#Totals],[Nb of Loans]]</f>
        <v>1.0810810810810811E-3</v>
      </c>
    </row>
    <row r="436" spans="1:6" x14ac:dyDescent="0.35">
      <c r="A436" s="427" t="s">
        <v>1168</v>
      </c>
      <c r="B436" s="422" t="s">
        <v>1290</v>
      </c>
      <c r="C436" s="423">
        <f>_xlfn.XLOOKUP(A436,INPUT_DATA!$CJ$4:$CJ$397,INPUT_DATA!$CL$4:$CL$397)</f>
        <v>0</v>
      </c>
      <c r="D436" s="808">
        <f>Top20Deb3738[[#This Row],[Principal Outstanding Balance]]/Top20Deb3738[[#Totals],[Principal Outstanding Balance]]</f>
        <v>0</v>
      </c>
      <c r="E436" s="809">
        <f>_xlfn.XLOOKUP(A436,INPUT_DATA!$CJ$4:$CJ$397,INPUT_DATA!$CM$4:$CM$397)</f>
        <v>0</v>
      </c>
      <c r="F436" s="808">
        <f>Top20Deb3738[[#This Row],[Nb of Loans]]/Top20Deb3738[[#Totals],[Nb of Loans]]</f>
        <v>0</v>
      </c>
    </row>
    <row r="437" spans="1:6" x14ac:dyDescent="0.35">
      <c r="A437" s="427" t="s">
        <v>1169</v>
      </c>
      <c r="B437" s="422" t="s">
        <v>1291</v>
      </c>
      <c r="C437" s="423">
        <f>_xlfn.XLOOKUP(A437,INPUT_DATA!$CJ$4:$CJ$397,INPUT_DATA!$CL$4:$CL$397)</f>
        <v>0</v>
      </c>
      <c r="D437" s="808">
        <f>Top20Deb3738[[#This Row],[Principal Outstanding Balance]]/Top20Deb3738[[#Totals],[Principal Outstanding Balance]]</f>
        <v>0</v>
      </c>
      <c r="E437" s="809">
        <f>_xlfn.XLOOKUP(A437,INPUT_DATA!$CJ$4:$CJ$397,INPUT_DATA!$CM$4:$CM$397)</f>
        <v>0</v>
      </c>
      <c r="F437" s="808">
        <f>Top20Deb3738[[#This Row],[Nb of Loans]]/Top20Deb3738[[#Totals],[Nb of Loans]]</f>
        <v>0</v>
      </c>
    </row>
    <row r="438" spans="1:6" x14ac:dyDescent="0.35">
      <c r="A438" s="427" t="s">
        <v>1170</v>
      </c>
      <c r="B438" s="422" t="s">
        <v>1292</v>
      </c>
      <c r="C438" s="423">
        <f>_xlfn.XLOOKUP(A438,INPUT_DATA!$CJ$4:$CJ$397,INPUT_DATA!$CL$4:$CL$397)</f>
        <v>0</v>
      </c>
      <c r="D438" s="808">
        <f>Top20Deb3738[[#This Row],[Principal Outstanding Balance]]/Top20Deb3738[[#Totals],[Principal Outstanding Balance]]</f>
        <v>0</v>
      </c>
      <c r="E438" s="809">
        <f>_xlfn.XLOOKUP(A438,INPUT_DATA!$CJ$4:$CJ$397,INPUT_DATA!$CM$4:$CM$397)</f>
        <v>0</v>
      </c>
      <c r="F438" s="808">
        <f>Top20Deb3738[[#This Row],[Nb of Loans]]/Top20Deb3738[[#Totals],[Nb of Loans]]</f>
        <v>0</v>
      </c>
    </row>
    <row r="439" spans="1:6" x14ac:dyDescent="0.35">
      <c r="A439" s="427" t="s">
        <v>1171</v>
      </c>
      <c r="B439" s="422" t="s">
        <v>1293</v>
      </c>
      <c r="C439" s="423">
        <f>_xlfn.XLOOKUP(A439,INPUT_DATA!$CJ$4:$CJ$397,INPUT_DATA!$CL$4:$CL$397)</f>
        <v>4395670</v>
      </c>
      <c r="D439" s="808">
        <f>Top20Deb3738[[#This Row],[Principal Outstanding Balance]]/Top20Deb3738[[#Totals],[Principal Outstanding Balance]]</f>
        <v>1.1234222750688872E-2</v>
      </c>
      <c r="E439" s="809">
        <f>_xlfn.XLOOKUP(A439,INPUT_DATA!$CJ$4:$CJ$397,INPUT_DATA!$CM$4:$CM$397)</f>
        <v>9</v>
      </c>
      <c r="F439" s="808">
        <f>Top20Deb3738[[#This Row],[Nb of Loans]]/Top20Deb3738[[#Totals],[Nb of Loans]]</f>
        <v>9.7297297297297292E-3</v>
      </c>
    </row>
    <row r="440" spans="1:6" x14ac:dyDescent="0.35">
      <c r="A440" s="427" t="s">
        <v>1172</v>
      </c>
      <c r="B440" s="422" t="s">
        <v>1294</v>
      </c>
      <c r="C440" s="423">
        <f>_xlfn.XLOOKUP(A440,INPUT_DATA!$CJ$4:$CJ$397,INPUT_DATA!$CL$4:$CL$397)</f>
        <v>0</v>
      </c>
      <c r="D440" s="808">
        <f>Top20Deb3738[[#This Row],[Principal Outstanding Balance]]/Top20Deb3738[[#Totals],[Principal Outstanding Balance]]</f>
        <v>0</v>
      </c>
      <c r="E440" s="809">
        <f>_xlfn.XLOOKUP(A440,INPUT_DATA!$CJ$4:$CJ$397,INPUT_DATA!$CM$4:$CM$397)</f>
        <v>0</v>
      </c>
      <c r="F440" s="808">
        <f>Top20Deb3738[[#This Row],[Nb of Loans]]/Top20Deb3738[[#Totals],[Nb of Loans]]</f>
        <v>0</v>
      </c>
    </row>
    <row r="441" spans="1:6" x14ac:dyDescent="0.35">
      <c r="A441" s="427" t="s">
        <v>1173</v>
      </c>
      <c r="B441" s="422" t="s">
        <v>1295</v>
      </c>
      <c r="C441" s="423">
        <f>_xlfn.XLOOKUP(A441,INPUT_DATA!$CJ$4:$CJ$397,INPUT_DATA!$CL$4:$CL$397)</f>
        <v>0</v>
      </c>
      <c r="D441" s="808">
        <f>Top20Deb3738[[#This Row],[Principal Outstanding Balance]]/Top20Deb3738[[#Totals],[Principal Outstanding Balance]]</f>
        <v>0</v>
      </c>
      <c r="E441" s="809">
        <f>_xlfn.XLOOKUP(A441,INPUT_DATA!$CJ$4:$CJ$397,INPUT_DATA!$CM$4:$CM$397)</f>
        <v>0</v>
      </c>
      <c r="F441" s="808">
        <f>Top20Deb3738[[#This Row],[Nb of Loans]]/Top20Deb3738[[#Totals],[Nb of Loans]]</f>
        <v>0</v>
      </c>
    </row>
    <row r="442" spans="1:6" x14ac:dyDescent="0.35">
      <c r="A442" s="427" t="s">
        <v>1174</v>
      </c>
      <c r="B442" s="422" t="s">
        <v>1296</v>
      </c>
      <c r="C442" s="423">
        <f>_xlfn.XLOOKUP(A442,INPUT_DATA!$CJ$4:$CJ$397,INPUT_DATA!$CL$4:$CL$397)</f>
        <v>1247466</v>
      </c>
      <c r="D442" s="808">
        <f>Top20Deb3738[[#This Row],[Principal Outstanding Balance]]/Top20Deb3738[[#Totals],[Principal Outstanding Balance]]</f>
        <v>3.1882081498180812E-3</v>
      </c>
      <c r="E442" s="809">
        <f>_xlfn.XLOOKUP(A442,INPUT_DATA!$CJ$4:$CJ$397,INPUT_DATA!$CM$4:$CM$397)</f>
        <v>5</v>
      </c>
      <c r="F442" s="808">
        <f>Top20Deb3738[[#This Row],[Nb of Loans]]/Top20Deb3738[[#Totals],[Nb of Loans]]</f>
        <v>5.4054054054054057E-3</v>
      </c>
    </row>
    <row r="443" spans="1:6" x14ac:dyDescent="0.35">
      <c r="A443" s="427" t="s">
        <v>1175</v>
      </c>
      <c r="B443" s="422" t="s">
        <v>1297</v>
      </c>
      <c r="C443" s="423">
        <f>_xlfn.XLOOKUP(A443,INPUT_DATA!$CJ$4:$CJ$397,INPUT_DATA!$CL$4:$CL$397)</f>
        <v>1925790</v>
      </c>
      <c r="D443" s="808">
        <f>Top20Deb3738[[#This Row],[Principal Outstanding Balance]]/Top20Deb3738[[#Totals],[Principal Outstanding Balance]]</f>
        <v>4.9218330382055807E-3</v>
      </c>
      <c r="E443" s="809">
        <f>_xlfn.XLOOKUP(A443,INPUT_DATA!$CJ$4:$CJ$397,INPUT_DATA!$CM$4:$CM$397)</f>
        <v>6</v>
      </c>
      <c r="F443" s="808">
        <f>Top20Deb3738[[#This Row],[Nb of Loans]]/Top20Deb3738[[#Totals],[Nb of Loans]]</f>
        <v>6.4864864864864862E-3</v>
      </c>
    </row>
    <row r="444" spans="1:6" x14ac:dyDescent="0.35">
      <c r="A444" s="427" t="s">
        <v>1176</v>
      </c>
      <c r="B444" s="422" t="s">
        <v>1298</v>
      </c>
      <c r="C444" s="423">
        <f>_xlfn.XLOOKUP(A444,INPUT_DATA!$CJ$4:$CJ$397,INPUT_DATA!$CL$4:$CL$397)</f>
        <v>2947299</v>
      </c>
      <c r="D444" s="808">
        <f>Top20Deb3738[[#This Row],[Principal Outstanding Balance]]/Top20Deb3738[[#Totals],[Principal Outstanding Balance]]</f>
        <v>7.5325521431050474E-3</v>
      </c>
      <c r="E444" s="809">
        <f>_xlfn.XLOOKUP(A444,INPUT_DATA!$CJ$4:$CJ$397,INPUT_DATA!$CM$4:$CM$397)</f>
        <v>11</v>
      </c>
      <c r="F444" s="808">
        <f>Top20Deb3738[[#This Row],[Nb of Loans]]/Top20Deb3738[[#Totals],[Nb of Loans]]</f>
        <v>1.1891891891891892E-2</v>
      </c>
    </row>
    <row r="445" spans="1:6" x14ac:dyDescent="0.35">
      <c r="A445" s="427" t="s">
        <v>1177</v>
      </c>
      <c r="B445" s="422" t="s">
        <v>1299</v>
      </c>
      <c r="C445" s="423">
        <f>_xlfn.XLOOKUP(A445,INPUT_DATA!$CJ$4:$CJ$397,INPUT_DATA!$CL$4:$CL$397)</f>
        <v>720176</v>
      </c>
      <c r="D445" s="808">
        <f>Top20Deb3738[[#This Row],[Principal Outstanding Balance]]/Top20Deb3738[[#Totals],[Principal Outstanding Balance]]</f>
        <v>1.8405880340653664E-3</v>
      </c>
      <c r="E445" s="809">
        <f>_xlfn.XLOOKUP(A445,INPUT_DATA!$CJ$4:$CJ$397,INPUT_DATA!$CM$4:$CM$397)</f>
        <v>4</v>
      </c>
      <c r="F445" s="808">
        <f>Top20Deb3738[[#This Row],[Nb of Loans]]/Top20Deb3738[[#Totals],[Nb of Loans]]</f>
        <v>4.3243243243243244E-3</v>
      </c>
    </row>
    <row r="446" spans="1:6" x14ac:dyDescent="0.35">
      <c r="A446" s="427" t="s">
        <v>1178</v>
      </c>
      <c r="B446" s="422" t="s">
        <v>1300</v>
      </c>
      <c r="C446" s="423">
        <f>_xlfn.XLOOKUP(A446,INPUT_DATA!$CJ$4:$CJ$397,INPUT_DATA!$CL$4:$CL$397)</f>
        <v>355000</v>
      </c>
      <c r="D446" s="808">
        <f>Top20Deb3738[[#This Row],[Principal Outstanding Balance]]/Top20Deb3738[[#Totals],[Principal Outstanding Balance]]</f>
        <v>9.0729037359368414E-4</v>
      </c>
      <c r="E446" s="809">
        <f>_xlfn.XLOOKUP(A446,INPUT_DATA!$CJ$4:$CJ$397,INPUT_DATA!$CM$4:$CM$397)</f>
        <v>1</v>
      </c>
      <c r="F446" s="808">
        <f>Top20Deb3738[[#This Row],[Nb of Loans]]/Top20Deb3738[[#Totals],[Nb of Loans]]</f>
        <v>1.0810810810810811E-3</v>
      </c>
    </row>
    <row r="447" spans="1:6" x14ac:dyDescent="0.35">
      <c r="A447" s="427" t="s">
        <v>1179</v>
      </c>
      <c r="B447" s="422" t="s">
        <v>1301</v>
      </c>
      <c r="C447" s="423">
        <f>_xlfn.XLOOKUP(A447,INPUT_DATA!$CJ$4:$CJ$397,INPUT_DATA!$CL$4:$CL$397)</f>
        <v>1754283</v>
      </c>
      <c r="D447" s="808">
        <f>Top20Deb3738[[#This Row],[Principal Outstanding Balance]]/Top20Deb3738[[#Totals],[Principal Outstanding Balance]]</f>
        <v>4.4835044463635183E-3</v>
      </c>
      <c r="E447" s="809">
        <f>_xlfn.XLOOKUP(A447,INPUT_DATA!$CJ$4:$CJ$397,INPUT_DATA!$CM$4:$CM$397)</f>
        <v>7</v>
      </c>
      <c r="F447" s="808">
        <f>Top20Deb3738[[#This Row],[Nb of Loans]]/Top20Deb3738[[#Totals],[Nb of Loans]]</f>
        <v>7.5675675675675675E-3</v>
      </c>
    </row>
    <row r="448" spans="1:6" x14ac:dyDescent="0.35">
      <c r="A448" s="427" t="s">
        <v>1180</v>
      </c>
      <c r="B448" s="422" t="s">
        <v>1302</v>
      </c>
      <c r="C448" s="423">
        <f>_xlfn.XLOOKUP(A448,INPUT_DATA!$CJ$4:$CJ$397,INPUT_DATA!$CL$4:$CL$397)</f>
        <v>110000</v>
      </c>
      <c r="D448" s="808">
        <f>Top20Deb3738[[#This Row],[Principal Outstanding Balance]]/Top20Deb3738[[#Totals],[Principal Outstanding Balance]]</f>
        <v>2.8113222843747962E-4</v>
      </c>
      <c r="E448" s="809">
        <f>_xlfn.XLOOKUP(A448,INPUT_DATA!$CJ$4:$CJ$397,INPUT_DATA!$CM$4:$CM$397)</f>
        <v>1</v>
      </c>
      <c r="F448" s="808">
        <f>Top20Deb3738[[#This Row],[Nb of Loans]]/Top20Deb3738[[#Totals],[Nb of Loans]]</f>
        <v>1.0810810810810811E-3</v>
      </c>
    </row>
    <row r="449" spans="1:6" x14ac:dyDescent="0.35">
      <c r="A449" s="427" t="s">
        <v>1181</v>
      </c>
      <c r="B449" s="422" t="s">
        <v>1303</v>
      </c>
      <c r="C449" s="423">
        <f>_xlfn.XLOOKUP(A449,INPUT_DATA!$CJ$4:$CJ$397,INPUT_DATA!$CL$4:$CL$397)</f>
        <v>1832085</v>
      </c>
      <c r="D449" s="808">
        <f>Top20Deb3738[[#This Row],[Principal Outstanding Balance]]/Top20Deb3738[[#Totals],[Principal Outstanding Balance]]</f>
        <v>4.6823467157898167E-3</v>
      </c>
      <c r="E449" s="809">
        <f>_xlfn.XLOOKUP(A449,INPUT_DATA!$CJ$4:$CJ$397,INPUT_DATA!$CM$4:$CM$397)</f>
        <v>7</v>
      </c>
      <c r="F449" s="808">
        <f>Top20Deb3738[[#This Row],[Nb of Loans]]/Top20Deb3738[[#Totals],[Nb of Loans]]</f>
        <v>7.5675675675675675E-3</v>
      </c>
    </row>
    <row r="450" spans="1:6" x14ac:dyDescent="0.35">
      <c r="A450" s="427" t="s">
        <v>1182</v>
      </c>
      <c r="B450" s="422" t="s">
        <v>1304</v>
      </c>
      <c r="C450" s="423">
        <f>_xlfn.XLOOKUP(A450,INPUT_DATA!$CJ$4:$CJ$397,INPUT_DATA!$CL$4:$CL$397)</f>
        <v>0</v>
      </c>
      <c r="D450" s="808">
        <f>Top20Deb3738[[#This Row],[Principal Outstanding Balance]]/Top20Deb3738[[#Totals],[Principal Outstanding Balance]]</f>
        <v>0</v>
      </c>
      <c r="E450" s="809">
        <f>_xlfn.XLOOKUP(A450,INPUT_DATA!$CJ$4:$CJ$397,INPUT_DATA!$CM$4:$CM$397)</f>
        <v>0</v>
      </c>
      <c r="F450" s="808">
        <f>Top20Deb3738[[#This Row],[Nb of Loans]]/Top20Deb3738[[#Totals],[Nb of Loans]]</f>
        <v>0</v>
      </c>
    </row>
    <row r="451" spans="1:6" x14ac:dyDescent="0.35">
      <c r="A451" s="427" t="s">
        <v>1183</v>
      </c>
      <c r="B451" s="422" t="s">
        <v>1305</v>
      </c>
      <c r="C451" s="423">
        <f>_xlfn.XLOOKUP(A451,INPUT_DATA!$CJ$4:$CJ$397,INPUT_DATA!$CL$4:$CL$397)</f>
        <v>0</v>
      </c>
      <c r="D451" s="808">
        <f>Top20Deb3738[[#This Row],[Principal Outstanding Balance]]/Top20Deb3738[[#Totals],[Principal Outstanding Balance]]</f>
        <v>0</v>
      </c>
      <c r="E451" s="809">
        <f>_xlfn.XLOOKUP(A451,INPUT_DATA!$CJ$4:$CJ$397,INPUT_DATA!$CM$4:$CM$397)</f>
        <v>0</v>
      </c>
      <c r="F451" s="808">
        <f>Top20Deb3738[[#This Row],[Nb of Loans]]/Top20Deb3738[[#Totals],[Nb of Loans]]</f>
        <v>0</v>
      </c>
    </row>
    <row r="452" spans="1:6" x14ac:dyDescent="0.35">
      <c r="A452" s="427" t="s">
        <v>1184</v>
      </c>
      <c r="B452" s="422" t="s">
        <v>1306</v>
      </c>
      <c r="C452" s="423">
        <f>_xlfn.XLOOKUP(A452,INPUT_DATA!$CJ$4:$CJ$397,INPUT_DATA!$CL$4:$CL$397)</f>
        <v>0</v>
      </c>
      <c r="D452" s="808">
        <f>Top20Deb3738[[#This Row],[Principal Outstanding Balance]]/Top20Deb3738[[#Totals],[Principal Outstanding Balance]]</f>
        <v>0</v>
      </c>
      <c r="E452" s="809">
        <f>_xlfn.XLOOKUP(A452,INPUT_DATA!$CJ$4:$CJ$397,INPUT_DATA!$CM$4:$CM$397)</f>
        <v>0</v>
      </c>
      <c r="F452" s="808">
        <f>Top20Deb3738[[#This Row],[Nb of Loans]]/Top20Deb3738[[#Totals],[Nb of Loans]]</f>
        <v>0</v>
      </c>
    </row>
    <row r="453" spans="1:6" x14ac:dyDescent="0.35">
      <c r="A453" s="427" t="s">
        <v>1185</v>
      </c>
      <c r="B453" s="422" t="s">
        <v>1307</v>
      </c>
      <c r="C453" s="423">
        <f>_xlfn.XLOOKUP(A453,INPUT_DATA!$CJ$4:$CJ$397,INPUT_DATA!$CL$4:$CL$397)</f>
        <v>0</v>
      </c>
      <c r="D453" s="808">
        <f>Top20Deb3738[[#This Row],[Principal Outstanding Balance]]/Top20Deb3738[[#Totals],[Principal Outstanding Balance]]</f>
        <v>0</v>
      </c>
      <c r="E453" s="809">
        <f>_xlfn.XLOOKUP(A453,INPUT_DATA!$CJ$4:$CJ$397,INPUT_DATA!$CM$4:$CM$397)</f>
        <v>0</v>
      </c>
      <c r="F453" s="808">
        <f>Top20Deb3738[[#This Row],[Nb of Loans]]/Top20Deb3738[[#Totals],[Nb of Loans]]</f>
        <v>0</v>
      </c>
    </row>
    <row r="454" spans="1:6" x14ac:dyDescent="0.35">
      <c r="A454" s="427" t="s">
        <v>1186</v>
      </c>
      <c r="B454" s="422" t="s">
        <v>1308</v>
      </c>
      <c r="C454" s="423">
        <f>_xlfn.XLOOKUP(A454,INPUT_DATA!$CJ$4:$CJ$397,INPUT_DATA!$CL$4:$CL$397)</f>
        <v>0</v>
      </c>
      <c r="D454" s="808">
        <f>Top20Deb3738[[#This Row],[Principal Outstanding Balance]]/Top20Deb3738[[#Totals],[Principal Outstanding Balance]]</f>
        <v>0</v>
      </c>
      <c r="E454" s="809">
        <f>_xlfn.XLOOKUP(A454,INPUT_DATA!$CJ$4:$CJ$397,INPUT_DATA!$CM$4:$CM$397)</f>
        <v>0</v>
      </c>
      <c r="F454" s="808">
        <f>Top20Deb3738[[#This Row],[Nb of Loans]]/Top20Deb3738[[#Totals],[Nb of Loans]]</f>
        <v>0</v>
      </c>
    </row>
    <row r="455" spans="1:6" x14ac:dyDescent="0.35">
      <c r="A455" s="427" t="s">
        <v>1187</v>
      </c>
      <c r="B455" s="422" t="s">
        <v>1309</v>
      </c>
      <c r="C455" s="423">
        <f>_xlfn.XLOOKUP(A455,INPUT_DATA!$CJ$4:$CJ$397,INPUT_DATA!$CL$4:$CL$397)</f>
        <v>0</v>
      </c>
      <c r="D455" s="808">
        <f>Top20Deb3738[[#This Row],[Principal Outstanding Balance]]/Top20Deb3738[[#Totals],[Principal Outstanding Balance]]</f>
        <v>0</v>
      </c>
      <c r="E455" s="809">
        <f>_xlfn.XLOOKUP(A455,INPUT_DATA!$CJ$4:$CJ$397,INPUT_DATA!$CM$4:$CM$397)</f>
        <v>0</v>
      </c>
      <c r="F455" s="808">
        <f>Top20Deb3738[[#This Row],[Nb of Loans]]/Top20Deb3738[[#Totals],[Nb of Loans]]</f>
        <v>0</v>
      </c>
    </row>
    <row r="456" spans="1:6" x14ac:dyDescent="0.35">
      <c r="A456" s="427" t="s">
        <v>1188</v>
      </c>
      <c r="B456" s="422" t="s">
        <v>1310</v>
      </c>
      <c r="C456" s="423">
        <f>_xlfn.XLOOKUP(A456,INPUT_DATA!$CJ$4:$CJ$397,INPUT_DATA!$CL$4:$CL$397)</f>
        <v>0</v>
      </c>
      <c r="D456" s="808">
        <f>Top20Deb3738[[#This Row],[Principal Outstanding Balance]]/Top20Deb3738[[#Totals],[Principal Outstanding Balance]]</f>
        <v>0</v>
      </c>
      <c r="E456" s="809">
        <f>_xlfn.XLOOKUP(A456,INPUT_DATA!$CJ$4:$CJ$397,INPUT_DATA!$CM$4:$CM$397)</f>
        <v>0</v>
      </c>
      <c r="F456" s="808">
        <f>Top20Deb3738[[#This Row],[Nb of Loans]]/Top20Deb3738[[#Totals],[Nb of Loans]]</f>
        <v>0</v>
      </c>
    </row>
    <row r="457" spans="1:6" x14ac:dyDescent="0.35">
      <c r="A457" s="427" t="s">
        <v>1189</v>
      </c>
      <c r="B457" s="422" t="s">
        <v>1311</v>
      </c>
      <c r="C457" s="423">
        <f>_xlfn.XLOOKUP(A457,INPUT_DATA!$CJ$4:$CJ$397,INPUT_DATA!$CL$4:$CL$397)</f>
        <v>1443352</v>
      </c>
      <c r="D457" s="808">
        <f>Top20Deb3738[[#This Row],[Principal Outstanding Balance]]/Top20Deb3738[[#Totals],[Principal Outstanding Balance]]</f>
        <v>3.6888433107244824E-3</v>
      </c>
      <c r="E457" s="809">
        <f>_xlfn.XLOOKUP(A457,INPUT_DATA!$CJ$4:$CJ$397,INPUT_DATA!$CM$4:$CM$397)</f>
        <v>3</v>
      </c>
      <c r="F457" s="808">
        <f>Top20Deb3738[[#This Row],[Nb of Loans]]/Top20Deb3738[[#Totals],[Nb of Loans]]</f>
        <v>3.2432432432432431E-3</v>
      </c>
    </row>
    <row r="458" spans="1:6" x14ac:dyDescent="0.35">
      <c r="A458" s="427" t="s">
        <v>1190</v>
      </c>
      <c r="B458" s="422" t="s">
        <v>1312</v>
      </c>
      <c r="C458" s="423">
        <f>_xlfn.XLOOKUP(A458,INPUT_DATA!$CJ$4:$CJ$397,INPUT_DATA!$CL$4:$CL$397)</f>
        <v>0</v>
      </c>
      <c r="D458" s="808">
        <f>Top20Deb3738[[#This Row],[Principal Outstanding Balance]]/Top20Deb3738[[#Totals],[Principal Outstanding Balance]]</f>
        <v>0</v>
      </c>
      <c r="E458" s="809">
        <f>_xlfn.XLOOKUP(A458,INPUT_DATA!$CJ$4:$CJ$397,INPUT_DATA!$CM$4:$CM$397)</f>
        <v>0</v>
      </c>
      <c r="F458" s="808">
        <f>Top20Deb3738[[#This Row],[Nb of Loans]]/Top20Deb3738[[#Totals],[Nb of Loans]]</f>
        <v>0</v>
      </c>
    </row>
    <row r="459" spans="1:6" x14ac:dyDescent="0.35">
      <c r="A459" s="427" t="s">
        <v>1191</v>
      </c>
      <c r="B459" s="422" t="s">
        <v>1313</v>
      </c>
      <c r="C459" s="423">
        <f>_xlfn.XLOOKUP(A459,INPUT_DATA!$CJ$4:$CJ$397,INPUT_DATA!$CL$4:$CL$397)</f>
        <v>2655362.14</v>
      </c>
      <c r="D459" s="808">
        <f>Top20Deb3738[[#This Row],[Principal Outstanding Balance]]/Top20Deb3738[[#Totals],[Principal Outstanding Balance]]</f>
        <v>6.7864352338792245E-3</v>
      </c>
      <c r="E459" s="809">
        <f>_xlfn.XLOOKUP(A459,INPUT_DATA!$CJ$4:$CJ$397,INPUT_DATA!$CM$4:$CM$397)</f>
        <v>12</v>
      </c>
      <c r="F459" s="808">
        <f>Top20Deb3738[[#This Row],[Nb of Loans]]/Top20Deb3738[[#Totals],[Nb of Loans]]</f>
        <v>1.2972972972972972E-2</v>
      </c>
    </row>
    <row r="460" spans="1:6" x14ac:dyDescent="0.35">
      <c r="A460" s="427" t="s">
        <v>1192</v>
      </c>
      <c r="B460" s="422" t="s">
        <v>1314</v>
      </c>
      <c r="C460" s="423">
        <f>_xlfn.XLOOKUP(A460,INPUT_DATA!$CJ$4:$CJ$397,INPUT_DATA!$CL$4:$CL$397)</f>
        <v>257400</v>
      </c>
      <c r="D460" s="808">
        <f>Top20Deb3738[[#This Row],[Principal Outstanding Balance]]/Top20Deb3738[[#Totals],[Principal Outstanding Balance]]</f>
        <v>6.5784941454370227E-4</v>
      </c>
      <c r="E460" s="809">
        <f>_xlfn.XLOOKUP(A460,INPUT_DATA!$CJ$4:$CJ$397,INPUT_DATA!$CM$4:$CM$397)</f>
        <v>2</v>
      </c>
      <c r="F460" s="808">
        <f>Top20Deb3738[[#This Row],[Nb of Loans]]/Top20Deb3738[[#Totals],[Nb of Loans]]</f>
        <v>2.1621621621621622E-3</v>
      </c>
    </row>
    <row r="461" spans="1:6" x14ac:dyDescent="0.35">
      <c r="A461" s="427" t="s">
        <v>1193</v>
      </c>
      <c r="B461" s="422" t="s">
        <v>1315</v>
      </c>
      <c r="C461" s="423">
        <f>_xlfn.XLOOKUP(A461,INPUT_DATA!$CJ$4:$CJ$397,INPUT_DATA!$CL$4:$CL$397)</f>
        <v>124000</v>
      </c>
      <c r="D461" s="808">
        <f>Top20Deb3738[[#This Row],[Principal Outstanding Balance]]/Top20Deb3738[[#Totals],[Principal Outstanding Balance]]</f>
        <v>3.1691269387497698E-4</v>
      </c>
      <c r="E461" s="809">
        <f>_xlfn.XLOOKUP(A461,INPUT_DATA!$CJ$4:$CJ$397,INPUT_DATA!$CM$4:$CM$397)</f>
        <v>1</v>
      </c>
      <c r="F461" s="808">
        <f>Top20Deb3738[[#This Row],[Nb of Loans]]/Top20Deb3738[[#Totals],[Nb of Loans]]</f>
        <v>1.0810810810810811E-3</v>
      </c>
    </row>
    <row r="462" spans="1:6" x14ac:dyDescent="0.35">
      <c r="A462" s="427" t="s">
        <v>1194</v>
      </c>
      <c r="B462" s="422" t="s">
        <v>1316</v>
      </c>
      <c r="C462" s="423">
        <f>_xlfn.XLOOKUP(A462,INPUT_DATA!$CJ$4:$CJ$397,INPUT_DATA!$CL$4:$CL$397)</f>
        <v>665497</v>
      </c>
      <c r="D462" s="808">
        <f>Top20Deb3738[[#This Row],[Principal Outstanding Balance]]/Top20Deb3738[[#Totals],[Principal Outstanding Balance]]</f>
        <v>1.7008423148041577E-3</v>
      </c>
      <c r="E462" s="809">
        <f>_xlfn.XLOOKUP(A462,INPUT_DATA!$CJ$4:$CJ$397,INPUT_DATA!$CM$4:$CM$397)</f>
        <v>3</v>
      </c>
      <c r="F462" s="808">
        <f>Top20Deb3738[[#This Row],[Nb of Loans]]/Top20Deb3738[[#Totals],[Nb of Loans]]</f>
        <v>3.2432432432432431E-3</v>
      </c>
    </row>
    <row r="463" spans="1:6" x14ac:dyDescent="0.35">
      <c r="A463" s="427" t="s">
        <v>1195</v>
      </c>
      <c r="B463" s="422" t="s">
        <v>1317</v>
      </c>
      <c r="C463" s="423">
        <f>_xlfn.XLOOKUP(A463,INPUT_DATA!$CJ$4:$CJ$397,INPUT_DATA!$CL$4:$CL$397)</f>
        <v>1575299</v>
      </c>
      <c r="D463" s="808">
        <f>Top20Deb3738[[#This Row],[Principal Outstanding Balance]]/Top20Deb3738[[#Totals],[Principal Outstanding Balance]]</f>
        <v>4.0260665302303015E-3</v>
      </c>
      <c r="E463" s="809">
        <f>_xlfn.XLOOKUP(A463,INPUT_DATA!$CJ$4:$CJ$397,INPUT_DATA!$CM$4:$CM$397)</f>
        <v>6</v>
      </c>
      <c r="F463" s="808">
        <f>Top20Deb3738[[#This Row],[Nb of Loans]]/Top20Deb3738[[#Totals],[Nb of Loans]]</f>
        <v>6.4864864864864862E-3</v>
      </c>
    </row>
    <row r="464" spans="1:6" x14ac:dyDescent="0.35">
      <c r="A464" s="427" t="s">
        <v>1196</v>
      </c>
      <c r="B464" s="422" t="s">
        <v>1318</v>
      </c>
      <c r="C464" s="423">
        <f>_xlfn.XLOOKUP(A464,INPUT_DATA!$CJ$4:$CJ$397,INPUT_DATA!$CL$4:$CL$397)</f>
        <v>243650</v>
      </c>
      <c r="D464" s="808">
        <f>Top20Deb3738[[#This Row],[Principal Outstanding Balance]]/Top20Deb3738[[#Totals],[Principal Outstanding Balance]]</f>
        <v>6.227078859890173E-4</v>
      </c>
      <c r="E464" s="809">
        <f>_xlfn.XLOOKUP(A464,INPUT_DATA!$CJ$4:$CJ$397,INPUT_DATA!$CM$4:$CM$397)</f>
        <v>2</v>
      </c>
      <c r="F464" s="808">
        <f>Top20Deb3738[[#This Row],[Nb of Loans]]/Top20Deb3738[[#Totals],[Nb of Loans]]</f>
        <v>2.1621621621621622E-3</v>
      </c>
    </row>
    <row r="465" spans="1:6" x14ac:dyDescent="0.35">
      <c r="A465" s="427" t="s">
        <v>1197</v>
      </c>
      <c r="B465" s="422" t="s">
        <v>1319</v>
      </c>
      <c r="C465" s="423">
        <f>_xlfn.XLOOKUP(A465,INPUT_DATA!$CJ$4:$CJ$397,INPUT_DATA!$CL$4:$CL$397)</f>
        <v>885400</v>
      </c>
      <c r="D465" s="808">
        <f>Top20Deb3738[[#This Row],[Principal Outstanding Balance]]/Top20Deb3738[[#Totals],[Principal Outstanding Balance]]</f>
        <v>2.2628588641685856E-3</v>
      </c>
      <c r="E465" s="809">
        <f>_xlfn.XLOOKUP(A465,INPUT_DATA!$CJ$4:$CJ$397,INPUT_DATA!$CM$4:$CM$397)</f>
        <v>4</v>
      </c>
      <c r="F465" s="808">
        <f>Top20Deb3738[[#This Row],[Nb of Loans]]/Top20Deb3738[[#Totals],[Nb of Loans]]</f>
        <v>4.3243243243243244E-3</v>
      </c>
    </row>
    <row r="466" spans="1:6" x14ac:dyDescent="0.35">
      <c r="A466" s="427" t="s">
        <v>1198</v>
      </c>
      <c r="B466" s="422" t="s">
        <v>1320</v>
      </c>
      <c r="C466" s="423">
        <f>_xlfn.XLOOKUP(A466,INPUT_DATA!$CJ$4:$CJ$397,INPUT_DATA!$CL$4:$CL$397)</f>
        <v>2865560</v>
      </c>
      <c r="D466" s="808">
        <f>Top20Deb3738[[#This Row],[Principal Outstanding Balance]]/Top20Deb3738[[#Totals],[Principal Outstanding Balance]]</f>
        <v>7.3236478956482188E-3</v>
      </c>
      <c r="E466" s="809">
        <f>_xlfn.XLOOKUP(A466,INPUT_DATA!$CJ$4:$CJ$397,INPUT_DATA!$CM$4:$CM$397)</f>
        <v>8</v>
      </c>
      <c r="F466" s="808">
        <f>Top20Deb3738[[#This Row],[Nb of Loans]]/Top20Deb3738[[#Totals],[Nb of Loans]]</f>
        <v>8.6486486486486488E-3</v>
      </c>
    </row>
    <row r="467" spans="1:6" x14ac:dyDescent="0.35">
      <c r="A467" s="427" t="s">
        <v>1199</v>
      </c>
      <c r="B467" s="422" t="s">
        <v>1321</v>
      </c>
      <c r="C467" s="423">
        <f>_xlfn.XLOOKUP(A467,INPUT_DATA!$CJ$4:$CJ$397,INPUT_DATA!$CL$4:$CL$397)</f>
        <v>2592781</v>
      </c>
      <c r="D467" s="808">
        <f>Top20Deb3738[[#This Row],[Principal Outstanding Balance]]/Top20Deb3738[[#Totals],[Principal Outstanding Balance]]</f>
        <v>6.6264936398214257E-3</v>
      </c>
      <c r="E467" s="809">
        <f>_xlfn.XLOOKUP(A467,INPUT_DATA!$CJ$4:$CJ$397,INPUT_DATA!$CM$4:$CM$397)</f>
        <v>10</v>
      </c>
      <c r="F467" s="808">
        <f>Top20Deb3738[[#This Row],[Nb of Loans]]/Top20Deb3738[[#Totals],[Nb of Loans]]</f>
        <v>1.0810810810810811E-2</v>
      </c>
    </row>
    <row r="468" spans="1:6" x14ac:dyDescent="0.35">
      <c r="A468" s="427" t="s">
        <v>1200</v>
      </c>
      <c r="B468" s="422" t="s">
        <v>1322</v>
      </c>
      <c r="C468" s="423">
        <f>_xlfn.XLOOKUP(A468,INPUT_DATA!$CJ$4:$CJ$397,INPUT_DATA!$CL$4:$CL$397)</f>
        <v>753698.04</v>
      </c>
      <c r="D468" s="808">
        <f>Top20Deb3738[[#This Row],[Principal Outstanding Balance]]/Top20Deb3738[[#Totals],[Principal Outstanding Balance]]</f>
        <v>1.9262619050378241E-3</v>
      </c>
      <c r="E468" s="809">
        <f>_xlfn.XLOOKUP(A468,INPUT_DATA!$CJ$4:$CJ$397,INPUT_DATA!$CM$4:$CM$397)</f>
        <v>3</v>
      </c>
      <c r="F468" s="808">
        <f>Top20Deb3738[[#This Row],[Nb of Loans]]/Top20Deb3738[[#Totals],[Nb of Loans]]</f>
        <v>3.2432432432432431E-3</v>
      </c>
    </row>
    <row r="469" spans="1:6" x14ac:dyDescent="0.35">
      <c r="A469" s="427" t="s">
        <v>1201</v>
      </c>
      <c r="B469" s="422" t="s">
        <v>1323</v>
      </c>
      <c r="C469" s="423">
        <f>_xlfn.XLOOKUP(A469,INPUT_DATA!$CJ$4:$CJ$397,INPUT_DATA!$CL$4:$CL$397)</f>
        <v>10022799</v>
      </c>
      <c r="D469" s="808">
        <f>Top20Deb3738[[#This Row],[Principal Outstanding Balance]]/Top20Deb3738[[#Totals],[Principal Outstanding Balance]]</f>
        <v>2.5615743800463109E-2</v>
      </c>
      <c r="E469" s="809">
        <f>_xlfn.XLOOKUP(A469,INPUT_DATA!$CJ$4:$CJ$397,INPUT_DATA!$CM$4:$CM$397)</f>
        <v>30</v>
      </c>
      <c r="F469" s="808">
        <f>Top20Deb3738[[#This Row],[Nb of Loans]]/Top20Deb3738[[#Totals],[Nb of Loans]]</f>
        <v>3.2432432432432434E-2</v>
      </c>
    </row>
    <row r="470" spans="1:6" x14ac:dyDescent="0.35">
      <c r="A470" s="427" t="s">
        <v>1202</v>
      </c>
      <c r="B470" s="422" t="s">
        <v>1324</v>
      </c>
      <c r="C470" s="423">
        <f>_xlfn.XLOOKUP(A470,INPUT_DATA!$CJ$4:$CJ$397,INPUT_DATA!$CL$4:$CL$397)</f>
        <v>1896250</v>
      </c>
      <c r="D470" s="808">
        <f>Top20Deb3738[[#This Row],[Principal Outstanding Balance]]/Top20Deb3738[[#Totals],[Principal Outstanding Balance]]</f>
        <v>4.8463362561324604E-3</v>
      </c>
      <c r="E470" s="809">
        <f>_xlfn.XLOOKUP(A470,INPUT_DATA!$CJ$4:$CJ$397,INPUT_DATA!$CM$4:$CM$397)</f>
        <v>5</v>
      </c>
      <c r="F470" s="808">
        <f>Top20Deb3738[[#This Row],[Nb of Loans]]/Top20Deb3738[[#Totals],[Nb of Loans]]</f>
        <v>5.4054054054054057E-3</v>
      </c>
    </row>
    <row r="471" spans="1:6" x14ac:dyDescent="0.35">
      <c r="A471" s="427" t="s">
        <v>1203</v>
      </c>
      <c r="B471" s="422" t="s">
        <v>1325</v>
      </c>
      <c r="C471" s="423">
        <f>_xlfn.XLOOKUP(A471,INPUT_DATA!$CJ$4:$CJ$397,INPUT_DATA!$CL$4:$CL$397)</f>
        <v>164766</v>
      </c>
      <c r="D471" s="808">
        <f>Top20Deb3738[[#This Row],[Principal Outstanding Balance]]/Top20Deb3738[[#Totals],[Principal Outstanding Balance]]</f>
        <v>4.2110029773390696E-4</v>
      </c>
      <c r="E471" s="809">
        <f>_xlfn.XLOOKUP(A471,INPUT_DATA!$CJ$4:$CJ$397,INPUT_DATA!$CM$4:$CM$397)</f>
        <v>1</v>
      </c>
      <c r="F471" s="808">
        <f>Top20Deb3738[[#This Row],[Nb of Loans]]/Top20Deb3738[[#Totals],[Nb of Loans]]</f>
        <v>1.0810810810810811E-3</v>
      </c>
    </row>
    <row r="472" spans="1:6" x14ac:dyDescent="0.35">
      <c r="A472" s="427" t="s">
        <v>1204</v>
      </c>
      <c r="B472" s="422" t="s">
        <v>1326</v>
      </c>
      <c r="C472" s="423">
        <f>_xlfn.XLOOKUP(A472,INPUT_DATA!$CJ$4:$CJ$397,INPUT_DATA!$CL$4:$CL$397)</f>
        <v>4424500</v>
      </c>
      <c r="D472" s="808">
        <f>Top20Deb3738[[#This Row],[Principal Outstanding Balance]]/Top20Deb3738[[#Totals],[Principal Outstanding Balance]]</f>
        <v>1.1307904952014804E-2</v>
      </c>
      <c r="E472" s="809">
        <f>_xlfn.XLOOKUP(A472,INPUT_DATA!$CJ$4:$CJ$397,INPUT_DATA!$CM$4:$CM$397)</f>
        <v>8</v>
      </c>
      <c r="F472" s="808">
        <f>Top20Deb3738[[#This Row],[Nb of Loans]]/Top20Deb3738[[#Totals],[Nb of Loans]]</f>
        <v>8.6486486486486488E-3</v>
      </c>
    </row>
    <row r="473" spans="1:6" x14ac:dyDescent="0.35">
      <c r="A473" s="427" t="s">
        <v>1205</v>
      </c>
      <c r="B473" s="422" t="s">
        <v>1327</v>
      </c>
      <c r="C473" s="423">
        <f>_xlfn.XLOOKUP(A473,INPUT_DATA!$CJ$4:$CJ$397,INPUT_DATA!$CL$4:$CL$397)</f>
        <v>0</v>
      </c>
      <c r="D473" s="808">
        <f>Top20Deb3738[[#This Row],[Principal Outstanding Balance]]/Top20Deb3738[[#Totals],[Principal Outstanding Balance]]</f>
        <v>0</v>
      </c>
      <c r="E473" s="809">
        <f>_xlfn.XLOOKUP(A473,INPUT_DATA!$CJ$4:$CJ$397,INPUT_DATA!$CM$4:$CM$397)</f>
        <v>0</v>
      </c>
      <c r="F473" s="808">
        <f>Top20Deb3738[[#This Row],[Nb of Loans]]/Top20Deb3738[[#Totals],[Nb of Loans]]</f>
        <v>0</v>
      </c>
    </row>
    <row r="474" spans="1:6" x14ac:dyDescent="0.35">
      <c r="A474" s="427" t="s">
        <v>1206</v>
      </c>
      <c r="B474" s="422" t="s">
        <v>1328</v>
      </c>
      <c r="C474" s="423">
        <f>_xlfn.XLOOKUP(A474,INPUT_DATA!$CJ$4:$CJ$397,INPUT_DATA!$CL$4:$CL$397)</f>
        <v>0</v>
      </c>
      <c r="D474" s="808">
        <f>Top20Deb3738[[#This Row],[Principal Outstanding Balance]]/Top20Deb3738[[#Totals],[Principal Outstanding Balance]]</f>
        <v>0</v>
      </c>
      <c r="E474" s="809">
        <f>_xlfn.XLOOKUP(A474,INPUT_DATA!$CJ$4:$CJ$397,INPUT_DATA!$CM$4:$CM$397)</f>
        <v>0</v>
      </c>
      <c r="F474" s="808">
        <f>Top20Deb3738[[#This Row],[Nb of Loans]]/Top20Deb3738[[#Totals],[Nb of Loans]]</f>
        <v>0</v>
      </c>
    </row>
    <row r="475" spans="1:6" x14ac:dyDescent="0.35">
      <c r="A475" s="427" t="s">
        <v>1207</v>
      </c>
      <c r="B475" s="422" t="s">
        <v>1329</v>
      </c>
      <c r="C475" s="423">
        <f>_xlfn.XLOOKUP(A475,INPUT_DATA!$CJ$4:$CJ$397,INPUT_DATA!$CL$4:$CL$397)</f>
        <v>115000</v>
      </c>
      <c r="D475" s="808">
        <f>Top20Deb3738[[#This Row],[Principal Outstanding Balance]]/Top20Deb3738[[#Totals],[Principal Outstanding Balance]]</f>
        <v>2.9391096609372865E-4</v>
      </c>
      <c r="E475" s="809">
        <f>_xlfn.XLOOKUP(A475,INPUT_DATA!$CJ$4:$CJ$397,INPUT_DATA!$CM$4:$CM$397)</f>
        <v>1</v>
      </c>
      <c r="F475" s="808">
        <f>Top20Deb3738[[#This Row],[Nb of Loans]]/Top20Deb3738[[#Totals],[Nb of Loans]]</f>
        <v>1.0810810810810811E-3</v>
      </c>
    </row>
    <row r="476" spans="1:6" x14ac:dyDescent="0.35">
      <c r="A476" s="427" t="s">
        <v>1208</v>
      </c>
      <c r="B476" s="422" t="s">
        <v>1330</v>
      </c>
      <c r="C476" s="423">
        <f>_xlfn.XLOOKUP(A476,INPUT_DATA!$CJ$4:$CJ$397,INPUT_DATA!$CL$4:$CL$397)</f>
        <v>385800</v>
      </c>
      <c r="D476" s="808">
        <f>Top20Deb3738[[#This Row],[Principal Outstanding Balance]]/Top20Deb3738[[#Totals],[Principal Outstanding Balance]]</f>
        <v>9.8600739755617841E-4</v>
      </c>
      <c r="E476" s="809">
        <f>_xlfn.XLOOKUP(A476,INPUT_DATA!$CJ$4:$CJ$397,INPUT_DATA!$CM$4:$CM$397)</f>
        <v>2</v>
      </c>
      <c r="F476" s="808">
        <f>Top20Deb3738[[#This Row],[Nb of Loans]]/Top20Deb3738[[#Totals],[Nb of Loans]]</f>
        <v>2.1621621621621622E-3</v>
      </c>
    </row>
    <row r="477" spans="1:6" x14ac:dyDescent="0.35">
      <c r="A477" s="427" t="s">
        <v>1209</v>
      </c>
      <c r="B477" s="422" t="s">
        <v>1331</v>
      </c>
      <c r="C477" s="423">
        <f>_xlfn.XLOOKUP(A477,INPUT_DATA!$CJ$4:$CJ$397,INPUT_DATA!$CL$4:$CL$397)</f>
        <v>1161044</v>
      </c>
      <c r="D477" s="808">
        <f>Top20Deb3738[[#This Row],[Principal Outstanding Balance]]/Top20Deb3738[[#Totals],[Principal Outstanding Balance]]</f>
        <v>2.9673353366724098E-3</v>
      </c>
      <c r="E477" s="809">
        <f>_xlfn.XLOOKUP(A477,INPUT_DATA!$CJ$4:$CJ$397,INPUT_DATA!$CM$4:$CM$397)</f>
        <v>5</v>
      </c>
      <c r="F477" s="808">
        <f>Top20Deb3738[[#This Row],[Nb of Loans]]/Top20Deb3738[[#Totals],[Nb of Loans]]</f>
        <v>5.4054054054054057E-3</v>
      </c>
    </row>
    <row r="478" spans="1:6" x14ac:dyDescent="0.35">
      <c r="A478" s="427" t="s">
        <v>1210</v>
      </c>
      <c r="B478" s="422" t="s">
        <v>1332</v>
      </c>
      <c r="C478" s="423">
        <f>_xlfn.XLOOKUP(A478,INPUT_DATA!$CJ$4:$CJ$397,INPUT_DATA!$CL$4:$CL$397)</f>
        <v>165000</v>
      </c>
      <c r="D478" s="808">
        <f>Top20Deb3738[[#This Row],[Principal Outstanding Balance]]/Top20Deb3738[[#Totals],[Principal Outstanding Balance]]</f>
        <v>4.216983426562194E-4</v>
      </c>
      <c r="E478" s="809">
        <f>_xlfn.XLOOKUP(A478,INPUT_DATA!$CJ$4:$CJ$397,INPUT_DATA!$CM$4:$CM$397)</f>
        <v>1</v>
      </c>
      <c r="F478" s="808">
        <f>Top20Deb3738[[#This Row],[Nb of Loans]]/Top20Deb3738[[#Totals],[Nb of Loans]]</f>
        <v>1.0810810810810811E-3</v>
      </c>
    </row>
    <row r="479" spans="1:6" x14ac:dyDescent="0.35">
      <c r="A479" s="427" t="s">
        <v>1211</v>
      </c>
      <c r="B479" s="422" t="s">
        <v>1333</v>
      </c>
      <c r="C479" s="423">
        <f>_xlfn.XLOOKUP(A479,INPUT_DATA!$CJ$4:$CJ$397,INPUT_DATA!$CL$4:$CL$397)</f>
        <v>30000</v>
      </c>
      <c r="D479" s="808">
        <f>Top20Deb3738[[#This Row],[Principal Outstanding Balance]]/Top20Deb3738[[#Totals],[Principal Outstanding Balance]]</f>
        <v>7.6672425937494436E-5</v>
      </c>
      <c r="E479" s="809">
        <f>_xlfn.XLOOKUP(A479,INPUT_DATA!$CJ$4:$CJ$397,INPUT_DATA!$CM$4:$CM$397)</f>
        <v>1</v>
      </c>
      <c r="F479" s="808">
        <f>Top20Deb3738[[#This Row],[Nb of Loans]]/Top20Deb3738[[#Totals],[Nb of Loans]]</f>
        <v>1.0810810810810811E-3</v>
      </c>
    </row>
    <row r="480" spans="1:6" x14ac:dyDescent="0.35">
      <c r="A480" s="427" t="s">
        <v>1212</v>
      </c>
      <c r="B480" s="422" t="s">
        <v>1334</v>
      </c>
      <c r="C480" s="423">
        <f>_xlfn.XLOOKUP(A480,INPUT_DATA!$CJ$4:$CJ$397,INPUT_DATA!$CL$4:$CL$397)</f>
        <v>815000</v>
      </c>
      <c r="D480" s="808">
        <f>Top20Deb3738[[#This Row],[Principal Outstanding Balance]]/Top20Deb3738[[#Totals],[Principal Outstanding Balance]]</f>
        <v>2.0829342379685986E-3</v>
      </c>
      <c r="E480" s="809">
        <f>_xlfn.XLOOKUP(A480,INPUT_DATA!$CJ$4:$CJ$397,INPUT_DATA!$CM$4:$CM$397)</f>
        <v>3</v>
      </c>
      <c r="F480" s="808">
        <f>Top20Deb3738[[#This Row],[Nb of Loans]]/Top20Deb3738[[#Totals],[Nb of Loans]]</f>
        <v>3.2432432432432431E-3</v>
      </c>
    </row>
    <row r="481" spans="1:6" x14ac:dyDescent="0.35">
      <c r="A481" s="427" t="s">
        <v>1213</v>
      </c>
      <c r="B481" s="422" t="s">
        <v>1335</v>
      </c>
      <c r="C481" s="423">
        <f>_xlfn.XLOOKUP(A481,INPUT_DATA!$CJ$4:$CJ$397,INPUT_DATA!$CL$4:$CL$397)</f>
        <v>3299019</v>
      </c>
      <c r="D481" s="808">
        <f>Top20Deb3738[[#This Row],[Principal Outstanding Balance]]/Top20Deb3738[[#Totals],[Principal Outstanding Balance]]</f>
        <v>8.4314596647962325E-3</v>
      </c>
      <c r="E481" s="809">
        <f>_xlfn.XLOOKUP(A481,INPUT_DATA!$CJ$4:$CJ$397,INPUT_DATA!$CM$4:$CM$397)</f>
        <v>6</v>
      </c>
      <c r="F481" s="808">
        <f>Top20Deb3738[[#This Row],[Nb of Loans]]/Top20Deb3738[[#Totals],[Nb of Loans]]</f>
        <v>6.4864864864864862E-3</v>
      </c>
    </row>
    <row r="482" spans="1:6" x14ac:dyDescent="0.35">
      <c r="A482" s="427" t="s">
        <v>1214</v>
      </c>
      <c r="B482" s="422" t="s">
        <v>1336</v>
      </c>
      <c r="C482" s="423">
        <f>_xlfn.XLOOKUP(A482,INPUT_DATA!$CJ$4:$CJ$397,INPUT_DATA!$CL$4:$CL$397)</f>
        <v>3865937.17</v>
      </c>
      <c r="D482" s="808">
        <f>Top20Deb3738[[#This Row],[Principal Outstanding Balance]]/Top20Deb3738[[#Totals],[Principal Outstanding Balance]]</f>
        <v>9.8803593781943942E-3</v>
      </c>
      <c r="E482" s="809">
        <f>_xlfn.XLOOKUP(A482,INPUT_DATA!$CJ$4:$CJ$397,INPUT_DATA!$CM$4:$CM$397)</f>
        <v>18</v>
      </c>
      <c r="F482" s="808">
        <f>Top20Deb3738[[#This Row],[Nb of Loans]]/Top20Deb3738[[#Totals],[Nb of Loans]]</f>
        <v>1.9459459459459458E-2</v>
      </c>
    </row>
    <row r="483" spans="1:6" x14ac:dyDescent="0.35">
      <c r="A483" s="427" t="s">
        <v>1215</v>
      </c>
      <c r="B483" s="422" t="s">
        <v>1337</v>
      </c>
      <c r="C483" s="423">
        <f>_xlfn.XLOOKUP(A483,INPUT_DATA!$CJ$4:$CJ$397,INPUT_DATA!$CL$4:$CL$397)</f>
        <v>0</v>
      </c>
      <c r="D483" s="808">
        <f>Top20Deb3738[[#This Row],[Principal Outstanding Balance]]/Top20Deb3738[[#Totals],[Principal Outstanding Balance]]</f>
        <v>0</v>
      </c>
      <c r="E483" s="809">
        <f>_xlfn.XLOOKUP(A483,INPUT_DATA!$CJ$4:$CJ$397,INPUT_DATA!$CM$4:$CM$397)</f>
        <v>0</v>
      </c>
      <c r="F483" s="808">
        <f>Top20Deb3738[[#This Row],[Nb of Loans]]/Top20Deb3738[[#Totals],[Nb of Loans]]</f>
        <v>0</v>
      </c>
    </row>
    <row r="484" spans="1:6" x14ac:dyDescent="0.35">
      <c r="A484" s="427" t="s">
        <v>1216</v>
      </c>
      <c r="B484" s="422" t="s">
        <v>1338</v>
      </c>
      <c r="C484" s="423">
        <f>_xlfn.XLOOKUP(A484,INPUT_DATA!$CJ$4:$CJ$397,INPUT_DATA!$CL$4:$CL$397)</f>
        <v>726928</v>
      </c>
      <c r="D484" s="808">
        <f>Top20Deb3738[[#This Row],[Principal Outstanding Balance]]/Top20Deb3738[[#Totals],[Principal Outstanding Balance]]</f>
        <v>1.8578444413963652E-3</v>
      </c>
      <c r="E484" s="809">
        <f>_xlfn.XLOOKUP(A484,INPUT_DATA!$CJ$4:$CJ$397,INPUT_DATA!$CM$4:$CM$397)</f>
        <v>4</v>
      </c>
      <c r="F484" s="808">
        <f>Top20Deb3738[[#This Row],[Nb of Loans]]/Top20Deb3738[[#Totals],[Nb of Loans]]</f>
        <v>4.3243243243243244E-3</v>
      </c>
    </row>
    <row r="485" spans="1:6" x14ac:dyDescent="0.35">
      <c r="A485" s="427" t="s">
        <v>1217</v>
      </c>
      <c r="B485" s="422" t="s">
        <v>1339</v>
      </c>
      <c r="C485" s="423">
        <f>_xlfn.XLOOKUP(A485,INPUT_DATA!$CJ$4:$CJ$397,INPUT_DATA!$CL$4:$CL$397)</f>
        <v>60000</v>
      </c>
      <c r="D485" s="808">
        <f>Top20Deb3738[[#This Row],[Principal Outstanding Balance]]/Top20Deb3738[[#Totals],[Principal Outstanding Balance]]</f>
        <v>1.5334485187498887E-4</v>
      </c>
      <c r="E485" s="809">
        <f>_xlfn.XLOOKUP(A485,INPUT_DATA!$CJ$4:$CJ$397,INPUT_DATA!$CM$4:$CM$397)</f>
        <v>1</v>
      </c>
      <c r="F485" s="808">
        <f>Top20Deb3738[[#This Row],[Nb of Loans]]/Top20Deb3738[[#Totals],[Nb of Loans]]</f>
        <v>1.0810810810810811E-3</v>
      </c>
    </row>
    <row r="486" spans="1:6" x14ac:dyDescent="0.35">
      <c r="A486" s="427" t="s">
        <v>1218</v>
      </c>
      <c r="B486" s="422" t="s">
        <v>1340</v>
      </c>
      <c r="C486" s="423">
        <f>_xlfn.XLOOKUP(A486,INPUT_DATA!$CJ$4:$CJ$397,INPUT_DATA!$CL$4:$CL$397)</f>
        <v>0</v>
      </c>
      <c r="D486" s="808">
        <f>Top20Deb3738[[#This Row],[Principal Outstanding Balance]]/Top20Deb3738[[#Totals],[Principal Outstanding Balance]]</f>
        <v>0</v>
      </c>
      <c r="E486" s="809">
        <f>_xlfn.XLOOKUP(A486,INPUT_DATA!$CJ$4:$CJ$397,INPUT_DATA!$CM$4:$CM$397)</f>
        <v>0</v>
      </c>
      <c r="F486" s="808">
        <f>Top20Deb3738[[#This Row],[Nb of Loans]]/Top20Deb3738[[#Totals],[Nb of Loans]]</f>
        <v>0</v>
      </c>
    </row>
    <row r="487" spans="1:6" x14ac:dyDescent="0.35">
      <c r="A487" s="427" t="s">
        <v>1219</v>
      </c>
      <c r="B487" s="422" t="s">
        <v>1341</v>
      </c>
      <c r="C487" s="423">
        <f>_xlfn.XLOOKUP(A487,INPUT_DATA!$CJ$4:$CJ$397,INPUT_DATA!$CL$4:$CL$397)</f>
        <v>5513787</v>
      </c>
      <c r="D487" s="808">
        <f>Top20Deb3738[[#This Row],[Principal Outstanding Balance]]/Top20Deb3738[[#Totals],[Principal Outstanding Balance]]</f>
        <v>1.409184751308732E-2</v>
      </c>
      <c r="E487" s="809">
        <f>_xlfn.XLOOKUP(A487,INPUT_DATA!$CJ$4:$CJ$397,INPUT_DATA!$CM$4:$CM$397)</f>
        <v>20</v>
      </c>
      <c r="F487" s="808">
        <f>Top20Deb3738[[#This Row],[Nb of Loans]]/Top20Deb3738[[#Totals],[Nb of Loans]]</f>
        <v>2.1621621621621623E-2</v>
      </c>
    </row>
    <row r="488" spans="1:6" x14ac:dyDescent="0.35">
      <c r="A488" s="427" t="s">
        <v>1220</v>
      </c>
      <c r="B488" s="422" t="s">
        <v>1342</v>
      </c>
      <c r="C488" s="423">
        <f>_xlfn.XLOOKUP(A488,INPUT_DATA!$CJ$4:$CJ$397,INPUT_DATA!$CL$4:$CL$397)</f>
        <v>645000</v>
      </c>
      <c r="D488" s="808">
        <f>Top20Deb3738[[#This Row],[Principal Outstanding Balance]]/Top20Deb3738[[#Totals],[Principal Outstanding Balance]]</f>
        <v>1.6484571576561304E-3</v>
      </c>
      <c r="E488" s="809">
        <f>_xlfn.XLOOKUP(A488,INPUT_DATA!$CJ$4:$CJ$397,INPUT_DATA!$CM$4:$CM$397)</f>
        <v>1</v>
      </c>
      <c r="F488" s="808">
        <f>Top20Deb3738[[#This Row],[Nb of Loans]]/Top20Deb3738[[#Totals],[Nb of Loans]]</f>
        <v>1.0810810810810811E-3</v>
      </c>
    </row>
    <row r="489" spans="1:6" x14ac:dyDescent="0.35">
      <c r="A489" s="427" t="s">
        <v>1221</v>
      </c>
      <c r="B489" s="422" t="s">
        <v>1343</v>
      </c>
      <c r="C489" s="423">
        <f>_xlfn.XLOOKUP(A489,INPUT_DATA!$CJ$4:$CJ$397,INPUT_DATA!$CL$4:$CL$397)</f>
        <v>0</v>
      </c>
      <c r="D489" s="808">
        <f>Top20Deb3738[[#This Row],[Principal Outstanding Balance]]/Top20Deb3738[[#Totals],[Principal Outstanding Balance]]</f>
        <v>0</v>
      </c>
      <c r="E489" s="809">
        <f>_xlfn.XLOOKUP(A489,INPUT_DATA!$CJ$4:$CJ$397,INPUT_DATA!$CM$4:$CM$397)</f>
        <v>0</v>
      </c>
      <c r="F489" s="808">
        <f>Top20Deb3738[[#This Row],[Nb of Loans]]/Top20Deb3738[[#Totals],[Nb of Loans]]</f>
        <v>0</v>
      </c>
    </row>
    <row r="490" spans="1:6" x14ac:dyDescent="0.35">
      <c r="A490" s="427" t="s">
        <v>1222</v>
      </c>
      <c r="B490" s="422" t="s">
        <v>1344</v>
      </c>
      <c r="C490" s="423">
        <f>_xlfn.XLOOKUP(A490,INPUT_DATA!$CJ$4:$CJ$397,INPUT_DATA!$CL$4:$CL$397)</f>
        <v>331500</v>
      </c>
      <c r="D490" s="808">
        <f>Top20Deb3738[[#This Row],[Principal Outstanding Balance]]/Top20Deb3738[[#Totals],[Principal Outstanding Balance]]</f>
        <v>8.4723030660931349E-4</v>
      </c>
      <c r="E490" s="809">
        <f>_xlfn.XLOOKUP(A490,INPUT_DATA!$CJ$4:$CJ$397,INPUT_DATA!$CM$4:$CM$397)</f>
        <v>1</v>
      </c>
      <c r="F490" s="808">
        <f>Top20Deb3738[[#This Row],[Nb of Loans]]/Top20Deb3738[[#Totals],[Nb of Loans]]</f>
        <v>1.0810810810810811E-3</v>
      </c>
    </row>
    <row r="491" spans="1:6" x14ac:dyDescent="0.35">
      <c r="A491" s="427" t="s">
        <v>1223</v>
      </c>
      <c r="B491" s="422" t="s">
        <v>1345</v>
      </c>
      <c r="C491" s="423">
        <f>_xlfn.XLOOKUP(A491,INPUT_DATA!$CJ$4:$CJ$397,INPUT_DATA!$CL$4:$CL$397)</f>
        <v>0</v>
      </c>
      <c r="D491" s="808">
        <f>Top20Deb3738[[#This Row],[Principal Outstanding Balance]]/Top20Deb3738[[#Totals],[Principal Outstanding Balance]]</f>
        <v>0</v>
      </c>
      <c r="E491" s="809">
        <f>_xlfn.XLOOKUP(A491,INPUT_DATA!$CJ$4:$CJ$397,INPUT_DATA!$CM$4:$CM$397)</f>
        <v>0</v>
      </c>
      <c r="F491" s="808">
        <f>Top20Deb3738[[#This Row],[Nb of Loans]]/Top20Deb3738[[#Totals],[Nb of Loans]]</f>
        <v>0</v>
      </c>
    </row>
    <row r="492" spans="1:6" x14ac:dyDescent="0.35">
      <c r="A492" s="427" t="s">
        <v>1224</v>
      </c>
      <c r="B492" s="422" t="s">
        <v>1346</v>
      </c>
      <c r="C492" s="423">
        <f>_xlfn.XLOOKUP(A492,INPUT_DATA!$CJ$4:$CJ$397,INPUT_DATA!$CL$4:$CL$397)</f>
        <v>640000</v>
      </c>
      <c r="D492" s="808">
        <f>Top20Deb3738[[#This Row],[Principal Outstanding Balance]]/Top20Deb3738[[#Totals],[Principal Outstanding Balance]]</f>
        <v>1.6356784199998812E-3</v>
      </c>
      <c r="E492" s="809">
        <f>_xlfn.XLOOKUP(A492,INPUT_DATA!$CJ$4:$CJ$397,INPUT_DATA!$CM$4:$CM$397)</f>
        <v>2</v>
      </c>
      <c r="F492" s="808">
        <f>Top20Deb3738[[#This Row],[Nb of Loans]]/Top20Deb3738[[#Totals],[Nb of Loans]]</f>
        <v>2.1621621621621622E-3</v>
      </c>
    </row>
    <row r="493" spans="1:6" x14ac:dyDescent="0.35">
      <c r="A493" s="427" t="s">
        <v>1225</v>
      </c>
      <c r="B493" s="422" t="s">
        <v>1347</v>
      </c>
      <c r="C493" s="423">
        <f>_xlfn.XLOOKUP(A493,INPUT_DATA!$CJ$4:$CJ$397,INPUT_DATA!$CL$4:$CL$397)</f>
        <v>0</v>
      </c>
      <c r="D493" s="808">
        <f>Top20Deb3738[[#This Row],[Principal Outstanding Balance]]/Top20Deb3738[[#Totals],[Principal Outstanding Balance]]</f>
        <v>0</v>
      </c>
      <c r="E493" s="809">
        <f>_xlfn.XLOOKUP(A493,INPUT_DATA!$CJ$4:$CJ$397,INPUT_DATA!$CM$4:$CM$397)</f>
        <v>0</v>
      </c>
      <c r="F493" s="808">
        <f>Top20Deb3738[[#This Row],[Nb of Loans]]/Top20Deb3738[[#Totals],[Nb of Loans]]</f>
        <v>0</v>
      </c>
    </row>
    <row r="494" spans="1:6" x14ac:dyDescent="0.35">
      <c r="A494" s="427" t="s">
        <v>1226</v>
      </c>
      <c r="B494" s="422" t="s">
        <v>1348</v>
      </c>
      <c r="C494" s="423">
        <f>_xlfn.XLOOKUP(A494,INPUT_DATA!$CJ$4:$CJ$397,INPUT_DATA!$CL$4:$CL$397)</f>
        <v>0</v>
      </c>
      <c r="D494" s="808">
        <f>Top20Deb3738[[#This Row],[Principal Outstanding Balance]]/Top20Deb3738[[#Totals],[Principal Outstanding Balance]]</f>
        <v>0</v>
      </c>
      <c r="E494" s="809">
        <f>_xlfn.XLOOKUP(A494,INPUT_DATA!$CJ$4:$CJ$397,INPUT_DATA!$CM$4:$CM$397)</f>
        <v>0</v>
      </c>
      <c r="F494" s="808">
        <f>Top20Deb3738[[#This Row],[Nb of Loans]]/Top20Deb3738[[#Totals],[Nb of Loans]]</f>
        <v>0</v>
      </c>
    </row>
    <row r="495" spans="1:6" x14ac:dyDescent="0.35">
      <c r="A495" s="427" t="s">
        <v>1227</v>
      </c>
      <c r="B495" s="422" t="s">
        <v>1349</v>
      </c>
      <c r="C495" s="423">
        <f>_xlfn.XLOOKUP(A495,INPUT_DATA!$CJ$4:$CJ$397,INPUT_DATA!$CL$4:$CL$397)</f>
        <v>220285</v>
      </c>
      <c r="D495" s="808">
        <f>Top20Deb3738[[#This Row],[Principal Outstanding Balance]]/Top20Deb3738[[#Totals],[Principal Outstanding Balance]]</f>
        <v>5.6299284492136541E-4</v>
      </c>
      <c r="E495" s="809">
        <f>_xlfn.XLOOKUP(A495,INPUT_DATA!$CJ$4:$CJ$397,INPUT_DATA!$CM$4:$CM$397)</f>
        <v>1</v>
      </c>
      <c r="F495" s="808">
        <f>Top20Deb3738[[#This Row],[Nb of Loans]]/Top20Deb3738[[#Totals],[Nb of Loans]]</f>
        <v>1.0810810810810811E-3</v>
      </c>
    </row>
    <row r="496" spans="1:6" x14ac:dyDescent="0.35">
      <c r="A496" s="427" t="s">
        <v>1228</v>
      </c>
      <c r="B496" s="422" t="s">
        <v>1350</v>
      </c>
      <c r="C496" s="423">
        <f>_xlfn.XLOOKUP(A496,INPUT_DATA!$CJ$4:$CJ$397,INPUT_DATA!$CL$4:$CL$397)</f>
        <v>871000</v>
      </c>
      <c r="D496" s="808">
        <f>Top20Deb3738[[#This Row],[Principal Outstanding Balance]]/Top20Deb3738[[#Totals],[Principal Outstanding Balance]]</f>
        <v>2.2260560997185885E-3</v>
      </c>
      <c r="E496" s="809">
        <f>_xlfn.XLOOKUP(A496,INPUT_DATA!$CJ$4:$CJ$397,INPUT_DATA!$CM$4:$CM$397)</f>
        <v>3</v>
      </c>
      <c r="F496" s="808">
        <f>Top20Deb3738[[#This Row],[Nb of Loans]]/Top20Deb3738[[#Totals],[Nb of Loans]]</f>
        <v>3.2432432432432431E-3</v>
      </c>
    </row>
    <row r="497" spans="1:6" x14ac:dyDescent="0.35">
      <c r="A497" s="427" t="s">
        <v>1229</v>
      </c>
      <c r="B497" s="422" t="s">
        <v>1351</v>
      </c>
      <c r="C497" s="423">
        <f>_xlfn.XLOOKUP(A497,INPUT_DATA!$CJ$4:$CJ$397,INPUT_DATA!$CL$4:$CL$397)</f>
        <v>2614003</v>
      </c>
      <c r="D497" s="808">
        <f>Top20Deb3738[[#This Row],[Principal Outstanding Balance]]/Top20Deb3738[[#Totals],[Principal Outstanding Balance]]</f>
        <v>6.6807317139296087E-3</v>
      </c>
      <c r="E497" s="809">
        <f>_xlfn.XLOOKUP(A497,INPUT_DATA!$CJ$4:$CJ$397,INPUT_DATA!$CM$4:$CM$397)</f>
        <v>7</v>
      </c>
      <c r="F497" s="808">
        <f>Top20Deb3738[[#This Row],[Nb of Loans]]/Top20Deb3738[[#Totals],[Nb of Loans]]</f>
        <v>7.5675675675675675E-3</v>
      </c>
    </row>
    <row r="498" spans="1:6" x14ac:dyDescent="0.35">
      <c r="A498" s="427" t="s">
        <v>1230</v>
      </c>
      <c r="B498" s="422" t="s">
        <v>1352</v>
      </c>
      <c r="C498" s="423">
        <f>_xlfn.XLOOKUP(A498,INPUT_DATA!$CJ$4:$CJ$397,INPUT_DATA!$CL$4:$CL$397)</f>
        <v>0</v>
      </c>
      <c r="D498" s="808">
        <f>Top20Deb3738[[#This Row],[Principal Outstanding Balance]]/Top20Deb3738[[#Totals],[Principal Outstanding Balance]]</f>
        <v>0</v>
      </c>
      <c r="E498" s="809">
        <f>_xlfn.XLOOKUP(A498,INPUT_DATA!$CJ$4:$CJ$397,INPUT_DATA!$CM$4:$CM$397)</f>
        <v>0</v>
      </c>
      <c r="F498" s="808">
        <f>Top20Deb3738[[#This Row],[Nb of Loans]]/Top20Deb3738[[#Totals],[Nb of Loans]]</f>
        <v>0</v>
      </c>
    </row>
    <row r="499" spans="1:6" x14ac:dyDescent="0.35">
      <c r="A499" s="427" t="s">
        <v>1231</v>
      </c>
      <c r="B499" s="422" t="s">
        <v>1353</v>
      </c>
      <c r="C499" s="423">
        <f>_xlfn.XLOOKUP(A499,INPUT_DATA!$CJ$4:$CJ$397,INPUT_DATA!$CL$4:$CL$397)</f>
        <v>844900</v>
      </c>
      <c r="D499" s="808">
        <f>Top20Deb3738[[#This Row],[Principal Outstanding Balance]]/Top20Deb3738[[#Totals],[Principal Outstanding Balance]]</f>
        <v>2.1593510891529683E-3</v>
      </c>
      <c r="E499" s="809">
        <f>_xlfn.XLOOKUP(A499,INPUT_DATA!$CJ$4:$CJ$397,INPUT_DATA!$CM$4:$CM$397)</f>
        <v>2</v>
      </c>
      <c r="F499" s="808">
        <f>Top20Deb3738[[#This Row],[Nb of Loans]]/Top20Deb3738[[#Totals],[Nb of Loans]]</f>
        <v>2.1621621621621622E-3</v>
      </c>
    </row>
    <row r="500" spans="1:6" x14ac:dyDescent="0.35">
      <c r="A500" s="427" t="s">
        <v>1232</v>
      </c>
      <c r="B500" s="422" t="s">
        <v>1354</v>
      </c>
      <c r="C500" s="423">
        <f>_xlfn.XLOOKUP(A500,INPUT_DATA!$CJ$4:$CJ$397,INPUT_DATA!$CL$4:$CL$397)</f>
        <v>2163827</v>
      </c>
      <c r="D500" s="808">
        <f>Top20Deb3738[[#This Row],[Principal Outstanding Balance]]/Top20Deb3738[[#Totals],[Principal Outstanding Balance]]</f>
        <v>5.5301955133016927E-3</v>
      </c>
      <c r="E500" s="809">
        <f>_xlfn.XLOOKUP(A500,INPUT_DATA!$CJ$4:$CJ$397,INPUT_DATA!$CM$4:$CM$397)</f>
        <v>9</v>
      </c>
      <c r="F500" s="808">
        <f>Top20Deb3738[[#This Row],[Nb of Loans]]/Top20Deb3738[[#Totals],[Nb of Loans]]</f>
        <v>9.7297297297297292E-3</v>
      </c>
    </row>
    <row r="501" spans="1:6" x14ac:dyDescent="0.35">
      <c r="A501" s="427" t="s">
        <v>1233</v>
      </c>
      <c r="B501" s="422" t="s">
        <v>1355</v>
      </c>
      <c r="C501" s="423">
        <f>_xlfn.XLOOKUP(A501,INPUT_DATA!$CJ$4:$CJ$397,INPUT_DATA!$CL$4:$CL$397)</f>
        <v>830000</v>
      </c>
      <c r="D501" s="424">
        <f>Top20Deb3738[[#This Row],[Principal Outstanding Balance]]/Top20Deb3738[[#Totals],[Principal Outstanding Balance]]</f>
        <v>2.1212704509373462E-3</v>
      </c>
      <c r="E501" s="425">
        <f>_xlfn.XLOOKUP(A501,INPUT_DATA!$CJ$4:$CJ$397,INPUT_DATA!$CM$4:$CM$397)</f>
        <v>2</v>
      </c>
      <c r="F501" s="424">
        <f>Top20Deb3738[[#This Row],[Nb of Loans]]/Top20Deb3738[[#Totals],[Nb of Loans]]</f>
        <v>2.1621621621621622E-3</v>
      </c>
    </row>
    <row r="502" spans="1:6" x14ac:dyDescent="0.35">
      <c r="A502" s="427" t="s">
        <v>1234</v>
      </c>
      <c r="B502" s="422" t="s">
        <v>1356</v>
      </c>
      <c r="C502" s="423">
        <f>_xlfn.XLOOKUP(A502,INPUT_DATA!$CJ$4:$CJ$397,INPUT_DATA!$CL$4:$CL$397)</f>
        <v>10054059</v>
      </c>
      <c r="D502" s="424">
        <f>Top20Deb3738[[#This Row],[Principal Outstanding Balance]]/Top20Deb3738[[#Totals],[Principal Outstanding Balance]]</f>
        <v>2.5695636468289977E-2</v>
      </c>
      <c r="E502" s="425">
        <f>_xlfn.XLOOKUP(A502,INPUT_DATA!$CJ$4:$CJ$397,INPUT_DATA!$CM$4:$CM$397)</f>
        <v>24</v>
      </c>
      <c r="F502" s="424">
        <f>Top20Deb3738[[#This Row],[Nb of Loans]]/Top20Deb3738[[#Totals],[Nb of Loans]]</f>
        <v>2.5945945945945945E-2</v>
      </c>
    </row>
    <row r="503" spans="1:6" x14ac:dyDescent="0.35">
      <c r="A503" s="427" t="s">
        <v>1235</v>
      </c>
      <c r="B503" s="422" t="s">
        <v>1357</v>
      </c>
      <c r="C503" s="423">
        <f>_xlfn.XLOOKUP(A503,INPUT_DATA!$CJ$4:$CJ$397,INPUT_DATA!$CL$4:$CL$397)</f>
        <v>8405398</v>
      </c>
      <c r="D503" s="424">
        <f>Top20Deb3738[[#This Row],[Principal Outstanding Balance]]/Top20Deb3738[[#Totals],[Principal Outstanding Balance]]</f>
        <v>2.1482075187672128E-2</v>
      </c>
      <c r="E503" s="425">
        <f>_xlfn.XLOOKUP(A503,INPUT_DATA!$CJ$4:$CJ$397,INPUT_DATA!$CM$4:$CM$397)</f>
        <v>19</v>
      </c>
      <c r="F503" s="424">
        <f>Top20Deb3738[[#This Row],[Nb of Loans]]/Top20Deb3738[[#Totals],[Nb of Loans]]</f>
        <v>2.0540540540540539E-2</v>
      </c>
    </row>
    <row r="504" spans="1:6" x14ac:dyDescent="0.35">
      <c r="A504" s="427" t="s">
        <v>1236</v>
      </c>
      <c r="B504" s="422" t="s">
        <v>1358</v>
      </c>
      <c r="C504" s="423">
        <f>_xlfn.XLOOKUP(A504,INPUT_DATA!$CJ$4:$CJ$397,INPUT_DATA!$CL$4:$CL$397)</f>
        <v>4531440</v>
      </c>
      <c r="D504" s="424">
        <f>Top20Deb3738[[#This Row],[Principal Outstanding Balance]]/Top20Deb3738[[#Totals],[Principal Outstanding Balance]]</f>
        <v>1.1581216593006659E-2</v>
      </c>
      <c r="E504" s="425">
        <f>_xlfn.XLOOKUP(A504,INPUT_DATA!$CJ$4:$CJ$397,INPUT_DATA!$CM$4:$CM$397)</f>
        <v>12</v>
      </c>
      <c r="F504" s="424">
        <f>Top20Deb3738[[#This Row],[Nb of Loans]]/Top20Deb3738[[#Totals],[Nb of Loans]]</f>
        <v>1.2972972972972972E-2</v>
      </c>
    </row>
    <row r="505" spans="1:6" x14ac:dyDescent="0.35">
      <c r="A505" s="427" t="s">
        <v>1237</v>
      </c>
      <c r="B505" s="422" t="s">
        <v>1359</v>
      </c>
      <c r="C505" s="423">
        <f>_xlfn.XLOOKUP(A505,INPUT_DATA!$CJ$4:$CJ$397,INPUT_DATA!$CL$4:$CL$397)</f>
        <v>925000</v>
      </c>
      <c r="D505" s="424">
        <f>Top20Deb3738[[#This Row],[Principal Outstanding Balance]]/Top20Deb3738[[#Totals],[Principal Outstanding Balance]]</f>
        <v>2.3640664664060784E-3</v>
      </c>
      <c r="E505" s="425">
        <f>_xlfn.XLOOKUP(A505,INPUT_DATA!$CJ$4:$CJ$397,INPUT_DATA!$CM$4:$CM$397)</f>
        <v>2</v>
      </c>
      <c r="F505" s="424">
        <f>Top20Deb3738[[#This Row],[Nb of Loans]]/Top20Deb3738[[#Totals],[Nb of Loans]]</f>
        <v>2.1621621621621622E-3</v>
      </c>
    </row>
    <row r="506" spans="1:6" x14ac:dyDescent="0.35">
      <c r="A506" s="427" t="s">
        <v>1238</v>
      </c>
      <c r="B506" s="422" t="s">
        <v>1360</v>
      </c>
      <c r="C506" s="423">
        <f>_xlfn.XLOOKUP(A506,INPUT_DATA!$CJ$4:$CJ$397,INPUT_DATA!$CL$4:$CL$397)</f>
        <v>0</v>
      </c>
      <c r="D506" s="424">
        <f>Top20Deb3738[[#This Row],[Principal Outstanding Balance]]/Top20Deb3738[[#Totals],[Principal Outstanding Balance]]</f>
        <v>0</v>
      </c>
      <c r="E506" s="425">
        <f>_xlfn.XLOOKUP(A506,INPUT_DATA!$CJ$4:$CJ$397,INPUT_DATA!$CM$4:$CM$397)</f>
        <v>0</v>
      </c>
      <c r="F506" s="424">
        <f>Top20Deb3738[[#This Row],[Nb of Loans]]/Top20Deb3738[[#Totals],[Nb of Loans]]</f>
        <v>0</v>
      </c>
    </row>
    <row r="507" spans="1:6" x14ac:dyDescent="0.35">
      <c r="A507" s="427" t="s">
        <v>1239</v>
      </c>
      <c r="B507" s="422" t="s">
        <v>1361</v>
      </c>
      <c r="C507" s="423">
        <f>_xlfn.XLOOKUP(A507,INPUT_DATA!$CJ$4:$CJ$397,INPUT_DATA!$CL$4:$CL$397)</f>
        <v>25121172.559999999</v>
      </c>
      <c r="D507" s="424">
        <f>Top20Deb3738[[#This Row],[Principal Outstanding Balance]]/Top20Deb3738[[#Totals],[Principal Outstanding Balance]]</f>
        <v>6.4203374752320574E-2</v>
      </c>
      <c r="E507" s="425">
        <f>_xlfn.XLOOKUP(A507,INPUT_DATA!$CJ$4:$CJ$397,INPUT_DATA!$CM$4:$CM$397)</f>
        <v>56</v>
      </c>
      <c r="F507" s="424">
        <f>Top20Deb3738[[#This Row],[Nb of Loans]]/Top20Deb3738[[#Totals],[Nb of Loans]]</f>
        <v>6.054054054054054E-2</v>
      </c>
    </row>
    <row r="508" spans="1:6" x14ac:dyDescent="0.35">
      <c r="A508" s="427" t="s">
        <v>1240</v>
      </c>
      <c r="B508" s="422" t="s">
        <v>1362</v>
      </c>
      <c r="C508" s="423">
        <f>_xlfn.XLOOKUP(A508,INPUT_DATA!$CJ$4:$CJ$397,INPUT_DATA!$CL$4:$CL$397)</f>
        <v>5908639</v>
      </c>
      <c r="D508" s="424">
        <f>Top20Deb3738[[#This Row],[Principal Outstanding Balance]]/Top20Deb3738[[#Totals],[Principal Outstanding Balance]]</f>
        <v>1.5100989537296373E-2</v>
      </c>
      <c r="E508" s="425">
        <f>_xlfn.XLOOKUP(A508,INPUT_DATA!$CJ$4:$CJ$397,INPUT_DATA!$CM$4:$CM$397)</f>
        <v>16</v>
      </c>
      <c r="F508" s="424">
        <f>Top20Deb3738[[#This Row],[Nb of Loans]]/Top20Deb3738[[#Totals],[Nb of Loans]]</f>
        <v>1.7297297297297298E-2</v>
      </c>
    </row>
    <row r="509" spans="1:6" x14ac:dyDescent="0.35">
      <c r="A509" s="427" t="s">
        <v>1241</v>
      </c>
      <c r="B509" s="422" t="s">
        <v>1363</v>
      </c>
      <c r="C509" s="423">
        <f>_xlfn.XLOOKUP(A509,INPUT_DATA!$CJ$4:$CJ$397,INPUT_DATA!$CL$4:$CL$397)</f>
        <v>5391907.4299999997</v>
      </c>
      <c r="D509" s="424">
        <f>Top20Deb3738[[#This Row],[Principal Outstanding Balance]]/Top20Deb3738[[#Totals],[Principal Outstanding Balance]]</f>
        <v>1.3780354102950032E-2</v>
      </c>
      <c r="E509" s="425">
        <f>_xlfn.XLOOKUP(A509,INPUT_DATA!$CJ$4:$CJ$397,INPUT_DATA!$CM$4:$CM$397)</f>
        <v>17</v>
      </c>
      <c r="F509" s="424">
        <f>Top20Deb3738[[#This Row],[Nb of Loans]]/Top20Deb3738[[#Totals],[Nb of Loans]]</f>
        <v>1.8378378378378378E-2</v>
      </c>
    </row>
    <row r="510" spans="1:6" x14ac:dyDescent="0.35">
      <c r="A510" s="427" t="s">
        <v>1242</v>
      </c>
      <c r="B510" s="422" t="s">
        <v>1364</v>
      </c>
      <c r="C510" s="423">
        <f>_xlfn.XLOOKUP(A510,INPUT_DATA!$CJ$4:$CJ$397,INPUT_DATA!$CL$4:$CL$397)</f>
        <v>1133000</v>
      </c>
      <c r="D510" s="424">
        <f>Top20Deb3738[[#This Row],[Principal Outstanding Balance]]/Top20Deb3738[[#Totals],[Principal Outstanding Balance]]</f>
        <v>2.89566195290604E-3</v>
      </c>
      <c r="E510" s="425">
        <f>_xlfn.XLOOKUP(A510,INPUT_DATA!$CJ$4:$CJ$397,INPUT_DATA!$CM$4:$CM$397)</f>
        <v>4</v>
      </c>
      <c r="F510" s="424">
        <f>Top20Deb3738[[#This Row],[Nb of Loans]]/Top20Deb3738[[#Totals],[Nb of Loans]]</f>
        <v>4.3243243243243244E-3</v>
      </c>
    </row>
    <row r="511" spans="1:6" x14ac:dyDescent="0.35">
      <c r="A511" s="427" t="s">
        <v>1243</v>
      </c>
      <c r="B511" s="422" t="s">
        <v>1365</v>
      </c>
      <c r="C511" s="423">
        <f>_xlfn.XLOOKUP(A511,INPUT_DATA!$CJ$4:$CJ$397,INPUT_DATA!$CL$4:$CL$397)</f>
        <v>0</v>
      </c>
      <c r="D511" s="424">
        <f>Top20Deb3738[[#This Row],[Principal Outstanding Balance]]/Top20Deb3738[[#Totals],[Principal Outstanding Balance]]</f>
        <v>0</v>
      </c>
      <c r="E511" s="425">
        <f>_xlfn.XLOOKUP(A511,INPUT_DATA!$CJ$4:$CJ$397,INPUT_DATA!$CM$4:$CM$397)</f>
        <v>0</v>
      </c>
      <c r="F511" s="424">
        <f>Top20Deb3738[[#This Row],[Nb of Loans]]/Top20Deb3738[[#Totals],[Nb of Loans]]</f>
        <v>0</v>
      </c>
    </row>
    <row r="512" spans="1:6" x14ac:dyDescent="0.35">
      <c r="A512" s="427" t="s">
        <v>1244</v>
      </c>
      <c r="B512" s="422" t="s">
        <v>1366</v>
      </c>
      <c r="C512" s="423">
        <f>_xlfn.XLOOKUP(A512,INPUT_DATA!$CJ$4:$CJ$397,INPUT_DATA!$CL$4:$CL$397)</f>
        <v>0</v>
      </c>
      <c r="D512" s="424">
        <f>Top20Deb3738[[#This Row],[Principal Outstanding Balance]]/Top20Deb3738[[#Totals],[Principal Outstanding Balance]]</f>
        <v>0</v>
      </c>
      <c r="E512" s="425">
        <f>_xlfn.XLOOKUP(A512,INPUT_DATA!$CJ$4:$CJ$397,INPUT_DATA!$CM$4:$CM$397)</f>
        <v>0</v>
      </c>
      <c r="F512" s="424">
        <f>Top20Deb3738[[#This Row],[Nb of Loans]]/Top20Deb3738[[#Totals],[Nb of Loans]]</f>
        <v>0</v>
      </c>
    </row>
    <row r="513" spans="1:8" x14ac:dyDescent="0.35">
      <c r="A513" s="427" t="s">
        <v>521</v>
      </c>
      <c r="B513" s="422" t="s">
        <v>1367</v>
      </c>
      <c r="C513" s="423">
        <f>_xlfn.XLOOKUP(A513,INPUT_DATA!$CJ$4:$CJ$397,INPUT_DATA!$CL$4:$CL$397)</f>
        <v>0</v>
      </c>
      <c r="D513" s="424">
        <f>Top20Deb3738[[#This Row],[Principal Outstanding Balance]]/Top20Deb3738[[#Totals],[Principal Outstanding Balance]]</f>
        <v>0</v>
      </c>
      <c r="E513" s="425">
        <f>_xlfn.XLOOKUP(A513,INPUT_DATA!$CJ$4:$CJ$397,INPUT_DATA!$CM$4:$CM$397)</f>
        <v>0</v>
      </c>
      <c r="F513" s="424">
        <f>Top20Deb3738[[#This Row],[Nb of Loans]]/Top20Deb3738[[#Totals],[Nb of Loans]]</f>
        <v>0</v>
      </c>
    </row>
    <row r="514" spans="1:8" x14ac:dyDescent="0.35">
      <c r="A514" s="427" t="s">
        <v>522</v>
      </c>
      <c r="B514" s="422" t="s">
        <v>1368</v>
      </c>
      <c r="C514" s="423">
        <f>_xlfn.XLOOKUP(A514,INPUT_DATA!$CJ$4:$CJ$397,INPUT_DATA!$CL$4:$CL$397)</f>
        <v>0</v>
      </c>
      <c r="D514" s="424">
        <f>Top20Deb3738[[#This Row],[Principal Outstanding Balance]]/Top20Deb3738[[#Totals],[Principal Outstanding Balance]]</f>
        <v>0</v>
      </c>
      <c r="E514" s="425">
        <f>_xlfn.XLOOKUP(A514,INPUT_DATA!$CJ$4:$CJ$397,INPUT_DATA!$CM$4:$CM$397)</f>
        <v>0</v>
      </c>
      <c r="F514" s="424">
        <f>Top20Deb3738[[#This Row],[Nb of Loans]]/Top20Deb3738[[#Totals],[Nb of Loans]]</f>
        <v>0</v>
      </c>
    </row>
    <row r="515" spans="1:8" x14ac:dyDescent="0.35">
      <c r="A515" s="427" t="s">
        <v>523</v>
      </c>
      <c r="B515" s="422" t="s">
        <v>1369</v>
      </c>
      <c r="C515" s="423">
        <f>_xlfn.XLOOKUP(A515,INPUT_DATA!$CJ$4:$CJ$397,INPUT_DATA!$CL$4:$CL$397)</f>
        <v>0</v>
      </c>
      <c r="D515" s="424">
        <f>Top20Deb3738[[#This Row],[Principal Outstanding Balance]]/Top20Deb3738[[#Totals],[Principal Outstanding Balance]]</f>
        <v>0</v>
      </c>
      <c r="E515" s="425">
        <f>_xlfn.XLOOKUP(A515,INPUT_DATA!$CJ$4:$CJ$397,INPUT_DATA!$CM$4:$CM$397)</f>
        <v>0</v>
      </c>
      <c r="F515" s="424">
        <f>Top20Deb3738[[#This Row],[Nb of Loans]]/Top20Deb3738[[#Totals],[Nb of Loans]]</f>
        <v>0</v>
      </c>
    </row>
    <row r="516" spans="1:8" x14ac:dyDescent="0.35">
      <c r="A516" s="427" t="s">
        <v>1245</v>
      </c>
      <c r="B516" s="422" t="s">
        <v>1370</v>
      </c>
      <c r="C516" s="423">
        <f>_xlfn.XLOOKUP(A516,INPUT_DATA!$CJ$4:$CJ$397,INPUT_DATA!$CL$4:$CL$397)</f>
        <v>0</v>
      </c>
      <c r="D516" s="424">
        <f>Top20Deb3738[[#This Row],[Principal Outstanding Balance]]/Top20Deb3738[[#Totals],[Principal Outstanding Balance]]</f>
        <v>0</v>
      </c>
      <c r="E516" s="425">
        <f>_xlfn.XLOOKUP(A516,INPUT_DATA!$CJ$4:$CJ$397,INPUT_DATA!$CM$4:$CM$397)</f>
        <v>0</v>
      </c>
      <c r="F516" s="424">
        <f>Top20Deb3738[[#This Row],[Nb of Loans]]/Top20Deb3738[[#Totals],[Nb of Loans]]</f>
        <v>0</v>
      </c>
    </row>
    <row r="517" spans="1:8" x14ac:dyDescent="0.35">
      <c r="A517" s="427" t="s">
        <v>1246</v>
      </c>
      <c r="B517" s="422" t="s">
        <v>1371</v>
      </c>
      <c r="C517" s="423">
        <f>_xlfn.XLOOKUP(A517,INPUT_DATA!$CJ$4:$CJ$397,INPUT_DATA!$CL$4:$CL$397)</f>
        <v>0</v>
      </c>
      <c r="D517" s="424">
        <f>Top20Deb3738[[#This Row],[Principal Outstanding Balance]]/Top20Deb3738[[#Totals],[Principal Outstanding Balance]]</f>
        <v>0</v>
      </c>
      <c r="E517" s="425">
        <f>_xlfn.XLOOKUP(A517,INPUT_DATA!$CJ$4:$CJ$397,INPUT_DATA!$CM$4:$CM$397)</f>
        <v>0</v>
      </c>
      <c r="F517" s="424">
        <f>Top20Deb3738[[#This Row],[Nb of Loans]]/Top20Deb3738[[#Totals],[Nb of Loans]]</f>
        <v>0</v>
      </c>
    </row>
    <row r="518" spans="1:8" x14ac:dyDescent="0.35">
      <c r="A518" s="427" t="s">
        <v>1247</v>
      </c>
      <c r="B518" s="422" t="s">
        <v>1270</v>
      </c>
      <c r="C518" s="423">
        <f>_xlfn.XLOOKUP(A518,INPUT_DATA!$CJ$4:$CJ$397,INPUT_DATA!$CL$4:$CL$397)</f>
        <v>400000</v>
      </c>
      <c r="D518" s="424">
        <f>Top20Deb3738[[#This Row],[Principal Outstanding Balance]]/Top20Deb3738[[#Totals],[Principal Outstanding Balance]]</f>
        <v>1.0222990124999257E-3</v>
      </c>
      <c r="E518" s="425">
        <f>_xlfn.XLOOKUP(A518,INPUT_DATA!$CJ$4:$CJ$397,INPUT_DATA!$CM$4:$CM$397)</f>
        <v>1</v>
      </c>
      <c r="F518" s="424">
        <f>Top20Deb3738[[#This Row],[Nb of Loans]]/Top20Deb3738[[#Totals],[Nb of Loans]]</f>
        <v>1.0810810810810811E-3</v>
      </c>
    </row>
    <row r="519" spans="1:8" x14ac:dyDescent="0.35">
      <c r="A519" s="427"/>
      <c r="B519" s="718" t="s">
        <v>2</v>
      </c>
      <c r="C519" s="805">
        <f>SUBTOTAL(109,Top20Deb3738[Principal Outstanding Balance])</f>
        <v>391274954.88999999</v>
      </c>
      <c r="D519" s="806">
        <f>SUBTOTAL(109,Top20Deb3738[% of Total (Amount)])</f>
        <v>1.0000000000000004</v>
      </c>
      <c r="E519" s="807">
        <f>SUBTOTAL(109,Top20Deb3738[Nb of Loans])</f>
        <v>925</v>
      </c>
      <c r="F519" s="806">
        <f>SUBTOTAL(109,Top20Deb3738[% of Total (Number)])</f>
        <v>0.99999999999999978</v>
      </c>
    </row>
    <row r="520" spans="1:8" x14ac:dyDescent="0.35">
      <c r="A520" s="427"/>
      <c r="B520" s="422"/>
      <c r="C520" s="423"/>
      <c r="D520" s="424"/>
      <c r="E520" s="425"/>
      <c r="F520" s="424"/>
      <c r="H520" s="487" t="s">
        <v>654</v>
      </c>
    </row>
  </sheetData>
  <mergeCells count="1">
    <mergeCell ref="B25:C25"/>
  </mergeCells>
  <phoneticPr fontId="159" type="noConversion"/>
  <conditionalFormatting sqref="D46:D53">
    <cfRule type="dataBar" priority="26">
      <dataBar>
        <cfvo type="min"/>
        <cfvo type="max"/>
        <color rgb="FF638EC6"/>
      </dataBar>
      <extLst>
        <ext xmlns:x14="http://schemas.microsoft.com/office/spreadsheetml/2009/9/main" uri="{B025F937-C7B1-47D3-B67F-A62EFF666E3E}">
          <x14:id>{4C8B1D84-6D31-40AF-98BA-E439EADEB14F}</x14:id>
        </ext>
      </extLst>
    </cfRule>
  </conditionalFormatting>
  <conditionalFormatting sqref="D59:D66">
    <cfRule type="dataBar" priority="24">
      <dataBar>
        <cfvo type="min"/>
        <cfvo type="max"/>
        <color rgb="FF638EC6"/>
      </dataBar>
      <extLst>
        <ext xmlns:x14="http://schemas.microsoft.com/office/spreadsheetml/2009/9/main" uri="{B025F937-C7B1-47D3-B67F-A62EFF666E3E}">
          <x14:id>{87B36645-E2C1-45A7-9BA5-884E8E1617E7}</x14:id>
        </ext>
      </extLst>
    </cfRule>
  </conditionalFormatting>
  <conditionalFormatting sqref="D72">
    <cfRule type="dataBar" priority="23">
      <dataBar>
        <cfvo type="min"/>
        <cfvo type="max"/>
        <color rgb="FF638EC6"/>
      </dataBar>
      <extLst>
        <ext xmlns:x14="http://schemas.microsoft.com/office/spreadsheetml/2009/9/main" uri="{B025F937-C7B1-47D3-B67F-A62EFF666E3E}">
          <x14:id>{D10C7C38-A443-47E0-9675-858CFE738CCB}</x14:id>
        </ext>
      </extLst>
    </cfRule>
  </conditionalFormatting>
  <conditionalFormatting sqref="D72:D77">
    <cfRule type="dataBar" priority="22">
      <dataBar>
        <cfvo type="min"/>
        <cfvo type="max"/>
        <color rgb="FF638EC6"/>
      </dataBar>
      <extLst>
        <ext xmlns:x14="http://schemas.microsoft.com/office/spreadsheetml/2009/9/main" uri="{B025F937-C7B1-47D3-B67F-A62EFF666E3E}">
          <x14:id>{02641AFA-7EBC-415C-B6DD-754653F6AC42}</x14:id>
        </ext>
      </extLst>
    </cfRule>
  </conditionalFormatting>
  <conditionalFormatting sqref="D83:D88">
    <cfRule type="dataBar" priority="20">
      <dataBar>
        <cfvo type="min"/>
        <cfvo type="max"/>
        <color rgb="FF638EC6"/>
      </dataBar>
      <extLst>
        <ext xmlns:x14="http://schemas.microsoft.com/office/spreadsheetml/2009/9/main" uri="{B025F937-C7B1-47D3-B67F-A62EFF666E3E}">
          <x14:id>{EDAAB587-73CB-4271-B1D2-CF917D800639}</x14:id>
        </ext>
      </extLst>
    </cfRule>
  </conditionalFormatting>
  <conditionalFormatting sqref="D94:D100">
    <cfRule type="dataBar" priority="18">
      <dataBar>
        <cfvo type="min"/>
        <cfvo type="max"/>
        <color rgb="FF638EC6"/>
      </dataBar>
      <extLst>
        <ext xmlns:x14="http://schemas.microsoft.com/office/spreadsheetml/2009/9/main" uri="{B025F937-C7B1-47D3-B67F-A62EFF666E3E}">
          <x14:id>{82021754-B762-4139-B5C1-4F70044988D6}</x14:id>
        </ext>
      </extLst>
    </cfRule>
  </conditionalFormatting>
  <conditionalFormatting sqref="D106:D126">
    <cfRule type="dataBar" priority="17">
      <dataBar>
        <cfvo type="min"/>
        <cfvo type="max"/>
        <color rgb="FF638EC6"/>
      </dataBar>
      <extLst>
        <ext xmlns:x14="http://schemas.microsoft.com/office/spreadsheetml/2009/9/main" uri="{B025F937-C7B1-47D3-B67F-A62EFF666E3E}">
          <x14:id>{7F71A429-D46F-4DDE-A06E-2C25DACB2D5F}</x14:id>
        </ext>
      </extLst>
    </cfRule>
  </conditionalFormatting>
  <conditionalFormatting sqref="D132:D137">
    <cfRule type="dataBar" priority="16">
      <dataBar>
        <cfvo type="min"/>
        <cfvo type="max"/>
        <color rgb="FF638EC6"/>
      </dataBar>
      <extLst>
        <ext xmlns:x14="http://schemas.microsoft.com/office/spreadsheetml/2009/9/main" uri="{B025F937-C7B1-47D3-B67F-A62EFF666E3E}">
          <x14:id>{50B77AC6-E2D1-4028-BBE7-4335330A956B}</x14:id>
        </ext>
      </extLst>
    </cfRule>
  </conditionalFormatting>
  <conditionalFormatting sqref="D143:D155">
    <cfRule type="dataBar" priority="15">
      <dataBar>
        <cfvo type="min"/>
        <cfvo type="max"/>
        <color rgb="FF638EC6"/>
      </dataBar>
      <extLst>
        <ext xmlns:x14="http://schemas.microsoft.com/office/spreadsheetml/2009/9/main" uri="{B025F937-C7B1-47D3-B67F-A62EFF666E3E}">
          <x14:id>{0F0CFBD2-98B3-4BAC-B6C2-B4EA83B868EA}</x14:id>
        </ext>
      </extLst>
    </cfRule>
  </conditionalFormatting>
  <conditionalFormatting sqref="D161:D164">
    <cfRule type="dataBar" priority="14">
      <dataBar>
        <cfvo type="min"/>
        <cfvo type="max"/>
        <color rgb="FF638EC6"/>
      </dataBar>
      <extLst>
        <ext xmlns:x14="http://schemas.microsoft.com/office/spreadsheetml/2009/9/main" uri="{B025F937-C7B1-47D3-B67F-A62EFF666E3E}">
          <x14:id>{07E56FEB-0457-4ACE-A397-AAF0E6A5A88B}</x14:id>
        </ext>
      </extLst>
    </cfRule>
  </conditionalFormatting>
  <conditionalFormatting sqref="D170:D180">
    <cfRule type="dataBar" priority="13">
      <dataBar>
        <cfvo type="min"/>
        <cfvo type="max"/>
        <color rgb="FF638EC6"/>
      </dataBar>
      <extLst>
        <ext xmlns:x14="http://schemas.microsoft.com/office/spreadsheetml/2009/9/main" uri="{B025F937-C7B1-47D3-B67F-A62EFF666E3E}">
          <x14:id>{2CC3CC5C-BA29-44D3-BF42-CD495335D585}</x14:id>
        </ext>
      </extLst>
    </cfRule>
  </conditionalFormatting>
  <conditionalFormatting sqref="D186:D196">
    <cfRule type="dataBar" priority="12">
      <dataBar>
        <cfvo type="min"/>
        <cfvo type="max"/>
        <color rgb="FF638EC6"/>
      </dataBar>
      <extLst>
        <ext xmlns:x14="http://schemas.microsoft.com/office/spreadsheetml/2009/9/main" uri="{B025F937-C7B1-47D3-B67F-A62EFF666E3E}">
          <x14:id>{CDD3486B-A33C-43B8-A9D2-2CDFB9AF8D05}</x14:id>
        </ext>
      </extLst>
    </cfRule>
  </conditionalFormatting>
  <conditionalFormatting sqref="D202:D212">
    <cfRule type="dataBar" priority="11">
      <dataBar>
        <cfvo type="min"/>
        <cfvo type="max"/>
        <color rgb="FF638EC6"/>
      </dataBar>
      <extLst>
        <ext xmlns:x14="http://schemas.microsoft.com/office/spreadsheetml/2009/9/main" uri="{B025F937-C7B1-47D3-B67F-A62EFF666E3E}">
          <x14:id>{FE95A87C-FFFB-4D05-BFF1-E5FC6B1F0C47}</x14:id>
        </ext>
      </extLst>
    </cfRule>
  </conditionalFormatting>
  <conditionalFormatting sqref="D218:D228">
    <cfRule type="dataBar" priority="10">
      <dataBar>
        <cfvo type="min"/>
        <cfvo type="max"/>
        <color rgb="FF638EC6"/>
      </dataBar>
      <extLst>
        <ext xmlns:x14="http://schemas.microsoft.com/office/spreadsheetml/2009/9/main" uri="{B025F937-C7B1-47D3-B67F-A62EFF666E3E}">
          <x14:id>{DB2BFDE1-2701-4249-8EB5-D241D23B347A}</x14:id>
        </ext>
      </extLst>
    </cfRule>
  </conditionalFormatting>
  <conditionalFormatting sqref="D234:D244">
    <cfRule type="dataBar" priority="9">
      <dataBar>
        <cfvo type="min"/>
        <cfvo type="max"/>
        <color rgb="FF638EC6"/>
      </dataBar>
      <extLst>
        <ext xmlns:x14="http://schemas.microsoft.com/office/spreadsheetml/2009/9/main" uri="{B025F937-C7B1-47D3-B67F-A62EFF666E3E}">
          <x14:id>{DB4D36FB-7E09-46D6-9778-039214DF8EA5}</x14:id>
        </ext>
      </extLst>
    </cfRule>
  </conditionalFormatting>
  <conditionalFormatting sqref="D250:D254">
    <cfRule type="dataBar" priority="8">
      <dataBar>
        <cfvo type="min"/>
        <cfvo type="max"/>
        <color rgb="FF638EC6"/>
      </dataBar>
      <extLst>
        <ext xmlns:x14="http://schemas.microsoft.com/office/spreadsheetml/2009/9/main" uri="{B025F937-C7B1-47D3-B67F-A62EFF666E3E}">
          <x14:id>{22004500-86E4-476D-A9CA-BF7B835927D4}</x14:id>
        </ext>
      </extLst>
    </cfRule>
  </conditionalFormatting>
  <conditionalFormatting sqref="D260:D264">
    <cfRule type="dataBar" priority="7">
      <dataBar>
        <cfvo type="min"/>
        <cfvo type="max"/>
        <color rgb="FF638EC6"/>
      </dataBar>
      <extLst>
        <ext xmlns:x14="http://schemas.microsoft.com/office/spreadsheetml/2009/9/main" uri="{B025F937-C7B1-47D3-B67F-A62EFF666E3E}">
          <x14:id>{18D963E4-1ECA-46B9-94CD-0EFAE0BF4662}</x14:id>
        </ext>
      </extLst>
    </cfRule>
  </conditionalFormatting>
  <conditionalFormatting sqref="D270:D279">
    <cfRule type="dataBar" priority="6">
      <dataBar>
        <cfvo type="min"/>
        <cfvo type="max"/>
        <color rgb="FF638EC6"/>
      </dataBar>
      <extLst>
        <ext xmlns:x14="http://schemas.microsoft.com/office/spreadsheetml/2009/9/main" uri="{B025F937-C7B1-47D3-B67F-A62EFF666E3E}">
          <x14:id>{7663B44A-BD5F-488F-9BD5-A024FC27C955}</x14:id>
        </ext>
      </extLst>
    </cfRule>
  </conditionalFormatting>
  <conditionalFormatting sqref="D285:D304">
    <cfRule type="dataBar" priority="3">
      <dataBar>
        <cfvo type="min"/>
        <cfvo type="max"/>
        <color rgb="FF638EC6"/>
      </dataBar>
      <extLst>
        <ext xmlns:x14="http://schemas.microsoft.com/office/spreadsheetml/2009/9/main" uri="{B025F937-C7B1-47D3-B67F-A62EFF666E3E}">
          <x14:id>{1407DEFA-948A-4A83-98BF-A9E4F6BBB338}</x14:id>
        </ext>
      </extLst>
    </cfRule>
  </conditionalFormatting>
  <conditionalFormatting sqref="D310:D411">
    <cfRule type="dataBar" priority="2">
      <dataBar>
        <cfvo type="min"/>
        <cfvo type="max"/>
        <color rgb="FF638EC6"/>
      </dataBar>
      <extLst>
        <ext xmlns:x14="http://schemas.microsoft.com/office/spreadsheetml/2009/9/main" uri="{B025F937-C7B1-47D3-B67F-A62EFF666E3E}">
          <x14:id>{E52227FD-804B-4F47-9074-84B84F855798}</x14:id>
        </ext>
      </extLst>
    </cfRule>
  </conditionalFormatting>
  <conditionalFormatting sqref="D417:D518">
    <cfRule type="dataBar" priority="1">
      <dataBar>
        <cfvo type="min"/>
        <cfvo type="max"/>
        <color rgb="FF638EC6"/>
      </dataBar>
      <extLst>
        <ext xmlns:x14="http://schemas.microsoft.com/office/spreadsheetml/2009/9/main" uri="{B025F937-C7B1-47D3-B67F-A62EFF666E3E}">
          <x14:id>{BABB7D44-1D8E-4E39-A400-6196FDF1A9F9}</x14:id>
        </ext>
      </extLst>
    </cfRule>
  </conditionalFormatting>
  <hyperlinks>
    <hyperlink ref="B12" location="Summary" display="Summary Statistics" xr:uid="{3A9176DB-02D9-4FF3-A91E-C24A71C289A0}"/>
    <hyperlink ref="B13" location="'07 - Breakdown Statistics'!A1" display="1. Breakdown by Principal Outstanding Balance" xr:uid="{2F1818B5-D6CA-4A3F-A7A8-1007EC7D7D3D}"/>
    <hyperlink ref="B14" location="'07 - Breakdown Statistics'!A1" display="2. Breakdown by Principal Original Balance" xr:uid="{BC8F6B94-DB0E-48E7-94B4-8ECF141C07C8}"/>
    <hyperlink ref="B15" location="'Breakdown Statistics'!B78" display="3. Breakdown by Seasoning" xr:uid="{7866E37F-73BB-44F0-8B0B-30CB76A960B2}"/>
    <hyperlink ref="B16" location="'Breakdown Statistics'!B89" display="4. Breakdown by Remaining Term to Maturity" xr:uid="{B7ABC129-407E-4380-81D9-59A953A0E239}"/>
    <hyperlink ref="H41" location="'07 - Breakdown Statistics'!A1" display="&gt;&gt; Up" xr:uid="{0E66524D-AC7E-4B7F-A313-4086D44CC864}"/>
    <hyperlink ref="H68" location="'Breakdown Statistics'!A1" display="&gt;&gt; Up" xr:uid="{4A0E6724-F8D6-4E49-9C66-D22619C449BE}"/>
    <hyperlink ref="H79" location="'Breakdown Statistics'!A1" display="&gt;&gt; Up" xr:uid="{78F66F4C-0F42-4F8E-8175-D0329180BBDD}"/>
    <hyperlink ref="H90" location="'Breakdown Statistics'!A1" display="&gt;&gt; Up" xr:uid="{65FECBC8-F311-470F-8ADF-6BD2290879E0}"/>
    <hyperlink ref="H128" location="'Breakdown Statistics'!A1" display="&gt;&gt; Up" xr:uid="{F5B6ED42-F957-47DF-8A9B-7A3C27B5ABF5}"/>
    <hyperlink ref="H139" location="'Breakdown Statistics'!A1" display="&gt;&gt; Up" xr:uid="{61A990D2-411D-4F31-B795-DC6EC101FFD9}"/>
    <hyperlink ref="H157" location="'Breakdown Statistics'!A1" display="&gt;&gt; Up" xr:uid="{087AC763-B63A-4BFB-B8ED-B6A828B38CA7}"/>
    <hyperlink ref="H198" location="'Breakdown Statistics'!A1" display="&gt;&gt; Up" xr:uid="{387663DC-248E-4981-942A-EF089F03C588}"/>
    <hyperlink ref="H214" location="'Breakdown Statistics'!A1" display="&gt;&gt; Up" xr:uid="{8A7F87E9-4829-47D9-A794-06F5898B965C}"/>
    <hyperlink ref="H256" location="'Breakdown Statistics'!A1" display="&gt;&gt; Up" xr:uid="{8E5F2C16-0137-4B89-A772-1EA20054A515}"/>
    <hyperlink ref="H306" location="'Breakdown Statistics'!A1" display="&gt;&gt; Up" xr:uid="{08DEFC00-01AA-45EC-99DA-BAAD0BD1C8EB}"/>
    <hyperlink ref="B17" location="'Breakdown Statistics'!B101" display="5. Breakdown by Original Term to Maturity" xr:uid="{D48B03EF-9217-4149-B207-3CE3A2ABD89D}"/>
    <hyperlink ref="H55" location="'Breakdown Statistics'!A1" display="&gt;&gt; Up" xr:uid="{EB6A7D1A-5B37-4519-94CF-76DF4650B557}"/>
    <hyperlink ref="H102" location="'Breakdown Statistics'!A1" display="&gt;&gt; Up" xr:uid="{861C85B6-0461-4108-8749-59162D67E14D}"/>
    <hyperlink ref="H166" location="'Breakdown Statistics'!A1" display="&gt;&gt; Up" xr:uid="{024885C4-D633-4380-99FE-5DA959756E3D}"/>
    <hyperlink ref="H182" location="'Breakdown Statistics'!A1" display="&gt;&gt; Up" xr:uid="{9602A376-89BD-4CD5-AC3A-127BA86FC166}"/>
    <hyperlink ref="H230" location="'Breakdown Statistics'!A1" display="&gt;&gt; Up" xr:uid="{91BB1FA3-8BBF-43D5-85D4-A76CD1EBFC6B}"/>
    <hyperlink ref="H246" location="'07 - Breakdown Statistics'!A1" display="&gt;&gt; Up" xr:uid="{C0989267-0940-4752-A3CA-AA9DCE7849CA}"/>
    <hyperlink ref="H266" location="'Breakdown Statistics'!A1" display="&gt;&gt; Up" xr:uid="{3526D354-2B59-4E4A-81AE-B15E037E922C}"/>
    <hyperlink ref="H281" location="'Breakdown Statistics'!A1" display="&gt;&gt; Up" xr:uid="{2B4F04F5-5C83-4270-A027-38665E2A56C3}"/>
    <hyperlink ref="H413" location="'Breakdown Statistics'!A1" display="&gt;&gt; Up" xr:uid="{36071401-06A1-4291-B80A-1A232670A9C8}"/>
    <hyperlink ref="H520" location="'Breakdown Statistics'!A1" display="&gt;&gt; Up" xr:uid="{B4C73898-B41C-44D2-A4DD-8501B9A8733E}"/>
    <hyperlink ref="B19" location="'Breakdown Statistics'!B138" display="7. Breakdown by Interest Rate" xr:uid="{4FAD590A-B7D6-4BF3-9A05-C69B92CD76BB}"/>
    <hyperlink ref="B20" location="'Breakdown Statistics'!B156" display="8. Breakdown by Interest Rate Type" xr:uid="{129F83D5-1683-4B4C-8975-8B0B35437179}"/>
    <hyperlink ref="B18" location="'Breakdown Statistics'!B127" display="6. Breakdown by Year of Origination" xr:uid="{7753FBF9-00DB-4FF7-82EF-304915167C48}"/>
    <hyperlink ref="C13" location="'Breakdown Statistics'!B197" display="11. Breakdown by Original Loan-to-Value" xr:uid="{76CB05D3-A839-48C9-904A-789E5D4F42D2}"/>
    <hyperlink ref="B21" location="'Breakdown Statistics'!B165" display="9. Breakdown by Guarantee Provider" xr:uid="{69206EEB-125B-4628-8203-D22FDE5D0709}"/>
    <hyperlink ref="B22" location="'Breakdown Statistics'!B181" display="10. Breakdown by Current Loan-to-Value" xr:uid="{2206368B-A288-4FC2-8006-EB1F53D9AFAA}"/>
    <hyperlink ref="C14" location="'Breakdown Statistics'!B213" display="12. Current Loan-to-Value (Mortgages)" xr:uid="{0922F1CA-552E-41A5-B058-F2AD1D98E18A}"/>
    <hyperlink ref="C15" location="'Breakdown Statistics'!B229" display="13.  Breakdown by Original Loan-to-Value (Mortgages)" xr:uid="{0F989B00-4E31-4A9F-B535-B592DC5766E1}"/>
    <hyperlink ref="C16" location="'Breakdown Statistics'!B244" display="14. Breakdown by Loan Purpose" xr:uid="{C6CE9539-0BD0-4F63-806C-28C451346274}"/>
    <hyperlink ref="C17" location="'Breakdown Statistics'!B254" display="15. Breakdown by Amortisation Type" xr:uid="{2F7AA656-9B48-4E3E-B47D-CA771335B01D}"/>
    <hyperlink ref="C18" location="'Breakdown Statistics'!B264" display="16. Breakdown by Payment Frequency" xr:uid="{92D7D48F-4340-4961-B272-8005E102CC92}"/>
    <hyperlink ref="C19" location="'Breakdown Statistics'!B279" display="17. Breakdown by Employment Type" xr:uid="{57F8DB66-A1C3-4308-8B99-808503FD9924}"/>
    <hyperlink ref="C20" location="'Breakdown Statistics'!B304" display="18. Top 20 Borrowers" xr:uid="{984CDFD0-15C6-46AE-9927-7B28C6EADDAF}"/>
    <hyperlink ref="C21" location="'Breakdown Statistics'!B411" display="19. Breakdown by Property Department" xr:uid="{DE73AD39-1796-4938-9E56-5B2011E092AB}"/>
    <hyperlink ref="C22" location="'Breakdown Statistics'!B517" display="20. Breakdown by Property Department (Mortgages)" xr:uid="{15A4A6FF-16D5-4A40-9A39-8CD771EB43F7}"/>
  </hyperlinks>
  <pageMargins left="0.7" right="0.7" top="0.75" bottom="0.75" header="0.3" footer="0.3"/>
  <pageSetup paperSize="9" orientation="portrait" r:id="rId1"/>
  <ignoredErrors>
    <ignoredError sqref="A118:A126 A155" twoDigitTextYear="1"/>
  </ignoredErrors>
  <drawing r:id="rId2"/>
  <tableParts count="20">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extLst>
    <ext xmlns:x14="http://schemas.microsoft.com/office/spreadsheetml/2009/9/main" uri="{78C0D931-6437-407d-A8EE-F0AAD7539E65}">
      <x14:conditionalFormattings>
        <x14:conditionalFormatting xmlns:xm="http://schemas.microsoft.com/office/excel/2006/main">
          <x14:cfRule type="dataBar" id="{4C8B1D84-6D31-40AF-98BA-E439EADEB14F}">
            <x14:dataBar minLength="0" maxLength="100" border="1" negativeBarBorderColorSameAsPositive="0">
              <x14:cfvo type="autoMin"/>
              <x14:cfvo type="autoMax"/>
              <x14:borderColor rgb="FF638EC6"/>
              <x14:negativeFillColor rgb="FFFF0000"/>
              <x14:negativeBorderColor rgb="FFFF0000"/>
              <x14:axisColor rgb="FF000000"/>
            </x14:dataBar>
          </x14:cfRule>
          <xm:sqref>D46:D53</xm:sqref>
        </x14:conditionalFormatting>
        <x14:conditionalFormatting xmlns:xm="http://schemas.microsoft.com/office/excel/2006/main">
          <x14:cfRule type="dataBar" id="{87B36645-E2C1-45A7-9BA5-884E8E1617E7}">
            <x14:dataBar minLength="0" maxLength="100" border="1" negativeBarBorderColorSameAsPositive="0">
              <x14:cfvo type="autoMin"/>
              <x14:cfvo type="autoMax"/>
              <x14:borderColor rgb="FF638EC6"/>
              <x14:negativeFillColor rgb="FFFF0000"/>
              <x14:negativeBorderColor rgb="FFFF0000"/>
              <x14:axisColor rgb="FF000000"/>
            </x14:dataBar>
          </x14:cfRule>
          <xm:sqref>D59:D66</xm:sqref>
        </x14:conditionalFormatting>
        <x14:conditionalFormatting xmlns:xm="http://schemas.microsoft.com/office/excel/2006/main">
          <x14:cfRule type="dataBar" id="{D10C7C38-A443-47E0-9675-858CFE738CCB}">
            <x14:dataBar minLength="0" maxLength="100" border="1" negativeBarBorderColorSameAsPositive="0">
              <x14:cfvo type="autoMin"/>
              <x14:cfvo type="autoMax"/>
              <x14:borderColor rgb="FF638EC6"/>
              <x14:negativeFillColor rgb="FFFF0000"/>
              <x14:negativeBorderColor rgb="FFFF0000"/>
              <x14:axisColor rgb="FF000000"/>
            </x14:dataBar>
          </x14:cfRule>
          <xm:sqref>D72</xm:sqref>
        </x14:conditionalFormatting>
        <x14:conditionalFormatting xmlns:xm="http://schemas.microsoft.com/office/excel/2006/main">
          <x14:cfRule type="dataBar" id="{02641AFA-7EBC-415C-B6DD-754653F6AC42}">
            <x14:dataBar minLength="0" maxLength="100" border="1" negativeBarBorderColorSameAsPositive="0">
              <x14:cfvo type="autoMin"/>
              <x14:cfvo type="autoMax"/>
              <x14:borderColor rgb="FF638EC6"/>
              <x14:negativeFillColor rgb="FFFF0000"/>
              <x14:negativeBorderColor rgb="FFFF0000"/>
              <x14:axisColor rgb="FF000000"/>
            </x14:dataBar>
          </x14:cfRule>
          <xm:sqref>D72:D77</xm:sqref>
        </x14:conditionalFormatting>
        <x14:conditionalFormatting xmlns:xm="http://schemas.microsoft.com/office/excel/2006/main">
          <x14:cfRule type="dataBar" id="{EDAAB587-73CB-4271-B1D2-CF917D800639}">
            <x14:dataBar minLength="0" maxLength="100" border="1" negativeBarBorderColorSameAsPositive="0">
              <x14:cfvo type="autoMin"/>
              <x14:cfvo type="autoMax"/>
              <x14:borderColor rgb="FF638EC6"/>
              <x14:negativeFillColor rgb="FFFF0000"/>
              <x14:negativeBorderColor rgb="FFFF0000"/>
              <x14:axisColor rgb="FF000000"/>
            </x14:dataBar>
          </x14:cfRule>
          <xm:sqref>D83:D88</xm:sqref>
        </x14:conditionalFormatting>
        <x14:conditionalFormatting xmlns:xm="http://schemas.microsoft.com/office/excel/2006/main">
          <x14:cfRule type="dataBar" id="{82021754-B762-4139-B5C1-4F70044988D6}">
            <x14:dataBar minLength="0" maxLength="100" border="1" negativeBarBorderColorSameAsPositive="0">
              <x14:cfvo type="autoMin"/>
              <x14:cfvo type="autoMax"/>
              <x14:borderColor rgb="FF638EC6"/>
              <x14:negativeFillColor rgb="FFFF0000"/>
              <x14:negativeBorderColor rgb="FFFF0000"/>
              <x14:axisColor rgb="FF000000"/>
            </x14:dataBar>
          </x14:cfRule>
          <xm:sqref>D94:D100</xm:sqref>
        </x14:conditionalFormatting>
        <x14:conditionalFormatting xmlns:xm="http://schemas.microsoft.com/office/excel/2006/main">
          <x14:cfRule type="dataBar" id="{7F71A429-D46F-4DDE-A06E-2C25DACB2D5F}">
            <x14:dataBar minLength="0" maxLength="100" border="1" negativeBarBorderColorSameAsPositive="0">
              <x14:cfvo type="autoMin"/>
              <x14:cfvo type="autoMax"/>
              <x14:borderColor rgb="FF638EC6"/>
              <x14:negativeFillColor rgb="FFFF0000"/>
              <x14:negativeBorderColor rgb="FFFF0000"/>
              <x14:axisColor rgb="FF000000"/>
            </x14:dataBar>
          </x14:cfRule>
          <xm:sqref>D106:D126</xm:sqref>
        </x14:conditionalFormatting>
        <x14:conditionalFormatting xmlns:xm="http://schemas.microsoft.com/office/excel/2006/main">
          <x14:cfRule type="dataBar" id="{50B77AC6-E2D1-4028-BBE7-4335330A956B}">
            <x14:dataBar minLength="0" maxLength="100" border="1" negativeBarBorderColorSameAsPositive="0">
              <x14:cfvo type="autoMin"/>
              <x14:cfvo type="autoMax"/>
              <x14:borderColor rgb="FF638EC6"/>
              <x14:negativeFillColor rgb="FFFF0000"/>
              <x14:negativeBorderColor rgb="FFFF0000"/>
              <x14:axisColor rgb="FF000000"/>
            </x14:dataBar>
          </x14:cfRule>
          <xm:sqref>D132:D137</xm:sqref>
        </x14:conditionalFormatting>
        <x14:conditionalFormatting xmlns:xm="http://schemas.microsoft.com/office/excel/2006/main">
          <x14:cfRule type="dataBar" id="{0F0CFBD2-98B3-4BAC-B6C2-B4EA83B868EA}">
            <x14:dataBar minLength="0" maxLength="100" border="1" negativeBarBorderColorSameAsPositive="0">
              <x14:cfvo type="autoMin"/>
              <x14:cfvo type="autoMax"/>
              <x14:borderColor rgb="FF638EC6"/>
              <x14:negativeFillColor rgb="FFFF0000"/>
              <x14:negativeBorderColor rgb="FFFF0000"/>
              <x14:axisColor rgb="FF000000"/>
            </x14:dataBar>
          </x14:cfRule>
          <xm:sqref>D143:D155</xm:sqref>
        </x14:conditionalFormatting>
        <x14:conditionalFormatting xmlns:xm="http://schemas.microsoft.com/office/excel/2006/main">
          <x14:cfRule type="dataBar" id="{07E56FEB-0457-4ACE-A397-AAF0E6A5A88B}">
            <x14:dataBar minLength="0" maxLength="100" border="1" negativeBarBorderColorSameAsPositive="0">
              <x14:cfvo type="autoMin"/>
              <x14:cfvo type="autoMax"/>
              <x14:borderColor rgb="FF638EC6"/>
              <x14:negativeFillColor rgb="FFFF0000"/>
              <x14:negativeBorderColor rgb="FFFF0000"/>
              <x14:axisColor rgb="FF000000"/>
            </x14:dataBar>
          </x14:cfRule>
          <xm:sqref>D161:D164</xm:sqref>
        </x14:conditionalFormatting>
        <x14:conditionalFormatting xmlns:xm="http://schemas.microsoft.com/office/excel/2006/main">
          <x14:cfRule type="dataBar" id="{2CC3CC5C-BA29-44D3-BF42-CD495335D585}">
            <x14:dataBar minLength="0" maxLength="100" border="1" negativeBarBorderColorSameAsPositive="0">
              <x14:cfvo type="autoMin"/>
              <x14:cfvo type="autoMax"/>
              <x14:borderColor rgb="FF638EC6"/>
              <x14:negativeFillColor rgb="FFFF0000"/>
              <x14:negativeBorderColor rgb="FFFF0000"/>
              <x14:axisColor rgb="FF000000"/>
            </x14:dataBar>
          </x14:cfRule>
          <xm:sqref>D170:D180</xm:sqref>
        </x14:conditionalFormatting>
        <x14:conditionalFormatting xmlns:xm="http://schemas.microsoft.com/office/excel/2006/main">
          <x14:cfRule type="dataBar" id="{CDD3486B-A33C-43B8-A9D2-2CDFB9AF8D05}">
            <x14:dataBar minLength="0" maxLength="100" border="1" negativeBarBorderColorSameAsPositive="0">
              <x14:cfvo type="autoMin"/>
              <x14:cfvo type="autoMax"/>
              <x14:borderColor rgb="FF638EC6"/>
              <x14:negativeFillColor rgb="FFFF0000"/>
              <x14:negativeBorderColor rgb="FFFF0000"/>
              <x14:axisColor rgb="FF000000"/>
            </x14:dataBar>
          </x14:cfRule>
          <xm:sqref>D186:D196</xm:sqref>
        </x14:conditionalFormatting>
        <x14:conditionalFormatting xmlns:xm="http://schemas.microsoft.com/office/excel/2006/main">
          <x14:cfRule type="dataBar" id="{FE95A87C-FFFB-4D05-BFF1-E5FC6B1F0C47}">
            <x14:dataBar minLength="0" maxLength="100" border="1" negativeBarBorderColorSameAsPositive="0">
              <x14:cfvo type="autoMin"/>
              <x14:cfvo type="autoMax"/>
              <x14:borderColor rgb="FF638EC6"/>
              <x14:negativeFillColor rgb="FFFF0000"/>
              <x14:negativeBorderColor rgb="FFFF0000"/>
              <x14:axisColor rgb="FF000000"/>
            </x14:dataBar>
          </x14:cfRule>
          <xm:sqref>D202:D212</xm:sqref>
        </x14:conditionalFormatting>
        <x14:conditionalFormatting xmlns:xm="http://schemas.microsoft.com/office/excel/2006/main">
          <x14:cfRule type="dataBar" id="{DB2BFDE1-2701-4249-8EB5-D241D23B347A}">
            <x14:dataBar minLength="0" maxLength="100" border="1" negativeBarBorderColorSameAsPositive="0">
              <x14:cfvo type="autoMin"/>
              <x14:cfvo type="autoMax"/>
              <x14:borderColor rgb="FF638EC6"/>
              <x14:negativeFillColor rgb="FFFF0000"/>
              <x14:negativeBorderColor rgb="FFFF0000"/>
              <x14:axisColor rgb="FF000000"/>
            </x14:dataBar>
          </x14:cfRule>
          <xm:sqref>D218:D228</xm:sqref>
        </x14:conditionalFormatting>
        <x14:conditionalFormatting xmlns:xm="http://schemas.microsoft.com/office/excel/2006/main">
          <x14:cfRule type="dataBar" id="{DB4D36FB-7E09-46D6-9778-039214DF8EA5}">
            <x14:dataBar minLength="0" maxLength="100" border="1" negativeBarBorderColorSameAsPositive="0">
              <x14:cfvo type="autoMin"/>
              <x14:cfvo type="autoMax"/>
              <x14:borderColor rgb="FF638EC6"/>
              <x14:negativeFillColor rgb="FFFF0000"/>
              <x14:negativeBorderColor rgb="FFFF0000"/>
              <x14:axisColor rgb="FF000000"/>
            </x14:dataBar>
          </x14:cfRule>
          <xm:sqref>D234:D244</xm:sqref>
        </x14:conditionalFormatting>
        <x14:conditionalFormatting xmlns:xm="http://schemas.microsoft.com/office/excel/2006/main">
          <x14:cfRule type="dataBar" id="{22004500-86E4-476D-A9CA-BF7B835927D4}">
            <x14:dataBar minLength="0" maxLength="100" border="1" negativeBarBorderColorSameAsPositive="0">
              <x14:cfvo type="autoMin"/>
              <x14:cfvo type="autoMax"/>
              <x14:borderColor rgb="FF638EC6"/>
              <x14:negativeFillColor rgb="FFFF0000"/>
              <x14:negativeBorderColor rgb="FFFF0000"/>
              <x14:axisColor rgb="FF000000"/>
            </x14:dataBar>
          </x14:cfRule>
          <xm:sqref>D250:D254</xm:sqref>
        </x14:conditionalFormatting>
        <x14:conditionalFormatting xmlns:xm="http://schemas.microsoft.com/office/excel/2006/main">
          <x14:cfRule type="dataBar" id="{18D963E4-1ECA-46B9-94CD-0EFAE0BF4662}">
            <x14:dataBar minLength="0" maxLength="100" border="1" negativeBarBorderColorSameAsPositive="0">
              <x14:cfvo type="autoMin"/>
              <x14:cfvo type="autoMax"/>
              <x14:borderColor rgb="FF638EC6"/>
              <x14:negativeFillColor rgb="FFFF0000"/>
              <x14:negativeBorderColor rgb="FFFF0000"/>
              <x14:axisColor rgb="FF000000"/>
            </x14:dataBar>
          </x14:cfRule>
          <xm:sqref>D260:D264</xm:sqref>
        </x14:conditionalFormatting>
        <x14:conditionalFormatting xmlns:xm="http://schemas.microsoft.com/office/excel/2006/main">
          <x14:cfRule type="dataBar" id="{7663B44A-BD5F-488F-9BD5-A024FC27C955}">
            <x14:dataBar minLength="0" maxLength="100" border="1" negativeBarBorderColorSameAsPositive="0">
              <x14:cfvo type="autoMin"/>
              <x14:cfvo type="autoMax"/>
              <x14:borderColor rgb="FF638EC6"/>
              <x14:negativeFillColor rgb="FFFF0000"/>
              <x14:negativeBorderColor rgb="FFFF0000"/>
              <x14:axisColor rgb="FF000000"/>
            </x14:dataBar>
          </x14:cfRule>
          <xm:sqref>D270:D279</xm:sqref>
        </x14:conditionalFormatting>
        <x14:conditionalFormatting xmlns:xm="http://schemas.microsoft.com/office/excel/2006/main">
          <x14:cfRule type="dataBar" id="{1407DEFA-948A-4A83-98BF-A9E4F6BBB338}">
            <x14:dataBar minLength="0" maxLength="100" border="1" negativeBarBorderColorSameAsPositive="0">
              <x14:cfvo type="autoMin"/>
              <x14:cfvo type="autoMax"/>
              <x14:borderColor rgb="FF638EC6"/>
              <x14:negativeFillColor rgb="FFFF0000"/>
              <x14:negativeBorderColor rgb="FFFF0000"/>
              <x14:axisColor rgb="FF000000"/>
            </x14:dataBar>
          </x14:cfRule>
          <xm:sqref>D285:D304</xm:sqref>
        </x14:conditionalFormatting>
        <x14:conditionalFormatting xmlns:xm="http://schemas.microsoft.com/office/excel/2006/main">
          <x14:cfRule type="dataBar" id="{E52227FD-804B-4F47-9074-84B84F855798}">
            <x14:dataBar minLength="0" maxLength="100" border="1" negativeBarBorderColorSameAsPositive="0">
              <x14:cfvo type="autoMin"/>
              <x14:cfvo type="autoMax"/>
              <x14:borderColor rgb="FF638EC6"/>
              <x14:negativeFillColor rgb="FFFF0000"/>
              <x14:negativeBorderColor rgb="FFFF0000"/>
              <x14:axisColor rgb="FF000000"/>
            </x14:dataBar>
          </x14:cfRule>
          <xm:sqref>D310:D411</xm:sqref>
        </x14:conditionalFormatting>
        <x14:conditionalFormatting xmlns:xm="http://schemas.microsoft.com/office/excel/2006/main">
          <x14:cfRule type="dataBar" id="{BABB7D44-1D8E-4E39-A400-6196FDF1A9F9}">
            <x14:dataBar minLength="0" maxLength="100" border="1" negativeBarBorderColorSameAsPositive="0">
              <x14:cfvo type="autoMin"/>
              <x14:cfvo type="autoMax"/>
              <x14:borderColor rgb="FF638EC6"/>
              <x14:negativeFillColor rgb="FFFF0000"/>
              <x14:negativeBorderColor rgb="FFFF0000"/>
              <x14:axisColor rgb="FF000000"/>
            </x14:dataBar>
          </x14:cfRule>
          <xm:sqref>D417:D518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15</vt:i4>
      </vt:variant>
    </vt:vector>
  </HeadingPairs>
  <TitlesOfParts>
    <vt:vector size="40" baseType="lpstr">
      <vt:lpstr>00 - Cover</vt:lpstr>
      <vt:lpstr>Controle</vt:lpstr>
      <vt:lpstr>01 - Summary</vt:lpstr>
      <vt:lpstr>02 - Eligibility Criteria</vt:lpstr>
      <vt:lpstr>03 - Monthly Asset Follow up</vt:lpstr>
      <vt:lpstr>04 - Monthly Collection</vt:lpstr>
      <vt:lpstr>05 - Prepayment Rate</vt:lpstr>
      <vt:lpstr>06 - Asset Amortisation Profile</vt:lpstr>
      <vt:lpstr>07 - Breakdown Statistics</vt:lpstr>
      <vt:lpstr>08 - Delinquent Home Loans Stat</vt:lpstr>
      <vt:lpstr>09 - Default &amp; Recovery Stat</vt:lpstr>
      <vt:lpstr>10 -Principal Deficiency Ledger</vt:lpstr>
      <vt:lpstr>11 - Notes Follow-up</vt:lpstr>
      <vt:lpstr>12 - Notes Interest</vt:lpstr>
      <vt:lpstr>13 - Issuer Account</vt:lpstr>
      <vt:lpstr>14 - Fees</vt:lpstr>
      <vt:lpstr>15 - Priority of Payments</vt:lpstr>
      <vt:lpstr>16 - Simplified Balance Sheet</vt:lpstr>
      <vt:lpstr>17 - Calendar</vt:lpstr>
      <vt:lpstr>18 - Event</vt:lpstr>
      <vt:lpstr>IR_Annex 12</vt:lpstr>
      <vt:lpstr>IR_Annex 14</vt:lpstr>
      <vt:lpstr>Neolink</vt:lpstr>
      <vt:lpstr>Instructions</vt:lpstr>
      <vt:lpstr>INPUT_DATA</vt:lpstr>
      <vt:lpstr>'00 - Cover'!Print_Area</vt:lpstr>
      <vt:lpstr>'01 - Summary'!Print_Area</vt:lpstr>
      <vt:lpstr>'02 - Eligibility Criteria'!Print_Area</vt:lpstr>
      <vt:lpstr>'05 - Prepayment Rate'!Print_Area</vt:lpstr>
      <vt:lpstr>'06 - Asset Amortisation Profile'!Print_Area</vt:lpstr>
      <vt:lpstr>'08 - Delinquent Home Loans Stat'!Print_Area</vt:lpstr>
      <vt:lpstr>'09 - Default &amp; Recovery Stat'!Print_Area</vt:lpstr>
      <vt:lpstr>'11 - Notes Follow-up'!Print_Area</vt:lpstr>
      <vt:lpstr>'12 - Notes Interest'!Print_Area</vt:lpstr>
      <vt:lpstr>'13 - Issuer Account'!Print_Area</vt:lpstr>
      <vt:lpstr>'14 - Fees'!Print_Area</vt:lpstr>
      <vt:lpstr>'15 - OD'!Print_Area</vt:lpstr>
      <vt:lpstr>'15 - Priority of Payments'!Print_Area</vt:lpstr>
      <vt:lpstr>'16 - Simplified Balance Sheet'!Print_Area</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Fabrice Jarlot</dc:creator>
  <cp:lastModifiedBy>Dimitri Bellaiche</cp:lastModifiedBy>
  <cp:lastPrinted>2021-10-06T07:00:20Z</cp:lastPrinted>
  <dcterms:created xsi:type="dcterms:W3CDTF">2009-08-06T14:40:37Z</dcterms:created>
  <dcterms:modified xsi:type="dcterms:W3CDTF">2024-08-01T17:03:21Z</dcterms:modified>
</cp:coreProperties>
</file>