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Y:\FONDS\1_FONDS SOUS GESTION\00 - FCT\00- Projets OT\FCT Kuiper\04 - MR\01 - Diffusion\Management Report\"/>
    </mc:Choice>
  </mc:AlternateContent>
  <xr:revisionPtr revIDLastSave="0" documentId="13_ncr:1_{B0A78874-37BB-49D3-B34C-4B298E7CCBF9}" xr6:coauthVersionLast="47" xr6:coauthVersionMax="47" xr10:uidLastSave="{00000000-0000-0000-0000-000000000000}"/>
  <bookViews>
    <workbookView xWindow="-15300" yWindow="-16350" windowWidth="29040" windowHeight="15840" tabRatio="850" firstSheet="10" activeTab="20" xr2:uid="{00000000-000D-0000-FFFF-FFFF00000000}"/>
  </bookViews>
  <sheets>
    <sheet name="00 - Cover" sheetId="23175" r:id="rId1"/>
    <sheet name="Controle" sheetId="23189" state="hidden" r:id="rId2"/>
    <sheet name="Summary" sheetId="23176" r:id="rId3"/>
    <sheet name="Eligibility Criteria" sheetId="23202" r:id="rId4"/>
    <sheet name="Asset Follow up" sheetId="23183" r:id="rId5"/>
    <sheet name="Collection" sheetId="23184" r:id="rId6"/>
    <sheet name="Prepayment Rate" sheetId="23201" r:id="rId7"/>
    <sheet name="Asset Amortisation Profile" sheetId="23197" r:id="rId8"/>
    <sheet name="Notes Follow-up" sheetId="23203" r:id="rId9"/>
    <sheet name=" Notes Interest" sheetId="23205" r:id="rId10"/>
    <sheet name="Issuer Account" sheetId="23204" r:id="rId11"/>
    <sheet name="Fees" sheetId="39" r:id="rId12"/>
    <sheet name="Priority of Payments" sheetId="23177" r:id="rId13"/>
    <sheet name="Breakdown Statistics" sheetId="23198" r:id="rId14"/>
    <sheet name="Default &amp; Recovery Stat" sheetId="23199" r:id="rId15"/>
    <sheet name="Principal Deficiency Ledger" sheetId="23206" r:id="rId16"/>
    <sheet name="Delinquent Home Loans Stat" sheetId="23200" r:id="rId17"/>
    <sheet name="Simplified Balance Sheet" sheetId="23178" r:id="rId18"/>
    <sheet name="Calendar" sheetId="23172" r:id="rId19"/>
    <sheet name="Event" sheetId="23190" r:id="rId20"/>
    <sheet name="INPUT_DATA" sheetId="23207" r:id="rId21"/>
    <sheet name="15 - OD" sheetId="23193" state="veryHidden" r:id="rId22"/>
    <sheet name="Instructions" sheetId="23195" state="hidden" r:id="rId23"/>
  </sheets>
  <externalReferences>
    <externalReference r:id="rId24"/>
  </externalReference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21"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9" hidden="1">#REF!</definedName>
    <definedName name="_Key1" localSheetId="0" hidden="1">#REF!</definedName>
    <definedName name="_Key1" localSheetId="13" hidden="1">#REF!</definedName>
    <definedName name="_Key1" localSheetId="14" hidden="1">#REF!</definedName>
    <definedName name="_Key1" localSheetId="16" hidden="1">#REF!</definedName>
    <definedName name="_Key1" localSheetId="3" hidden="1">#REF!</definedName>
    <definedName name="_Key1" localSheetId="10" hidden="1">#REF!</definedName>
    <definedName name="_Key1" localSheetId="8" hidden="1">#REF!</definedName>
    <definedName name="_Key1" localSheetId="6" hidden="1">#REF!</definedName>
    <definedName name="_Key1" localSheetId="12" hidden="1">#REF!</definedName>
    <definedName name="_Key1" localSheetId="2" hidden="1">#REF!</definedName>
    <definedName name="_Key1" hidden="1">#REF!</definedName>
    <definedName name="_Key2" localSheetId="9" hidden="1">#REF!</definedName>
    <definedName name="_Key2" localSheetId="0" hidden="1">#REF!</definedName>
    <definedName name="_Key2" localSheetId="13" hidden="1">#REF!</definedName>
    <definedName name="_Key2" localSheetId="14" hidden="1">#REF!</definedName>
    <definedName name="_Key2" localSheetId="16" hidden="1">#REF!</definedName>
    <definedName name="_Key2" localSheetId="3" hidden="1">#REF!</definedName>
    <definedName name="_Key2" localSheetId="10" hidden="1">#REF!</definedName>
    <definedName name="_Key2" localSheetId="8" hidden="1">#REF!</definedName>
    <definedName name="_Key2" localSheetId="6" hidden="1">#REF!</definedName>
    <definedName name="_Key2" localSheetId="12" hidden="1">#REF!</definedName>
    <definedName name="_Key2" localSheetId="2"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9">'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9" hidden="1">#REF!</definedName>
    <definedName name="_Sort" localSheetId="0" hidden="1">#REF!</definedName>
    <definedName name="_Sort" localSheetId="13" hidden="1">#REF!</definedName>
    <definedName name="_Sort" localSheetId="14" hidden="1">#REF!</definedName>
    <definedName name="_Sort" localSheetId="16" hidden="1">#REF!</definedName>
    <definedName name="_Sort" localSheetId="3" hidden="1">#REF!</definedName>
    <definedName name="_Sort" localSheetId="10" hidden="1">#REF!</definedName>
    <definedName name="_Sort" localSheetId="8" hidden="1">#REF!</definedName>
    <definedName name="_Sort" localSheetId="6" hidden="1">#REF!</definedName>
    <definedName name="_Sort" localSheetId="12" hidden="1">#REF!</definedName>
    <definedName name="_Sort" localSheetId="2"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9">#REF!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9" hidden="1">{#N/A,#N/A,FALSE,"Sheet1";#N/A,#N/A,FALSE,"Sheet2";#N/A,#N/A,FALSE,"Sheet3";#N/A,#N/A,FALSE,"Sheet9";#N/A,#N/A,FALSE,"Sheet4";#N/A,#N/A,FALSE,"Sheet5";#N/A,#N/A,FALSE,"Sheet6";#N/A,#N/A,FALSE,"Sheet7";#N/A,#N/A,FALSE,"Sheet8";#N/A,#N/A,FALSE,"Sheet10";#N/A,#N/A,FALSE,"Sheet11";#N/A,#N/A,FALSE,"Sheet12";#N/A,#N/A,FALSE,"Sheet17";#N/A,#N/A,FALSE,"Sheet16"}</definedName>
    <definedName name="BBBB" localSheetId="10"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9">#REF!</definedName>
    <definedName name="Database1">#REF!</definedName>
    <definedName name="DATE" localSheetId="9">#REF!</definedName>
    <definedName name="DATE">#REF!</definedName>
    <definedName name="Date_Actuelle" localSheetId="9">#REF!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9" hidden="1">{#N/A,#N/A,FALSE,"fnma22pi";#N/A,#N/A,FALSE,"1888144"}</definedName>
    <definedName name="erthrt" localSheetId="0" hidden="1">{#N/A,#N/A,FALSE,"fnma22pi";#N/A,#N/A,FALSE,"1888144"}</definedName>
    <definedName name="erthrt" localSheetId="7" hidden="1">{#N/A,#N/A,FALSE,"fnma22pi";#N/A,#N/A,FALSE,"1888144"}</definedName>
    <definedName name="erthrt" localSheetId="3" hidden="1">{#N/A,#N/A,FALSE,"fnma22pi";#N/A,#N/A,FALSE,"1888144"}</definedName>
    <definedName name="erthrt" localSheetId="10" hidden="1">{#N/A,#N/A,FALSE,"fnma22pi";#N/A,#N/A,FALSE,"1888144"}</definedName>
    <definedName name="erthrt" localSheetId="8" hidden="1">{#N/A,#N/A,FALSE,"fnma22pi";#N/A,#N/A,FALSE,"1888144"}</definedName>
    <definedName name="erthrt" localSheetId="12" hidden="1">{#N/A,#N/A,FALSE,"fnma22pi";#N/A,#N/A,FALSE,"1888144"}</definedName>
    <definedName name="erthrt" localSheetId="2" hidden="1">{#N/A,#N/A,FALSE,"fnma22pi";#N/A,#N/A,FALSE,"1888144"}</definedName>
    <definedName name="erthrt" hidden="1">{#N/A,#N/A,FALSE,"fnma22pi";#N/A,#N/A,FALSE,"1888144"}</definedName>
    <definedName name="erthx" localSheetId="9" hidden="1">#REF!</definedName>
    <definedName name="erthx" localSheetId="0" hidden="1">#REF!</definedName>
    <definedName name="erthx" localSheetId="3" hidden="1">#REF!</definedName>
    <definedName name="erthx" localSheetId="10" hidden="1">#REF!</definedName>
    <definedName name="erthx" localSheetId="8" hidden="1">#REF!</definedName>
    <definedName name="erthx" localSheetId="12" hidden="1">#REF!</definedName>
    <definedName name="erthx" localSheetId="2"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9" hidden="1">{#N/A,#N/A,FALSE,"Sheet1";#N/A,#N/A,FALSE,"Sheet2";#N/A,#N/A,FALSE,"Sheet3";#N/A,#N/A,FALSE,"Sheet9";#N/A,#N/A,FALSE,"Sheet4";#N/A,#N/A,FALSE,"Sheet5";#N/A,#N/A,FALSE,"Sheet6";#N/A,#N/A,FALSE,"Sheet7";#N/A,#N/A,FALSE,"Sheet8";#N/A,#N/A,FALSE,"Sheet10";#N/A,#N/A,FALSE,"Sheet11";#N/A,#N/A,FALSE,"Sheet12";#N/A,#N/A,FALSE,"Sheet17";#N/A,#N/A,FALSE,"Sheet16"}</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10" hidden="1">{#N/A,#N/A,FALSE,"Sheet1";#N/A,#N/A,FALSE,"Sheet2";#N/A,#N/A,FALSE,"Sheet3";#N/A,#N/A,FALSE,"Sheet9";#N/A,#N/A,FALSE,"Sheet4";#N/A,#N/A,FALSE,"Sheet5";#N/A,#N/A,FALSE,"Sheet6";#N/A,#N/A,FALSE,"Sheet7";#N/A,#N/A,FALSE,"Sheet8";#N/A,#N/A,FALSE,"Sheet10";#N/A,#N/A,FALSE,"Sheet11";#N/A,#N/A,FALSE,"Sheet12";#N/A,#N/A,FALSE,"Sheet17";#N/A,#N/A,FALSE,"Sheet16"}</definedName>
    <definedName name="fdghdfghfg" localSheetId="8"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9" hidden="1">{#N/A,#N/A,FALSE,"Sheet1";#N/A,#N/A,FALSE,"Sheet2";#N/A,#N/A,FALSE,"Sheet3";#N/A,#N/A,FALSE,"Sheet9";#N/A,#N/A,FALSE,"Sheet4";#N/A,#N/A,FALSE,"Sheet5";#N/A,#N/A,FALSE,"Sheet6";#N/A,#N/A,FALSE,"Sheet7";#N/A,#N/A,FALSE,"Sheet8";#N/A,#N/A,FALSE,"Sheet10";#N/A,#N/A,FALSE,"Sheet11";#N/A,#N/A,FALSE,"Sheet12";#N/A,#N/A,FALSE,"Sheet17";#N/A,#N/A,FALSE,"Sheet16"}</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10" hidden="1">{#N/A,#N/A,FALSE,"Sheet1";#N/A,#N/A,FALSE,"Sheet2";#N/A,#N/A,FALSE,"Sheet3";#N/A,#N/A,FALSE,"Sheet9";#N/A,#N/A,FALSE,"Sheet4";#N/A,#N/A,FALSE,"Sheet5";#N/A,#N/A,FALSE,"Sheet6";#N/A,#N/A,FALSE,"Sheet7";#N/A,#N/A,FALSE,"Sheet8";#N/A,#N/A,FALSE,"Sheet10";#N/A,#N/A,FALSE,"Sheet11";#N/A,#N/A,FALSE,"Sheet12";#N/A,#N/A,FALSE,"Sheet17";#N/A,#N/A,FALSE,"Sheet16"}</definedName>
    <definedName name="fdjtyj" localSheetId="8"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9" hidden="1">#REF!</definedName>
    <definedName name="fghdfhgd" localSheetId="0" hidden="1">#REF!</definedName>
    <definedName name="fghdfhgd" localSheetId="3" hidden="1">#REF!</definedName>
    <definedName name="fghdfhgd" localSheetId="10" hidden="1">#REF!</definedName>
    <definedName name="fghdfhgd" localSheetId="8" hidden="1">#REF!</definedName>
    <definedName name="fghdfhgd" localSheetId="12" hidden="1">#REF!</definedName>
    <definedName name="fghdfhgd" localSheetId="2"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9">[1]Pilote!$D$12</definedName>
    <definedName name="Folder" localSheetId="10">#REF!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9" hidden="1">{#N/A,#N/A,FALSE,"fnma22pi";#N/A,#N/A,FALSE,"1888144"}</definedName>
    <definedName name="ghjtj" localSheetId="0" hidden="1">{#N/A,#N/A,FALSE,"fnma22pi";#N/A,#N/A,FALSE,"1888144"}</definedName>
    <definedName name="ghjtj" localSheetId="7" hidden="1">{#N/A,#N/A,FALSE,"fnma22pi";#N/A,#N/A,FALSE,"1888144"}</definedName>
    <definedName name="ghjtj" localSheetId="3" hidden="1">{#N/A,#N/A,FALSE,"fnma22pi";#N/A,#N/A,FALSE,"1888144"}</definedName>
    <definedName name="ghjtj" localSheetId="10" hidden="1">{#N/A,#N/A,FALSE,"fnma22pi";#N/A,#N/A,FALSE,"1888144"}</definedName>
    <definedName name="ghjtj" localSheetId="8" hidden="1">{#N/A,#N/A,FALSE,"fnma22pi";#N/A,#N/A,FALSE,"1888144"}</definedName>
    <definedName name="ghjtj" localSheetId="12" hidden="1">{#N/A,#N/A,FALSE,"fnma22pi";#N/A,#N/A,FALSE,"1888144"}</definedName>
    <definedName name="ghjtj" localSheetId="2"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9" hidden="1">{"'Description'!$A$1:$G$45"}</definedName>
    <definedName name="HTML_Control" localSheetId="0" hidden="1">{"'Description'!$A$1:$G$45"}</definedName>
    <definedName name="HTML_Control" localSheetId="7"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localSheetId="3" hidden="1">{"'Description'!$A$1:$G$45"}</definedName>
    <definedName name="HTML_Control" localSheetId="10" hidden="1">{"'Description'!$A$1:$G$45"}</definedName>
    <definedName name="HTML_Control" localSheetId="8" hidden="1">{"'Description'!$A$1:$G$45"}</definedName>
    <definedName name="HTML_Control" localSheetId="6" hidden="1">{"'Description'!$A$1:$G$45"}</definedName>
    <definedName name="HTML_Control" localSheetId="12" hidden="1">{"'Description'!$A$1:$G$45"}</definedName>
    <definedName name="HTML_Control" localSheetId="2"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9">[1]Pilote!$D$17</definedName>
    <definedName name="ID" localSheetId="10">#REF!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9">#REF!</definedName>
    <definedName name="Input_End_Date">#REF!</definedName>
    <definedName name="Input_Invoice" localSheetId="9">#REF!</definedName>
    <definedName name="Input_Invoice">#REF!</definedName>
    <definedName name="Input_Name" localSheetId="9">#REF!</definedName>
    <definedName name="Input_Name">#REF!</definedName>
    <definedName name="Input_NAP" localSheetId="9">#REF!</definedName>
    <definedName name="Input_NAP">#REF!</definedName>
    <definedName name="Input_Price_HT" localSheetId="9">#REF!</definedName>
    <definedName name="Input_Price_HT">#REF!</definedName>
    <definedName name="Input_Price_TTC" localSheetId="9">#REF!</definedName>
    <definedName name="Input_Price_TTC">#REF!</definedName>
    <definedName name="Input_Services" localSheetId="9">#REF!</definedName>
    <definedName name="Input_Services">#REF!</definedName>
    <definedName name="Input_Start_Date" localSheetId="9">#REF!</definedName>
    <definedName name="Input_Start_Date">#REF!</definedName>
    <definedName name="Input_Total_HT" localSheetId="9">#REF!</definedName>
    <definedName name="Input_Total_HT">#REF!</definedName>
    <definedName name="Input_Total_TTC" localSheetId="9">#REF!</definedName>
    <definedName name="Input_Total_TTC">#REF!</definedName>
    <definedName name="InterestType" hidden="1">#REF!</definedName>
    <definedName name="Investor" localSheetId="9">[1]Pilote!$D$18</definedName>
    <definedName name="Investor" localSheetId="10">#REF!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9" hidden="1">#REF!</definedName>
    <definedName name="khyu" localSheetId="0" hidden="1">#REF!</definedName>
    <definedName name="khyu" localSheetId="3" hidden="1">#REF!</definedName>
    <definedName name="khyu" localSheetId="10" hidden="1">#REF!</definedName>
    <definedName name="khyu" localSheetId="8" hidden="1">#REF!</definedName>
    <definedName name="khyu" localSheetId="12" hidden="1">#REF!</definedName>
    <definedName name="khyu" localSheetId="2"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9" hidden="1">{#N/A,#N/A,FALSE,"fnma22pi";#N/A,#N/A,FALSE,"1888144"}</definedName>
    <definedName name="M" localSheetId="0" hidden="1">{#N/A,#N/A,FALSE,"fnma22pi";#N/A,#N/A,FALSE,"1888144"}</definedName>
    <definedName name="M" localSheetId="7"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localSheetId="3" hidden="1">{#N/A,#N/A,FALSE,"fnma22pi";#N/A,#N/A,FALSE,"1888144"}</definedName>
    <definedName name="M" localSheetId="10" hidden="1">{#N/A,#N/A,FALSE,"fnma22pi";#N/A,#N/A,FALSE,"1888144"}</definedName>
    <definedName name="M" localSheetId="8" hidden="1">{#N/A,#N/A,FALSE,"fnma22pi";#N/A,#N/A,FALSE,"1888144"}</definedName>
    <definedName name="M" localSheetId="6" hidden="1">{#N/A,#N/A,FALSE,"fnma22pi";#N/A,#N/A,FALSE,"1888144"}</definedName>
    <definedName name="M" localSheetId="12" hidden="1">{#N/A,#N/A,FALSE,"fnma22pi";#N/A,#N/A,FALSE,"1888144"}</definedName>
    <definedName name="M" localSheetId="2"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9">#REF!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9">' Notes Interest'!$A$2:$J$26</definedName>
    <definedName name="_xlnm.Print_Area" localSheetId="0">'00 - Cover'!$A$1:$I$44</definedName>
    <definedName name="_xlnm.Print_Area" localSheetId="21">'15 - OD'!$A$1:$N$61</definedName>
    <definedName name="_xlnm.Print_Area" localSheetId="7">'Asset Amortisation Profile'!$A$1:$I$239</definedName>
    <definedName name="_xlnm.Print_Area" localSheetId="14">'Default &amp; Recovery Stat'!$A$1:$J$72</definedName>
    <definedName name="_xlnm.Print_Area" localSheetId="16">'Delinquent Home Loans Stat'!$A$1:$I$72</definedName>
    <definedName name="_xlnm.Print_Area" localSheetId="3">'Eligibility Criteria'!$A$1:$M$67</definedName>
    <definedName name="_xlnm.Print_Area" localSheetId="11">Fees!$A$1:$K$57</definedName>
    <definedName name="_xlnm.Print_Area" localSheetId="10">'Issuer Account'!$A$1:$N$60</definedName>
    <definedName name="_xlnm.Print_Area" localSheetId="8">'Notes Follow-up'!$A$1:$X$217</definedName>
    <definedName name="_xlnm.Print_Area" localSheetId="6">'Prepayment Rate'!$A$1:$H$72</definedName>
    <definedName name="_xlnm.Print_Area" localSheetId="12">'Priority of Payments'!$A$1:$N$79</definedName>
    <definedName name="_xlnm.Print_Area" localSheetId="17">'Simplified Balance Sheet'!$A$1:$L$24</definedName>
    <definedName name="_xlnm.Print_Area" localSheetId="2">Summary!$A$1:$J$55</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9" hidden="1">{#N/A,#N/A,FALSE,"DELQ";#N/A,#N/A,FALSE,"REO";#N/A,#N/A,FALSE,"WATCHDSC";#N/A,#N/A,FALSE,"2LOSSMOD";#N/A,#N/A,FALSE,"2LOSS";#N/A,#N/A,FALSE,"DSC";#N/A,#N/A,FALSE,"OPERAT";#N/A,#N/A,FALSE,"ADJUST";#N/A,#N/A,FALSE,"PAIDOFF";#N/A,#N/A,FALSE,"TENANT";#N/A,#N/A,FALSE,"LEASE EXPIRE"}</definedName>
    <definedName name="qzef" localSheetId="0"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10" hidden="1">{#N/A,#N/A,FALSE,"DELQ";#N/A,#N/A,FALSE,"REO";#N/A,#N/A,FALSE,"WATCHDSC";#N/A,#N/A,FALSE,"2LOSSMOD";#N/A,#N/A,FALSE,"2LOSS";#N/A,#N/A,FALSE,"DSC";#N/A,#N/A,FALSE,"OPERAT";#N/A,#N/A,FALSE,"ADJUST";#N/A,#N/A,FALSE,"PAIDOFF";#N/A,#N/A,FALSE,"TENANT";#N/A,#N/A,FALSE,"LEASE EXPIRE"}</definedName>
    <definedName name="qzef" localSheetId="8"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9" hidden="1">#REF!</definedName>
    <definedName name="sdff" localSheetId="0" hidden="1">#REF!</definedName>
    <definedName name="sdff" localSheetId="3" hidden="1">#REF!</definedName>
    <definedName name="sdff" localSheetId="10" hidden="1">#REF!</definedName>
    <definedName name="sdff" localSheetId="8" hidden="1">#REF!</definedName>
    <definedName name="sdff" localSheetId="12" hidden="1">#REF!</definedName>
    <definedName name="sdff" localSheetId="2"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9" hidden="1">#REF!</definedName>
    <definedName name="sdfsdf" localSheetId="0" hidden="1">#REF!</definedName>
    <definedName name="sdfsdf" localSheetId="3" hidden="1">#REF!</definedName>
    <definedName name="sdfsdf" localSheetId="10" hidden="1">#REF!</definedName>
    <definedName name="sdfsdf" localSheetId="8" hidden="1">#REF!</definedName>
    <definedName name="sdfsdf" localSheetId="12" hidden="1">#REF!</definedName>
    <definedName name="sdfsdf" localSheetId="2"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9">#REF!</definedName>
    <definedName name="secteur" localSheetId="10">#REF!</definedName>
    <definedName name="secteur" localSheetId="8">#REF!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9" hidden="1">#REF!</definedName>
    <definedName name="sfgh" localSheetId="0" hidden="1">#REF!</definedName>
    <definedName name="sfgh" localSheetId="3" hidden="1">#REF!</definedName>
    <definedName name="sfgh" localSheetId="10" hidden="1">#REF!</definedName>
    <definedName name="sfgh" localSheetId="8" hidden="1">#REF!</definedName>
    <definedName name="sfgh" localSheetId="12" hidden="1">#REF!</definedName>
    <definedName name="sfgh" localSheetId="2"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9" hidden="1">{"'Description'!$A$1:$G$45"}</definedName>
    <definedName name="ssqf" localSheetId="0" hidden="1">{"'Description'!$A$1:$G$45"}</definedName>
    <definedName name="ssqf" localSheetId="7" hidden="1">{"'Description'!$A$1:$G$45"}</definedName>
    <definedName name="ssqf" localSheetId="3" hidden="1">{"'Description'!$A$1:$G$45"}</definedName>
    <definedName name="ssqf" localSheetId="10" hidden="1">{"'Description'!$A$1:$G$45"}</definedName>
    <definedName name="ssqf" localSheetId="8" hidden="1">{"'Description'!$A$1:$G$45"}</definedName>
    <definedName name="ssqf" localSheetId="12" hidden="1">{"'Description'!$A$1:$G$45"}</definedName>
    <definedName name="ssqf" localSheetId="2"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'Breakdown Statistics'!$B$28:$C$46</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9" hidden="1">{#N/A,#N/A,FALSE,"Sheet16";#N/A,#N/A,FALSE,"Sheet17";#N/A,#N/A,FALSE,"Sheet15";#N/A,#N/A,FALSE,"Sheet14";#N/A,#N/A,FALSE,"Sheet13";#N/A,#N/A,FALSE,"Sheet12";#N/A,#N/A,FALSE,"Sheet11";#N/A,#N/A,FALSE,"Sheet10";#N/A,#N/A,FALSE,"Sheet8";#N/A,#N/A,FALSE,"Sheet6";#N/A,#N/A,FALSE,"Sheet7";#N/A,#N/A,FALSE,"Sheet5";#N/A,#N/A,FALSE,"Sheet1";#N/A,#N/A,FALSE,"Sheet4"}</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10" hidden="1">{#N/A,#N/A,FALSE,"Sheet16";#N/A,#N/A,FALSE,"Sheet17";#N/A,#N/A,FALSE,"Sheet15";#N/A,#N/A,FALSE,"Sheet14";#N/A,#N/A,FALSE,"Sheet13";#N/A,#N/A,FALSE,"Sheet12";#N/A,#N/A,FALSE,"Sheet11";#N/A,#N/A,FALSE,"Sheet10";#N/A,#N/A,FALSE,"Sheet8";#N/A,#N/A,FALSE,"Sheet6";#N/A,#N/A,FALSE,"Sheet7";#N/A,#N/A,FALSE,"Sheet5";#N/A,#N/A,FALSE,"Sheet1";#N/A,#N/A,FALSE,"Sheet4"}</definedName>
    <definedName name="tyjuyj" localSheetId="8"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9" hidden="1">{#N/A,#N/A,FALSE,"40645444";#N/A,#N/A,FALSE,"CITIBANK INTEREST"}</definedName>
    <definedName name="tyujyf" localSheetId="0" hidden="1">{#N/A,#N/A,FALSE,"40645444";#N/A,#N/A,FALSE,"CITIBANK INTEREST"}</definedName>
    <definedName name="tyujyf" localSheetId="7" hidden="1">{#N/A,#N/A,FALSE,"40645444";#N/A,#N/A,FALSE,"CITIBANK INTEREST"}</definedName>
    <definedName name="tyujyf" localSheetId="3" hidden="1">{#N/A,#N/A,FALSE,"40645444";#N/A,#N/A,FALSE,"CITIBANK INTEREST"}</definedName>
    <definedName name="tyujyf" localSheetId="10" hidden="1">{#N/A,#N/A,FALSE,"40645444";#N/A,#N/A,FALSE,"CITIBANK INTEREST"}</definedName>
    <definedName name="tyujyf" localSheetId="8" hidden="1">{#N/A,#N/A,FALSE,"40645444";#N/A,#N/A,FALSE,"CITIBANK INTEREST"}</definedName>
    <definedName name="tyujyf" localSheetId="12" hidden="1">{#N/A,#N/A,FALSE,"40645444";#N/A,#N/A,FALSE,"CITIBANK INTEREST"}</definedName>
    <definedName name="tyujyf" localSheetId="2"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9" hidden="1">{#N/A,#N/A,FALSE,"40645444";#N/A,#N/A,FALSE,"CITIBANK INTEREST"}</definedName>
    <definedName name="wrn.40645444." localSheetId="0" hidden="1">{#N/A,#N/A,FALSE,"40645444";#N/A,#N/A,FALSE,"CITIBANK INTEREST"}</definedName>
    <definedName name="wrn.40645444." localSheetId="7"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3" hidden="1">{#N/A,#N/A,FALSE,"40645444";#N/A,#N/A,FALSE,"CITIBANK INTEREST"}</definedName>
    <definedName name="wrn.40645444." localSheetId="10" hidden="1">{#N/A,#N/A,FALSE,"40645444";#N/A,#N/A,FALSE,"CITIBANK INTEREST"}</definedName>
    <definedName name="wrn.40645444." localSheetId="8" hidden="1">{#N/A,#N/A,FALSE,"40645444";#N/A,#N/A,FALSE,"CITIBANK INTEREST"}</definedName>
    <definedName name="wrn.40645444." localSheetId="6" hidden="1">{#N/A,#N/A,FALSE,"40645444";#N/A,#N/A,FALSE,"CITIBANK INTEREST"}</definedName>
    <definedName name="wrn.40645444." localSheetId="12" hidden="1">{#N/A,#N/A,FALSE,"40645444";#N/A,#N/A,FALSE,"CITIBANK INTEREST"}</definedName>
    <definedName name="wrn.40645444." localSheetId="2"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9" hidden="1">{#N/A,#N/A,FALSE,"fnma22pi";#N/A,#N/A,FALSE,"1888144"}</definedName>
    <definedName name="wrn.FNMA22PI." localSheetId="0" hidden="1">{#N/A,#N/A,FALSE,"fnma22pi";#N/A,#N/A,FALSE,"1888144"}</definedName>
    <definedName name="wrn.FNMA22PI." localSheetId="7"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3" hidden="1">{#N/A,#N/A,FALSE,"fnma22pi";#N/A,#N/A,FALSE,"1888144"}</definedName>
    <definedName name="wrn.FNMA22PI." localSheetId="10" hidden="1">{#N/A,#N/A,FALSE,"fnma22pi";#N/A,#N/A,FALSE,"1888144"}</definedName>
    <definedName name="wrn.FNMA22PI." localSheetId="8" hidden="1">{#N/A,#N/A,FALSE,"fnma22pi";#N/A,#N/A,FALSE,"1888144"}</definedName>
    <definedName name="wrn.FNMA22PI." localSheetId="6" hidden="1">{#N/A,#N/A,FALSE,"fnma22pi";#N/A,#N/A,FALSE,"1888144"}</definedName>
    <definedName name="wrn.FNMA22PI." localSheetId="12" hidden="1">{#N/A,#N/A,FALSE,"fnma22pi";#N/A,#N/A,FALSE,"1888144"}</definedName>
    <definedName name="wrn.FNMA22PI." localSheetId="2"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9" hidden="1">#REF!</definedName>
    <definedName name="yukyu" localSheetId="0" hidden="1">#REF!</definedName>
    <definedName name="yukyu" localSheetId="3" hidden="1">#REF!</definedName>
    <definedName name="yukyu" localSheetId="10" hidden="1">#REF!</definedName>
    <definedName name="yukyu" localSheetId="8" hidden="1">#REF!</definedName>
    <definedName name="yukyu" localSheetId="12" hidden="1">#REF!</definedName>
    <definedName name="yukyu" localSheetId="2"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9" hidden="1">#REF!</definedName>
    <definedName name="zez" localSheetId="0" hidden="1">#REF!</definedName>
    <definedName name="zez" localSheetId="3" hidden="1">#REF!</definedName>
    <definedName name="zez" localSheetId="10" hidden="1">#REF!</definedName>
    <definedName name="zez" localSheetId="8" hidden="1">#REF!</definedName>
    <definedName name="zez" localSheetId="12" hidden="1">#REF!</definedName>
    <definedName name="zez" localSheetId="2"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23202" l="1"/>
  <c r="H16" i="23202"/>
  <c r="I15" i="23202"/>
  <c r="H15" i="23202"/>
  <c r="K12" i="23206" l="1"/>
  <c r="H12" i="23206"/>
  <c r="K6" i="23206"/>
  <c r="K5" i="23206"/>
  <c r="K4" i="23206"/>
  <c r="K3" i="23206"/>
  <c r="G39" i="39"/>
  <c r="G40" i="39"/>
  <c r="G41" i="39"/>
  <c r="G42" i="39"/>
  <c r="G43" i="39"/>
  <c r="G3" i="23201"/>
  <c r="G4" i="23201"/>
  <c r="G5" i="23201"/>
  <c r="G6" i="23201"/>
  <c r="H6" i="23199"/>
  <c r="H6" i="23200" s="1"/>
  <c r="H5" i="23199"/>
  <c r="H5" i="23200" s="1"/>
  <c r="H4" i="23199"/>
  <c r="H4" i="23200" s="1"/>
  <c r="H3" i="23199"/>
  <c r="H3" i="23200" s="1"/>
  <c r="F6" i="23198"/>
  <c r="F5" i="23198"/>
  <c r="F4" i="23198"/>
  <c r="F3" i="23198"/>
  <c r="L6" i="23177"/>
  <c r="L5" i="23177"/>
  <c r="L4" i="23177"/>
  <c r="L3" i="23177"/>
  <c r="I2" i="23204"/>
  <c r="I3" i="23204"/>
  <c r="I4" i="23204"/>
  <c r="I5" i="23204"/>
  <c r="I7" i="23205"/>
  <c r="I6" i="23205"/>
  <c r="I5" i="23205"/>
  <c r="I4" i="23205"/>
  <c r="H6" i="23197"/>
  <c r="H5" i="23197"/>
  <c r="H4" i="23197"/>
  <c r="H3" i="23197"/>
  <c r="F17" i="23205"/>
  <c r="F23" i="23205" l="1"/>
  <c r="F21" i="23178" l="1"/>
  <c r="K21" i="23178"/>
  <c r="J5" i="39" l="1"/>
  <c r="J6" i="39" s="1"/>
  <c r="J45" i="39"/>
  <c r="I58" i="23204"/>
  <c r="A22" i="23203"/>
  <c r="A23" i="23203" s="1"/>
  <c r="I25" i="23204" l="1"/>
  <c r="A24" i="23203"/>
  <c r="A25" i="23203" l="1"/>
  <c r="A26" i="23203" l="1"/>
  <c r="A27" i="23203" l="1"/>
  <c r="A28" i="23203" l="1"/>
  <c r="A29" i="23203" l="1"/>
  <c r="A30" i="23203" l="1"/>
  <c r="A31" i="23203" l="1"/>
  <c r="A32" i="23203" l="1"/>
  <c r="A33" i="23203" l="1"/>
  <c r="A34" i="23203" l="1"/>
  <c r="A35" i="23203" l="1"/>
  <c r="A36" i="23203" l="1"/>
  <c r="A37" i="23203" l="1"/>
  <c r="A38" i="23203" l="1"/>
  <c r="A39" i="23203" l="1"/>
  <c r="A40" i="23203" l="1"/>
  <c r="A41" i="23203" l="1"/>
  <c r="A42" i="23203" l="1"/>
  <c r="A43" i="23203" l="1"/>
  <c r="A44" i="23203" l="1"/>
  <c r="A45" i="23203" l="1"/>
  <c r="A46" i="23203" l="1"/>
  <c r="A47" i="23203" l="1"/>
  <c r="A48" i="23203" l="1"/>
  <c r="A49" i="23203" l="1"/>
  <c r="A50" i="23203" l="1"/>
  <c r="A51" i="23203" l="1"/>
  <c r="A52" i="23203" l="1"/>
  <c r="A53" i="23203" l="1"/>
  <c r="A54" i="23203" l="1"/>
  <c r="A55" i="23203" l="1"/>
  <c r="A56" i="23203" l="1"/>
  <c r="A57" i="23203" l="1"/>
  <c r="A58" i="23203" l="1"/>
  <c r="A59" i="23203" l="1"/>
  <c r="A60" i="23203" l="1"/>
  <c r="A61" i="23203" l="1"/>
  <c r="A62" i="23203" l="1"/>
  <c r="A63" i="23203" l="1"/>
  <c r="A64" i="23203" l="1"/>
  <c r="A65" i="23203" l="1"/>
  <c r="A66" i="23203" l="1"/>
  <c r="A67" i="23203" l="1"/>
  <c r="A68" i="23203" l="1"/>
  <c r="A69" i="23203" l="1"/>
  <c r="A70" i="23203" l="1"/>
  <c r="A71" i="23203" l="1"/>
  <c r="A72" i="23203" l="1"/>
  <c r="A73" i="23203" l="1"/>
  <c r="A74" i="23203" l="1"/>
  <c r="A75" i="23203" l="1"/>
  <c r="A76" i="23203" l="1"/>
  <c r="A77" i="23203" l="1"/>
  <c r="A78" i="23203" l="1"/>
  <c r="A79" i="23203" l="1"/>
  <c r="A80" i="23203" l="1"/>
  <c r="A81" i="23203" l="1"/>
  <c r="A82" i="23203" l="1"/>
  <c r="A83" i="23203" l="1"/>
  <c r="A84" i="23203" l="1"/>
  <c r="A85" i="23203" l="1"/>
  <c r="A86" i="23203" l="1"/>
  <c r="A87" i="23203" l="1"/>
  <c r="A88" i="23203" l="1"/>
  <c r="A89" i="23203" l="1"/>
  <c r="A90" i="23203" l="1"/>
  <c r="A91" i="23203" l="1"/>
  <c r="A92" i="23203" l="1"/>
  <c r="A93" i="23203" l="1"/>
  <c r="A94" i="23203" l="1"/>
  <c r="A95" i="23203" l="1"/>
  <c r="A96" i="23203" l="1"/>
  <c r="A97" i="23203" l="1"/>
  <c r="A98" i="23203" l="1"/>
  <c r="A99" i="23203" l="1"/>
  <c r="A100" i="23203" l="1"/>
  <c r="A101" i="23203" l="1"/>
  <c r="A102" i="23203" l="1"/>
  <c r="A103" i="23203" l="1"/>
  <c r="A104" i="23203" l="1"/>
  <c r="A105" i="23203" l="1"/>
  <c r="A106" i="23203" l="1"/>
  <c r="A107" i="23203" l="1"/>
  <c r="A108" i="23203" l="1"/>
  <c r="A109" i="23203" l="1"/>
  <c r="A110" i="23203" l="1"/>
  <c r="A111" i="23203" l="1"/>
  <c r="A112" i="23203" l="1"/>
  <c r="A113" i="23203" l="1"/>
  <c r="A114" i="23203" l="1"/>
  <c r="A115" i="23203" l="1"/>
  <c r="A116" i="23203" l="1"/>
  <c r="A117" i="23203" l="1"/>
  <c r="A118" i="23203" l="1"/>
  <c r="A119" i="23203" l="1"/>
  <c r="A120" i="23203" l="1"/>
  <c r="A121" i="23203" l="1"/>
  <c r="A122" i="23203" l="1"/>
  <c r="A123" i="23203" l="1"/>
  <c r="A124" i="23203" l="1"/>
  <c r="A125" i="23203" l="1"/>
  <c r="A126" i="23203" l="1"/>
  <c r="A127" i="23203" l="1"/>
  <c r="A128" i="23203" l="1"/>
  <c r="A129" i="23203" l="1"/>
  <c r="A130" i="23203" l="1"/>
  <c r="A131" i="23203" l="1"/>
  <c r="A132" i="23203" l="1"/>
  <c r="A133" i="23203" l="1"/>
  <c r="A134" i="23203" l="1"/>
  <c r="A135" i="23203" l="1"/>
  <c r="A136" i="23203" l="1"/>
  <c r="A137" i="23203" l="1"/>
  <c r="A138" i="23203" l="1"/>
  <c r="A139" i="23203" l="1"/>
  <c r="A140" i="23203" l="1"/>
  <c r="A141" i="23203" l="1"/>
  <c r="A142" i="23203" l="1"/>
  <c r="A143" i="23203" l="1"/>
  <c r="A144" i="23203" l="1"/>
  <c r="A145" i="23203" l="1"/>
  <c r="A146" i="23203" l="1"/>
  <c r="A147" i="23203" l="1"/>
  <c r="A148" i="23203" l="1"/>
  <c r="A149" i="23203" l="1"/>
  <c r="A150" i="23203" l="1"/>
  <c r="A151" i="23203" l="1"/>
  <c r="A152" i="23203" l="1"/>
  <c r="A153" i="23203" l="1"/>
  <c r="A154" i="23203" l="1"/>
  <c r="A155" i="23203" l="1"/>
  <c r="A156" i="23203" l="1"/>
  <c r="A157" i="23203" l="1"/>
  <c r="A158" i="23203" l="1"/>
  <c r="A159" i="23203" l="1"/>
  <c r="A160" i="23203" l="1"/>
  <c r="A161" i="23203" l="1"/>
  <c r="A162" i="23203" l="1"/>
  <c r="A163" i="23203" l="1"/>
  <c r="A164" i="23203" l="1"/>
  <c r="A165" i="23203" l="1"/>
  <c r="A166" i="23203" l="1"/>
  <c r="A167" i="23203" l="1"/>
  <c r="A168" i="23203" l="1"/>
  <c r="A169" i="23203" l="1"/>
  <c r="A170" i="23203" l="1"/>
  <c r="A171" i="23203" l="1"/>
  <c r="A172" i="23203" l="1"/>
  <c r="A173" i="23203" l="1"/>
  <c r="A174" i="23203" l="1"/>
  <c r="A175" i="23203" l="1"/>
  <c r="A176" i="23203" l="1"/>
  <c r="A177" i="23203" l="1"/>
  <c r="A178" i="23203" l="1"/>
  <c r="A179" i="23203" l="1"/>
  <c r="A180" i="23203" l="1"/>
  <c r="A181" i="23203" l="1"/>
  <c r="A182" i="23203" l="1"/>
  <c r="A183" i="23203" l="1"/>
  <c r="A184" i="23203" l="1"/>
  <c r="A185" i="23203" l="1"/>
  <c r="A186" i="23203" l="1"/>
  <c r="A187" i="23203" l="1"/>
  <c r="A188" i="23203" l="1"/>
  <c r="A189" i="23203" l="1"/>
  <c r="A190" i="23203" l="1"/>
  <c r="A191" i="23203" l="1"/>
  <c r="A192" i="23203" l="1"/>
  <c r="A193" i="23203" l="1"/>
  <c r="A194" i="23203" l="1"/>
  <c r="A195" i="23203" l="1"/>
  <c r="A196" i="23203" l="1"/>
  <c r="A197" i="23203" l="1"/>
  <c r="A198" i="23203" l="1"/>
  <c r="A199" i="23203" l="1"/>
  <c r="A200" i="23203" l="1"/>
  <c r="A201" i="23203" l="1"/>
  <c r="A202" i="23203" l="1"/>
  <c r="A203" i="23203" l="1"/>
  <c r="A204" i="23203" l="1"/>
  <c r="A205" i="23203" l="1"/>
  <c r="A206" i="23203" l="1"/>
  <c r="A207" i="23203" l="1"/>
  <c r="A208" i="23203" l="1"/>
  <c r="A209" i="23203" l="1"/>
  <c r="A210" i="23203" l="1"/>
  <c r="A211" i="23203" l="1"/>
  <c r="A212" i="23203" l="1"/>
  <c r="A213" i="23203" l="1"/>
  <c r="A214" i="23203" l="1"/>
  <c r="A215" i="23203" l="1"/>
  <c r="A216" i="23203" l="1"/>
  <c r="A217" i="23203" l="1"/>
  <c r="I20" i="23202" l="1"/>
  <c r="I21" i="23202" s="1"/>
  <c r="I22" i="23202" s="1"/>
  <c r="I23" i="23202" s="1"/>
  <c r="I26" i="23202" s="1"/>
  <c r="I27" i="23202" s="1"/>
  <c r="I28" i="23202" s="1"/>
  <c r="I29" i="23202" s="1"/>
  <c r="I30" i="23202" s="1"/>
  <c r="I32" i="23202" s="1"/>
  <c r="H20" i="23202"/>
  <c r="H21" i="23202" s="1"/>
  <c r="H22" i="23202" s="1"/>
  <c r="H23" i="23202" s="1"/>
  <c r="H26" i="23202" s="1"/>
  <c r="H27" i="23202" s="1"/>
  <c r="H28" i="23202" s="1"/>
  <c r="H29" i="23202" s="1"/>
  <c r="H30" i="23202" s="1"/>
  <c r="H32" i="23202" s="1"/>
  <c r="I33" i="23202" l="1"/>
  <c r="I34" i="23202" s="1"/>
  <c r="I35" i="23202" s="1"/>
  <c r="I36" i="23202" s="1"/>
  <c r="I39" i="23202" s="1"/>
  <c r="I40" i="23202" s="1"/>
  <c r="H33" i="23202"/>
  <c r="H34" i="23202" s="1"/>
  <c r="H35" i="23202" s="1"/>
  <c r="H36" i="23202" s="1"/>
  <c r="H39" i="23202" s="1"/>
  <c r="H40" i="23202" s="1"/>
  <c r="H17" i="23202"/>
  <c r="I17" i="23202"/>
  <c r="F652" i="23198" l="1"/>
  <c r="E652" i="23198"/>
  <c r="D652" i="23198"/>
  <c r="C652" i="23198"/>
  <c r="F632" i="23198"/>
  <c r="E632" i="23198"/>
  <c r="D632" i="23198"/>
  <c r="C632" i="23198"/>
  <c r="F622" i="23198"/>
  <c r="E622" i="23198"/>
  <c r="D622" i="23198"/>
  <c r="C622" i="23198"/>
  <c r="F597" i="23198"/>
  <c r="E597" i="23198"/>
  <c r="D597" i="23198"/>
  <c r="C597" i="23198"/>
  <c r="F579" i="23198"/>
  <c r="E579" i="23198"/>
  <c r="D579" i="23198"/>
  <c r="C579" i="23198"/>
  <c r="F566" i="23198"/>
  <c r="E566" i="23198"/>
  <c r="D566" i="23198"/>
  <c r="C566" i="23198"/>
  <c r="F544" i="23198"/>
  <c r="E544" i="23198"/>
  <c r="D544" i="23198"/>
  <c r="C544" i="23198"/>
  <c r="F518" i="23198"/>
  <c r="E518" i="23198"/>
  <c r="D518" i="23198"/>
  <c r="C518" i="23198"/>
  <c r="F500" i="23198"/>
  <c r="E500" i="23198"/>
  <c r="D500" i="23198"/>
  <c r="C500" i="23198"/>
  <c r="F486" i="23198"/>
  <c r="E486" i="23198"/>
  <c r="D486" i="23198"/>
  <c r="C486" i="23198"/>
  <c r="F462" i="23198"/>
  <c r="E462" i="23198"/>
  <c r="D462" i="23198"/>
  <c r="C462" i="23198"/>
  <c r="F444" i="23198"/>
  <c r="E444" i="23198"/>
  <c r="D444" i="23198"/>
  <c r="C444" i="23198"/>
  <c r="F419" i="23198"/>
  <c r="E419" i="23198"/>
  <c r="D419" i="23198"/>
  <c r="C419" i="23198"/>
  <c r="F394" i="23198"/>
  <c r="E394" i="23198"/>
  <c r="D394" i="23198"/>
  <c r="C394" i="23198"/>
  <c r="F369" i="23198"/>
  <c r="E369" i="23198"/>
  <c r="D369" i="23198"/>
  <c r="C369" i="23198"/>
  <c r="F344" i="23198"/>
  <c r="E344" i="23198"/>
  <c r="D344" i="23198"/>
  <c r="C344" i="23198"/>
  <c r="F319" i="23198"/>
  <c r="E319" i="23198"/>
  <c r="D319" i="23198"/>
  <c r="C319" i="23198"/>
  <c r="F294" i="23198"/>
  <c r="E294" i="23198"/>
  <c r="D294" i="23198"/>
  <c r="C294" i="23198"/>
  <c r="F269" i="23198"/>
  <c r="E269" i="23198"/>
  <c r="D269" i="23198"/>
  <c r="C269" i="23198"/>
  <c r="F244" i="23198"/>
  <c r="E244" i="23198"/>
  <c r="D244" i="23198"/>
  <c r="C244" i="23198"/>
  <c r="F219" i="23198"/>
  <c r="E219" i="23198"/>
  <c r="D219" i="23198"/>
  <c r="C219" i="23198"/>
  <c r="F197" i="23198"/>
  <c r="E197" i="23198"/>
  <c r="D197" i="23198"/>
  <c r="C197" i="23198"/>
  <c r="F172" i="23198"/>
  <c r="E172" i="23198"/>
  <c r="D172" i="23198"/>
  <c r="C172" i="23198"/>
  <c r="F154" i="23198"/>
  <c r="E154" i="23198"/>
  <c r="D154" i="23198"/>
  <c r="C154" i="23198"/>
  <c r="F130" i="23198"/>
  <c r="E130" i="23198"/>
  <c r="D130" i="23198"/>
  <c r="C130" i="23198"/>
  <c r="F106" i="23198"/>
  <c r="E106" i="23198"/>
  <c r="D106" i="23198"/>
  <c r="C106" i="23198"/>
  <c r="F74" i="23198"/>
  <c r="E74" i="23198"/>
  <c r="D74" i="23198"/>
  <c r="C74" i="23198"/>
  <c r="J31" i="39" l="1"/>
  <c r="G52" i="39" l="1"/>
  <c r="J52" i="39" s="1"/>
  <c r="G51" i="39"/>
  <c r="J51" i="39" s="1"/>
  <c r="W121" i="23184" l="1"/>
  <c r="W120" i="23184"/>
  <c r="G38" i="39" l="1"/>
  <c r="J38" i="39" s="1"/>
  <c r="Q13" i="23184" l="1"/>
  <c r="AQ121" i="23184" l="1"/>
  <c r="AQ120" i="23184"/>
  <c r="G47" i="39" l="1"/>
  <c r="J47" i="39" s="1"/>
  <c r="G48" i="39" l="1"/>
  <c r="J48" i="39" s="1"/>
  <c r="G50" i="39"/>
  <c r="J50" i="39" s="1"/>
  <c r="J25" i="39" l="1"/>
  <c r="J26" i="39"/>
  <c r="G49" i="39" l="1"/>
  <c r="J49" i="39" s="1"/>
  <c r="G55" i="39"/>
  <c r="J55" i="39" s="1"/>
  <c r="G54" i="39"/>
  <c r="J54" i="39" s="1"/>
  <c r="G37" i="39"/>
  <c r="J37" i="39" s="1"/>
  <c r="G23" i="39"/>
  <c r="J23" i="39" s="1"/>
  <c r="G27" i="39"/>
  <c r="J27" i="39" s="1"/>
  <c r="G28" i="39"/>
  <c r="J28" i="39" s="1"/>
  <c r="G29" i="39"/>
  <c r="J29" i="39" s="1"/>
  <c r="G24" i="39" l="1"/>
  <c r="J24" i="39" s="1"/>
  <c r="G36" i="39" l="1"/>
  <c r="G34" i="39"/>
  <c r="G22" i="39"/>
  <c r="J22" i="39" s="1"/>
  <c r="G21" i="39"/>
  <c r="J21" i="39" s="1"/>
  <c r="G20" i="39"/>
  <c r="J20" i="39" s="1"/>
  <c r="G19" i="39"/>
  <c r="J19" i="39" s="1"/>
  <c r="G18" i="39"/>
  <c r="J18" i="39" s="1"/>
  <c r="J34" i="39" l="1"/>
  <c r="J36" i="39"/>
  <c r="G33" i="39"/>
  <c r="J33" i="39" s="1"/>
  <c r="G16" i="39"/>
  <c r="J16" i="39" s="1"/>
  <c r="J56" i="39" l="1"/>
  <c r="K3" i="23193" l="1"/>
  <c r="C42" i="23193" l="1"/>
  <c r="C26" i="23193"/>
  <c r="C18" i="23193"/>
  <c r="C41" i="23193"/>
  <c r="C25" i="23193"/>
  <c r="C40" i="23193"/>
  <c r="C13" i="23193"/>
  <c r="C24" i="23193"/>
  <c r="C38" i="23193"/>
  <c r="C47" i="23193"/>
  <c r="C46" i="23193"/>
  <c r="C15" i="23193"/>
  <c r="C34" i="23193"/>
  <c r="C43" i="23193"/>
  <c r="K4" i="23193"/>
  <c r="C44" i="23193"/>
  <c r="C31" i="23193"/>
  <c r="C19" i="23193"/>
  <c r="C35" i="23193"/>
  <c r="C28" i="23193"/>
  <c r="C39" i="23193"/>
  <c r="C32" i="23193"/>
  <c r="C29" i="23193"/>
  <c r="C37" i="23193"/>
  <c r="C27" i="23193"/>
  <c r="C21" i="23193"/>
  <c r="C16" i="23193"/>
  <c r="C12" i="23193"/>
  <c r="C22" i="23193"/>
  <c r="K5" i="23193" l="1"/>
  <c r="I31" i="23193" l="1"/>
  <c r="H53" i="23193"/>
  <c r="H56" i="23193"/>
  <c r="H52" i="23193"/>
  <c r="I50" i="23193"/>
  <c r="H32" i="23193"/>
  <c r="H28" i="23193"/>
  <c r="H26" i="23193"/>
  <c r="H49" i="23193"/>
  <c r="H55" i="23193"/>
  <c r="I41" i="23193"/>
  <c r="H29" i="23193"/>
  <c r="H54" i="23193"/>
  <c r="H25" i="23193"/>
  <c r="I57" i="23193"/>
  <c r="L57" i="23193" s="1"/>
  <c r="H42" i="23193"/>
  <c r="H35" i="23193"/>
  <c r="I38" i="23193"/>
  <c r="H44" i="23193"/>
  <c r="I39" i="23193"/>
  <c r="I47" i="23193"/>
  <c r="H46" i="23193"/>
  <c r="I40" i="23193"/>
  <c r="I34" i="23193"/>
  <c r="H43" i="23193"/>
  <c r="I37" i="23193"/>
  <c r="I24" i="23193"/>
  <c r="L29" i="23193" s="1"/>
  <c r="H27" i="23193"/>
  <c r="C55" i="23193"/>
  <c r="C53" i="23193"/>
  <c r="C49" i="23193"/>
  <c r="C50" i="23193"/>
  <c r="C54" i="23193"/>
  <c r="C52" i="23193"/>
  <c r="C56" i="23193"/>
  <c r="C57" i="23193"/>
  <c r="K57" i="23193" l="1"/>
  <c r="M57" i="23193" s="1"/>
  <c r="K29" i="23193"/>
  <c r="M29" i="23193" s="1"/>
  <c r="L44" i="23193"/>
  <c r="K44" i="23193"/>
  <c r="M44" i="23193" l="1"/>
  <c r="A48" i="23183" l="1"/>
  <c r="A49" i="23183" l="1"/>
  <c r="A50" i="23183" l="1"/>
  <c r="A51" i="23183" l="1"/>
  <c r="A52" i="23183" l="1"/>
  <c r="A53" i="23183" l="1"/>
  <c r="A54" i="23183" l="1"/>
  <c r="A55" i="23183" l="1"/>
  <c r="A56" i="23183" l="1"/>
  <c r="A57" i="23183" l="1"/>
  <c r="A58" i="23183" l="1"/>
  <c r="A59" i="23183" l="1"/>
  <c r="A60" i="23183" l="1"/>
  <c r="A61" i="23183" l="1"/>
  <c r="A62" i="23183" l="1"/>
  <c r="A63" i="23183" l="1"/>
  <c r="A64" i="23183" l="1"/>
  <c r="A65" i="23183" l="1"/>
  <c r="A66" i="23183" l="1"/>
  <c r="A67" i="23183" l="1"/>
  <c r="A68" i="23183" l="1"/>
  <c r="A69" i="23183" l="1"/>
  <c r="A70" i="23183" l="1"/>
  <c r="A71" i="23183" l="1"/>
  <c r="A72" i="23183" l="1"/>
  <c r="A73" i="23183" l="1"/>
  <c r="A74" i="23183" l="1"/>
  <c r="A75" i="23183" l="1"/>
  <c r="A76" i="23183" l="1"/>
  <c r="A77" i="23183" l="1"/>
  <c r="A78" i="23183" l="1"/>
  <c r="A79" i="23183" l="1"/>
  <c r="A80" i="23183" l="1"/>
  <c r="A81" i="23183" l="1"/>
  <c r="A82" i="23183" l="1"/>
  <c r="A83" i="23183" l="1"/>
  <c r="A84" i="23183" l="1"/>
  <c r="A85" i="23183" l="1"/>
  <c r="A86" i="23183" l="1"/>
  <c r="A87" i="23183" l="1"/>
  <c r="I18" i="23193" l="1"/>
  <c r="H19" i="23193"/>
  <c r="H12" i="23193" l="1"/>
  <c r="H15" i="23193" l="1"/>
  <c r="I13" i="23193"/>
  <c r="H22" i="23193" l="1"/>
  <c r="H58" i="23193" s="1"/>
  <c r="I21" i="23193"/>
  <c r="I16" i="23193"/>
  <c r="I58" i="23193" l="1"/>
  <c r="K12" i="23193" s="1"/>
  <c r="L21" i="23178"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<sst xmlns="http://schemas.openxmlformats.org/spreadsheetml/2006/main" count="6725" uniqueCount="1479">
  <si>
    <t>Date de Paiement</t>
  </si>
  <si>
    <t xml:space="preserve"> </t>
  </si>
  <si>
    <t>Total</t>
  </si>
  <si>
    <t>Libellé</t>
  </si>
  <si>
    <t>Date d'Arrêté</t>
  </si>
  <si>
    <t>Email Address</t>
  </si>
  <si>
    <t>:</t>
  </si>
  <si>
    <t>Contact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</si>
  <si>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</si>
  <si>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</si>
  <si>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</si>
  <si>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</si>
  <si>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</si>
  <si>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</si>
  <si>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</si>
  <si>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</si>
  <si>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</si>
  <si>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</si>
  <si>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</si>
  <si>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</si>
  <si>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</si>
  <si>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</si>
  <si>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</si>
  <si>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</si>
  <si>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</si>
  <si>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</si>
  <si>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</si>
  <si>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</si>
  <si>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</si>
  <si>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</si>
  <si>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</si>
  <si>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</si>
  <si>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</si>
  <si>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</si>
  <si>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</si>
  <si>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</si>
  <si>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</si>
  <si>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</si>
  <si>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</si>
  <si>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</si>
  <si>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</si>
  <si>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</si>
  <si>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</si>
  <si>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</si>
  <si>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</si>
  <si>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</si>
  <si>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</si>
  <si>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</si>
  <si>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</si>
  <si>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</si>
  <si>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</si>
  <si>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</si>
  <si>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</si>
  <si>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</si>
  <si>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</si>
  <si>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</si>
  <si>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</si>
  <si>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</si>
  <si>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</si>
  <si>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</si>
  <si>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</si>
  <si>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</si>
  <si>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</si>
  <si>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</si>
  <si>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</si>
  <si>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</si>
  <si>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</si>
  <si>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</si>
  <si>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</si>
  <si>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</si>
  <si>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</si>
  <si>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</si>
  <si>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</si>
  <si>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</si>
  <si>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</si>
  <si>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</si>
  <si>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</si>
  <si>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</si>
  <si>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</si>
  <si>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</si>
  <si>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</si>
  <si>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</si>
  <si>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</si>
  <si>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</si>
  <si>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</si>
  <si>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</si>
  <si>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</si>
  <si>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</si>
  <si>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</si>
  <si>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</si>
  <si>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</si>
  <si>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</si>
  <si>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</si>
  <si>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</si>
  <si>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</si>
  <si>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</si>
  <si>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</si>
  <si>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</si>
  <si>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</si>
  <si>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</si>
  <si>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</si>
  <si>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</si>
  <si>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</si>
  <si>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</si>
  <si>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</si>
  <si>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</si>
  <si>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</si>
  <si>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</si>
  <si>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</si>
  <si>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</si>
  <si>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</si>
  <si>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</si>
  <si>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</si>
  <si>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</si>
  <si>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</si>
  <si>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</si>
  <si>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</si>
  <si>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</si>
  <si>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</si>
  <si>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</si>
  <si>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</si>
  <si>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</si>
  <si>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</si>
  <si>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</si>
  <si>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</si>
  <si>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</si>
  <si>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</si>
  <si>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</si>
  <si>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</si>
  <si>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</si>
  <si>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</si>
  <si>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</si>
  <si>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</si>
  <si>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</si>
  <si>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</si>
  <si>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</si>
  <si>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</si>
  <si>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</si>
  <si>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</si>
  <si>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</si>
  <si>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</si>
  <si>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</si>
  <si>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</si>
  <si>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</si>
  <si>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</si>
  <si>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</si>
  <si>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Penalties fees paid</t>
  </si>
  <si>
    <t>Miscellenaous amount paid</t>
  </si>
  <si>
    <t xml:space="preserve">Postponned interests installment </t>
  </si>
  <si>
    <t>Interim Interests further to prepayement</t>
  </si>
  <si>
    <t>Interests further to past Due Installments</t>
  </si>
  <si>
    <t>Collection interest (calculated)</t>
  </si>
  <si>
    <t>Re-transfer Price Refund</t>
  </si>
  <si>
    <t>Rescission Refund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</si>
  <si>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</si>
  <si>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</si>
  <si>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</si>
  <si>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</si>
  <si>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</si>
  <si>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</si>
  <si>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</si>
  <si>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</si>
  <si>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</si>
  <si>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</si>
  <si>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</si>
  <si>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</si>
  <si>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ESMA Report per year</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</si>
  <si>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</si>
  <si>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</si>
  <si>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</si>
  <si>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</si>
  <si>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</si>
  <si>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</si>
  <si>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</si>
  <si>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</si>
  <si>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</si>
  <si>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</si>
  <si>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</si>
  <si>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</si>
  <si>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</si>
  <si>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</si>
  <si>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</si>
  <si>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</si>
  <si>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</si>
  <si>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</si>
  <si>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</si>
  <si>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</si>
  <si>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</si>
  <si>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</si>
  <si>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</si>
  <si>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</si>
  <si>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</si>
  <si>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</si>
  <si>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</si>
  <si>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</si>
  <si>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</si>
  <si>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</si>
  <si>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</si>
  <si>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</si>
  <si>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</si>
  <si>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</si>
  <si>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</si>
  <si>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</si>
  <si>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</si>
  <si>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</si>
  <si>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</si>
  <si>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</si>
  <si>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</si>
  <si>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</si>
  <si>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</si>
  <si>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</si>
  <si>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</si>
  <si>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</si>
  <si>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</si>
  <si>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</si>
  <si>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</si>
  <si>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</si>
  <si>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</si>
  <si>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</si>
  <si>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</si>
  <si>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</si>
  <si>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</si>
  <si>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</si>
  <si>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</si>
  <si>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</si>
  <si>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Adjustment</t>
  </si>
  <si>
    <t>New Defaulted Amount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</si>
  <si>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</si>
  <si>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</si>
  <si>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</si>
  <si>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</si>
  <si>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</si>
  <si>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</si>
  <si>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</si>
  <si>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</si>
  <si>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</si>
  <si>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</si>
  <si>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</si>
  <si>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</si>
  <si>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</si>
  <si>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</si>
  <si>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</si>
  <si>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</si>
  <si>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</si>
  <si>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</si>
  <si>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</si>
  <si>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</si>
  <si>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</si>
  <si>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NON-PERFORMING</t>
  </si>
  <si>
    <t>Recovery Amount</t>
  </si>
  <si>
    <t>Gross Opening Amount</t>
  </si>
  <si>
    <t>Principal balance of receivables becoming   immediately payable in full</t>
  </si>
  <si>
    <t>Unpaid Balance
becoming   immediately payable in full</t>
  </si>
  <si>
    <t>Opening Amount in Principal</t>
  </si>
  <si>
    <t>Principal balance of receivables becoming immediately payable in full</t>
  </si>
  <si>
    <t>Unpaid Balance
becoming Defauted</t>
  </si>
  <si>
    <t>Unpaid Balance
becoming Performing</t>
  </si>
  <si>
    <t>Unpaid Balance
becoming immediately payable in full</t>
  </si>
  <si>
    <t>Unpaid Balance
becoming Defaulted</t>
  </si>
  <si>
    <t>Unpaid Balance of Principal becoming immediately payable in full</t>
  </si>
  <si>
    <t>Unpaid Balance of Interest becoming immediately payable in full</t>
  </si>
  <si>
    <t>Unpaid Balance of Others becoming immediately payable in full</t>
  </si>
  <si>
    <t>Indemnity apply to a loan becoming immediately payable in full</t>
  </si>
  <si>
    <t>Principal balance of receivables becoming  immediately payable in full</t>
  </si>
  <si>
    <t>Gross closing Amount(calculated)</t>
  </si>
  <si>
    <t>Closing amount in Prinicpal (calculated)</t>
  </si>
  <si>
    <t>Closing Outstanding Balances of the receivables becoming immediately payable in full (declared)</t>
  </si>
  <si>
    <t>Payment_Method</t>
  </si>
  <si>
    <t>Code_Paiement</t>
  </si>
  <si>
    <t>Country</t>
  </si>
  <si>
    <t>Charge_Bearer</t>
  </si>
  <si>
    <t>Address</t>
  </si>
  <si>
    <t>Residual Units</t>
  </si>
  <si>
    <t>IQ EQ Management</t>
  </si>
  <si>
    <t>MILLEIS BANQUE</t>
  </si>
  <si>
    <t>BPSS</t>
  </si>
  <si>
    <t>hugo.lavayssiere@iqeq.com</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</si>
  <si>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</si>
  <si>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</si>
  <si>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</si>
  <si>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</si>
  <si>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</si>
  <si>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</si>
  <si>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</si>
  <si>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</si>
  <si>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</si>
  <si>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</si>
  <si>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</si>
  <si>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</si>
  <si>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</si>
  <si>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</si>
  <si>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</si>
  <si>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</si>
  <si>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</si>
  <si>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</si>
  <si>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</si>
  <si>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</si>
  <si>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</si>
  <si>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</si>
  <si>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</si>
  <si>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</si>
  <si>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</si>
  <si>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</si>
  <si>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Weighted Average Indexed Loan to Value</t>
  </si>
  <si>
    <t>00-13</t>
  </si>
  <si>
    <t>Weighted Average Indexed Loan to Value – Mortgage</t>
  </si>
  <si>
    <t>00-14</t>
  </si>
  <si>
    <t>Weighted Average Indexed Loan to Value – Guarantor</t>
  </si>
  <si>
    <t>00-15</t>
  </si>
  <si>
    <t xml:space="preserve">Proportion of Mortgage </t>
  </si>
  <si>
    <t>00-16</t>
  </si>
  <si>
    <t>Proportion of SACCEF</t>
  </si>
  <si>
    <t>00-17</t>
  </si>
  <si>
    <t>Proportion of CNP</t>
  </si>
  <si>
    <t>00-18</t>
  </si>
  <si>
    <t>Proportion of Crédit Logement</t>
  </si>
  <si>
    <t>1. Breakdown by Principal Outstanding Balance</t>
  </si>
  <si>
    <t>Bucket Principal Outstanding Balance</t>
  </si>
  <si>
    <t>% of Total (Amount)</t>
  </si>
  <si>
    <t>Nb of Loans</t>
  </si>
  <si>
    <t>% of Total (Number)</t>
  </si>
  <si>
    <t>01-01</t>
  </si>
  <si>
    <t>&lt;= 25 000</t>
  </si>
  <si>
    <t>01-02</t>
  </si>
  <si>
    <t>] 25 000 ; 50 000 ]</t>
  </si>
  <si>
    <t>01-03</t>
  </si>
  <si>
    <t>] 50 000 ; 75 000 ]</t>
  </si>
  <si>
    <t>01-04</t>
  </si>
  <si>
    <t>] 75 000 ; 100 000 ]</t>
  </si>
  <si>
    <t>01-05</t>
  </si>
  <si>
    <t>] 100 000 ; 150 000 ]</t>
  </si>
  <si>
    <t>01-06</t>
  </si>
  <si>
    <t>] 150 000 ; 200 000 ]</t>
  </si>
  <si>
    <t>01-07</t>
  </si>
  <si>
    <t>] 200 000 ; 250 000 ]</t>
  </si>
  <si>
    <t>01-08</t>
  </si>
  <si>
    <t>] 250 000 ; 300 000 ]</t>
  </si>
  <si>
    <t>01-09</t>
  </si>
  <si>
    <t>] 300 000 ; 350 000 ]</t>
  </si>
  <si>
    <t>01-10</t>
  </si>
  <si>
    <t>] 350 000 ; 400 000 ]</t>
  </si>
  <si>
    <t>01-11</t>
  </si>
  <si>
    <t>] 400 000 ; 450 000 ]</t>
  </si>
  <si>
    <t>01-12</t>
  </si>
  <si>
    <t>] 450 000 ; 500 000 ]</t>
  </si>
  <si>
    <t>01-13</t>
  </si>
  <si>
    <t>] 500 000 ; 550 000 ]</t>
  </si>
  <si>
    <t>01-14</t>
  </si>
  <si>
    <t>] 550 000 ; 600 000 ]</t>
  </si>
  <si>
    <t>01-15</t>
  </si>
  <si>
    <t>] 600 000 ; 650 000 ]</t>
  </si>
  <si>
    <t>01-16</t>
  </si>
  <si>
    <t>] 650 000 ; 700 000 ]</t>
  </si>
  <si>
    <t>01-17</t>
  </si>
  <si>
    <t>] 700 000 ; 750 000 ]</t>
  </si>
  <si>
    <t>01-18</t>
  </si>
  <si>
    <t>] 750 000 ; 800 000 ]</t>
  </si>
  <si>
    <t>01-19</t>
  </si>
  <si>
    <t>] 800 000 ; 850 000 ]</t>
  </si>
  <si>
    <t>01-20</t>
  </si>
  <si>
    <t>] 850 000 ; 900 000 ]</t>
  </si>
  <si>
    <t>01-21</t>
  </si>
  <si>
    <t>] 900 000 ; 950 000 ]</t>
  </si>
  <si>
    <t>01-22</t>
  </si>
  <si>
    <t>] 950 000 ; 1 000 000 ]</t>
  </si>
  <si>
    <t>01-23</t>
  </si>
  <si>
    <t>&gt; 1 000 000</t>
  </si>
  <si>
    <t>01-97</t>
  </si>
  <si>
    <t xml:space="preserve">Maximum </t>
  </si>
  <si>
    <t>01-98</t>
  </si>
  <si>
    <t xml:space="preserve">Minimum </t>
  </si>
  <si>
    <t>01-99</t>
  </si>
  <si>
    <t>Average</t>
  </si>
  <si>
    <t>2. Breakdown by Principal Original Balance</t>
  </si>
  <si>
    <t>Bucket Principal Original Balance</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</si>
  <si>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</si>
  <si>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</si>
  <si>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</si>
  <si>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</si>
  <si>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</si>
  <si>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</si>
  <si>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</si>
  <si>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</si>
  <si>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</si>
  <si>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</si>
  <si>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</si>
  <si>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</si>
  <si>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</si>
  <si>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</si>
  <si>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</si>
  <si>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</si>
  <si>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</si>
  <si>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</si>
  <si>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</si>
  <si>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</si>
  <si>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</si>
  <si>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</si>
  <si>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</si>
  <si>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02-97</t>
  </si>
  <si>
    <t>02-98</t>
  </si>
  <si>
    <t>02-99</t>
  </si>
  <si>
    <t>3. Breakdown by Seasoning</t>
  </si>
  <si>
    <t>Bucket Seasoning (in months)</t>
  </si>
  <si>
    <t>03-01</t>
  </si>
  <si>
    <t>[ 0 ; 6 [</t>
  </si>
  <si>
    <t>03-02</t>
  </si>
  <si>
    <t>[ 6 ; 12 [</t>
  </si>
  <si>
    <t>03-03</t>
  </si>
  <si>
    <t>[ 12 ; 18 [</t>
  </si>
  <si>
    <t>03-04</t>
  </si>
  <si>
    <t>[ 18 ; 24 [</t>
  </si>
  <si>
    <t>03-05</t>
  </si>
  <si>
    <t>[ 24 ; 30 [</t>
  </si>
  <si>
    <t>03-06</t>
  </si>
  <si>
    <t>[ 30 ; 36 [</t>
  </si>
  <si>
    <t>03-07</t>
  </si>
  <si>
    <t>[ 36 ; 42 [</t>
  </si>
  <si>
    <t>03-08</t>
  </si>
  <si>
    <t>[ 42 ; 48 [</t>
  </si>
  <si>
    <t>03-09</t>
  </si>
  <si>
    <t>[ 48 ; 54 [</t>
  </si>
  <si>
    <t>03-10</t>
  </si>
  <si>
    <t>[ 54 ; 60 [</t>
  </si>
  <si>
    <t>03-11</t>
  </si>
  <si>
    <t>[ 60 ; 66 [</t>
  </si>
  <si>
    <t>03-12</t>
  </si>
  <si>
    <t>[ 66 ; 72 [</t>
  </si>
  <si>
    <t>03-13</t>
  </si>
  <si>
    <t>[ 72 ; 78 [</t>
  </si>
  <si>
    <t>03-14</t>
  </si>
  <si>
    <t>[ 78 ; 84 [</t>
  </si>
  <si>
    <t>03-15</t>
  </si>
  <si>
    <t>&gt;= 84</t>
  </si>
  <si>
    <t>03-97</t>
  </si>
  <si>
    <t>03-98</t>
  </si>
  <si>
    <t>03-99</t>
  </si>
  <si>
    <t>4. Breakdown by Remaining Term to Maturity</t>
  </si>
  <si>
    <t>Bucket Remaining Term to Maturity  (in months)</t>
  </si>
  <si>
    <t>04-01</t>
  </si>
  <si>
    <t>04-02</t>
  </si>
  <si>
    <t>04-03</t>
  </si>
  <si>
    <t>04-04</t>
  </si>
  <si>
    <t>04-05</t>
  </si>
  <si>
    <t>04-06</t>
  </si>
  <si>
    <t>04-07</t>
  </si>
  <si>
    <t>04-08</t>
  </si>
  <si>
    <t>04-09</t>
  </si>
  <si>
    <t>04-10</t>
  </si>
  <si>
    <t>04-11</t>
  </si>
  <si>
    <t>04-12</t>
  </si>
  <si>
    <t>04-13</t>
  </si>
  <si>
    <t>04-14</t>
  </si>
  <si>
    <t>04-15</t>
  </si>
  <si>
    <t>04-97</t>
  </si>
  <si>
    <t>04-98</t>
  </si>
  <si>
    <t>04-99</t>
  </si>
  <si>
    <t>5. Breakdown by Year of Origination</t>
  </si>
  <si>
    <t>Year of Origination</t>
  </si>
  <si>
    <t>05-01</t>
  </si>
  <si>
    <t>05-02</t>
  </si>
  <si>
    <t>05-03</t>
  </si>
  <si>
    <t>05-04</t>
  </si>
  <si>
    <t>05-05</t>
  </si>
  <si>
    <t>05-06</t>
  </si>
  <si>
    <t>05-07</t>
  </si>
  <si>
    <t>05-08</t>
  </si>
  <si>
    <t>05-09</t>
  </si>
  <si>
    <t>05-97</t>
  </si>
  <si>
    <t>05-98</t>
  </si>
  <si>
    <t>05-99</t>
  </si>
  <si>
    <t>6. Breakdown by Interest Rate</t>
  </si>
  <si>
    <t>Bucket Interest Rate</t>
  </si>
  <si>
    <t>06-01</t>
  </si>
  <si>
    <t>[ 1,50% ; 2,00% [</t>
  </si>
  <si>
    <t>06-02</t>
  </si>
  <si>
    <t>[ 2,00% ; 2,50% [</t>
  </si>
  <si>
    <t>06-03</t>
  </si>
  <si>
    <t>[ 2,50% ; 3,00% [</t>
  </si>
  <si>
    <t>06-04</t>
  </si>
  <si>
    <t>[ 3,00% ; 3,50% [</t>
  </si>
  <si>
    <t>06-05</t>
  </si>
  <si>
    <t>[ 3,50% ; 4,00% [</t>
  </si>
  <si>
    <t>06-06</t>
  </si>
  <si>
    <t>[ 4,00% ; 4,50% [</t>
  </si>
  <si>
    <t>06-07</t>
  </si>
  <si>
    <t>[ 4,50% ; 5,00% [</t>
  </si>
  <si>
    <t>06-08</t>
  </si>
  <si>
    <t>[ 5,00% ; 5,50% [</t>
  </si>
  <si>
    <t>06-09</t>
  </si>
  <si>
    <t>[ 5,50% ; 6,00% [</t>
  </si>
  <si>
    <t>06-10</t>
  </si>
  <si>
    <t>[ 6,00% ; 6,50% [</t>
  </si>
  <si>
    <t>06-11</t>
  </si>
  <si>
    <t>[ 6,50% ; 7,00% [</t>
  </si>
  <si>
    <t>06-12</t>
  </si>
  <si>
    <t>[ 7,00% ; 7,50% [</t>
  </si>
  <si>
    <t>06-13</t>
  </si>
  <si>
    <t>[ 7,50% ; 8,00% [</t>
  </si>
  <si>
    <t>06-14</t>
  </si>
  <si>
    <t>[ 8,00% ; 8,50% [</t>
  </si>
  <si>
    <t>06-15</t>
  </si>
  <si>
    <t>[ 8,50% ; 9,00% [</t>
  </si>
  <si>
    <t>06-16</t>
  </si>
  <si>
    <t>&gt;= 9,00</t>
  </si>
  <si>
    <t>06-97</t>
  </si>
  <si>
    <t>06-98</t>
  </si>
  <si>
    <t>06-99</t>
  </si>
  <si>
    <t>7. Breakdown by Interest Rate Type</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</si>
  <si>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</si>
  <si>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</si>
  <si>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</si>
  <si>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</si>
  <si>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</si>
  <si>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</si>
  <si>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</si>
  <si>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</si>
  <si>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</si>
  <si>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</si>
  <si>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</si>
  <si>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</si>
  <si>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</si>
  <si>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07-07</t>
  </si>
  <si>
    <t>Floating rate underlying exposure with cap</t>
  </si>
  <si>
    <t>07-08</t>
  </si>
  <si>
    <t>Floating rate underlying exposure with both floor and cap</t>
  </si>
  <si>
    <t>07-09</t>
  </si>
  <si>
    <t>Discount</t>
  </si>
  <si>
    <t>07-10</t>
  </si>
  <si>
    <t>Switch Optionality</t>
  </si>
  <si>
    <t>07-11</t>
  </si>
  <si>
    <t>Obligor Swapped</t>
  </si>
  <si>
    <t>07-12</t>
  </si>
  <si>
    <t>Modular</t>
  </si>
  <si>
    <t>07-13</t>
  </si>
  <si>
    <t>Other</t>
  </si>
  <si>
    <t>07-97</t>
  </si>
  <si>
    <t>07-98</t>
  </si>
  <si>
    <t>07-99</t>
  </si>
  <si>
    <t>8. Breakdown by Current Loan-to-Value</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</si>
  <si>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</si>
  <si>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</si>
  <si>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</si>
  <si>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</si>
  <si>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</si>
  <si>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</si>
  <si>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</si>
  <si>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</si>
  <si>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</si>
  <si>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</si>
  <si>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</si>
  <si>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</si>
  <si>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</si>
  <si>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</si>
  <si>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</si>
  <si>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</si>
  <si>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</si>
  <si>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</si>
  <si>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</si>
  <si>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</si>
  <si>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</si>
  <si>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</si>
  <si>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 100% ; 110% ]</t>
  </si>
  <si>
    <t>08-12</t>
  </si>
  <si>
    <t>] 110% ; 120% ]</t>
  </si>
  <si>
    <t>08-13</t>
  </si>
  <si>
    <t>] 120% ; 130% ]</t>
  </si>
  <si>
    <t>08-14</t>
  </si>
  <si>
    <t>] 130% ; 140% ]</t>
  </si>
  <si>
    <t>08-15</t>
  </si>
  <si>
    <t>] 140% ; 150% ]</t>
  </si>
  <si>
    <t>08-16</t>
  </si>
  <si>
    <t>&gt; 150%</t>
  </si>
  <si>
    <t>08-97</t>
  </si>
  <si>
    <t>08-98</t>
  </si>
  <si>
    <t>08-99</t>
  </si>
  <si>
    <t>9 a. Current Loan-to-Value (Mortgages)</t>
  </si>
  <si>
    <t>09-01</t>
  </si>
  <si>
    <t>09-02</t>
  </si>
  <si>
    <t>09-03</t>
  </si>
  <si>
    <t>09-04</t>
  </si>
  <si>
    <t>09-05</t>
  </si>
  <si>
    <t>09-06</t>
  </si>
  <si>
    <t>09-07</t>
  </si>
  <si>
    <t>09-08</t>
  </si>
  <si>
    <t>09-09</t>
  </si>
  <si>
    <t>09-10</t>
  </si>
  <si>
    <t>09-11</t>
  </si>
  <si>
    <t>09-12</t>
  </si>
  <si>
    <t>09-13</t>
  </si>
  <si>
    <t>09-14</t>
  </si>
  <si>
    <t>09-15</t>
  </si>
  <si>
    <t>09-16</t>
  </si>
  <si>
    <t>09-97</t>
  </si>
  <si>
    <t>09-98</t>
  </si>
  <si>
    <t>09-99</t>
  </si>
  <si>
    <t>9 b. Current Loan-to-Value (Guaranteed Loans)</t>
  </si>
  <si>
    <t>10-01</t>
  </si>
  <si>
    <t>10-02</t>
  </si>
  <si>
    <t>10-03</t>
  </si>
  <si>
    <t>10-04</t>
  </si>
  <si>
    <t>10-05</t>
  </si>
  <si>
    <t>10-06</t>
  </si>
  <si>
    <t>10-07</t>
  </si>
  <si>
    <t>10-08</t>
  </si>
  <si>
    <t>10-09</t>
  </si>
  <si>
    <t>10-10</t>
  </si>
  <si>
    <t>10-11</t>
  </si>
  <si>
    <t>10-12</t>
  </si>
  <si>
    <t>10-13</t>
  </si>
  <si>
    <t>10-14</t>
  </si>
  <si>
    <t>10-15</t>
  </si>
  <si>
    <t>10-16</t>
  </si>
  <si>
    <t>10-97</t>
  </si>
  <si>
    <t>10-98</t>
  </si>
  <si>
    <t>10-99</t>
  </si>
  <si>
    <t>10. Breakdown by Original Loan-to-Value</t>
  </si>
  <si>
    <t>Bucket Original Loan-to-Value</t>
  </si>
  <si>
    <t>11-01</t>
  </si>
  <si>
    <t>11-02</t>
  </si>
  <si>
    <t>11-03</t>
  </si>
  <si>
    <t>11-04</t>
  </si>
  <si>
    <t>11-05</t>
  </si>
  <si>
    <t>11-06</t>
  </si>
  <si>
    <t>11-07</t>
  </si>
  <si>
    <t>11-08</t>
  </si>
  <si>
    <t>11-09</t>
  </si>
  <si>
    <t>11-10</t>
  </si>
  <si>
    <t>11-11</t>
  </si>
  <si>
    <t>11-12</t>
  </si>
  <si>
    <t>11-13</t>
  </si>
  <si>
    <t>11-14</t>
  </si>
  <si>
    <t>11-15</t>
  </si>
  <si>
    <t>11-16</t>
  </si>
  <si>
    <t>11-97</t>
  </si>
  <si>
    <t>11-98</t>
  </si>
  <si>
    <t>11-99</t>
  </si>
  <si>
    <t>10 a. Breakdown by Original Loan-to-Value (Mortgages)</t>
  </si>
  <si>
    <t>12-01</t>
  </si>
  <si>
    <t>12-02</t>
  </si>
  <si>
    <t>12-03</t>
  </si>
  <si>
    <t>12-04</t>
  </si>
  <si>
    <t>12-05</t>
  </si>
  <si>
    <t>12-06</t>
  </si>
  <si>
    <t>12-07</t>
  </si>
  <si>
    <t>12-08</t>
  </si>
  <si>
    <t>12-09</t>
  </si>
  <si>
    <t>12-10</t>
  </si>
  <si>
    <t>12-11</t>
  </si>
  <si>
    <t>12-12</t>
  </si>
  <si>
    <t>12-13</t>
  </si>
  <si>
    <t>12-14</t>
  </si>
  <si>
    <t>12-15</t>
  </si>
  <si>
    <t>12-16</t>
  </si>
  <si>
    <t>12-97</t>
  </si>
  <si>
    <t>12-98</t>
  </si>
  <si>
    <t>12-99</t>
  </si>
  <si>
    <t>10 b. Breakdown by Original Loan-to-Value (Guaranteed Loans)</t>
  </si>
  <si>
    <t>13-01</t>
  </si>
  <si>
    <t>13-02</t>
  </si>
  <si>
    <t>13-03</t>
  </si>
  <si>
    <t>13-04</t>
  </si>
  <si>
    <t>13-05</t>
  </si>
  <si>
    <t>13-06</t>
  </si>
  <si>
    <t>13-07</t>
  </si>
  <si>
    <t>13-08</t>
  </si>
  <si>
    <t>13-09</t>
  </si>
  <si>
    <t>13-10</t>
  </si>
  <si>
    <t>13-11</t>
  </si>
  <si>
    <t>13-12</t>
  </si>
  <si>
    <t>13-13</t>
  </si>
  <si>
    <t>13-14</t>
  </si>
  <si>
    <t>13-15</t>
  </si>
  <si>
    <t>13-16</t>
  </si>
  <si>
    <t>13-97</t>
  </si>
  <si>
    <t>13-98</t>
  </si>
  <si>
    <t>13-99</t>
  </si>
  <si>
    <t>11. Breakdown by Indexed Loan-to-Value</t>
  </si>
  <si>
    <t>Bucket Indexed Loan-to-Value</t>
  </si>
  <si>
    <t>14-01</t>
  </si>
  <si>
    <t>14-02</t>
  </si>
  <si>
    <t>14-03</t>
  </si>
  <si>
    <t>14-04</t>
  </si>
  <si>
    <t>14-05</t>
  </si>
  <si>
    <t>14-06</t>
  </si>
  <si>
    <t>14-07</t>
  </si>
  <si>
    <t>14-08</t>
  </si>
  <si>
    <t>14-09</t>
  </si>
  <si>
    <t>14-10</t>
  </si>
  <si>
    <t>14-11</t>
  </si>
  <si>
    <t>14-12</t>
  </si>
  <si>
    <t>14-13</t>
  </si>
  <si>
    <t>14-14</t>
  </si>
  <si>
    <t>14-15</t>
  </si>
  <si>
    <t>14-16</t>
  </si>
  <si>
    <t>14-97</t>
  </si>
  <si>
    <t>14-98</t>
  </si>
  <si>
    <t>14-99</t>
  </si>
  <si>
    <t>11 a. Breakdown by Indexed Loan-to-Value (Mortgages)</t>
  </si>
  <si>
    <t>15-01</t>
  </si>
  <si>
    <t>15-02</t>
  </si>
  <si>
    <t>15-03</t>
  </si>
  <si>
    <t>15-04</t>
  </si>
  <si>
    <t>15-05</t>
  </si>
  <si>
    <t>15-06</t>
  </si>
  <si>
    <t>15-07</t>
  </si>
  <si>
    <t>15-08</t>
  </si>
  <si>
    <t>15-09</t>
  </si>
  <si>
    <t>15-10</t>
  </si>
  <si>
    <t>15-11</t>
  </si>
  <si>
    <t>15-12</t>
  </si>
  <si>
    <t>15-13</t>
  </si>
  <si>
    <t>15-14</t>
  </si>
  <si>
    <t>15-15</t>
  </si>
  <si>
    <t>15-16</t>
  </si>
  <si>
    <t>15-97</t>
  </si>
  <si>
    <t>15-98</t>
  </si>
  <si>
    <t>15-99</t>
  </si>
  <si>
    <t>11 b. Breakdown by Indexed Loan-to-Value (Guaranteed Loans)</t>
  </si>
  <si>
    <t>16-01</t>
  </si>
  <si>
    <t>16-02</t>
  </si>
  <si>
    <t>16-03</t>
  </si>
  <si>
    <t>16-04</t>
  </si>
  <si>
    <t>16-05</t>
  </si>
  <si>
    <t>16-06</t>
  </si>
  <si>
    <t>16-07</t>
  </si>
  <si>
    <t>16-08</t>
  </si>
  <si>
    <t>16-09</t>
  </si>
  <si>
    <t>16-10</t>
  </si>
  <si>
    <t>16-11</t>
  </si>
  <si>
    <t>16-12</t>
  </si>
  <si>
    <t>16-13</t>
  </si>
  <si>
    <t>16-14</t>
  </si>
  <si>
    <t>16-15</t>
  </si>
  <si>
    <t>16-16</t>
  </si>
  <si>
    <t>16-97</t>
  </si>
  <si>
    <t>16-98</t>
  </si>
  <si>
    <t>16-99</t>
  </si>
  <si>
    <t>Property Type</t>
  </si>
  <si>
    <t>17-01</t>
  </si>
  <si>
    <t>Residential (House, detached or semi-detached)</t>
  </si>
  <si>
    <t>17-02</t>
  </si>
  <si>
    <t>Residential (Flat or Apartment)</t>
  </si>
  <si>
    <t>17-03</t>
  </si>
  <si>
    <t>Residential (Bungalow)</t>
  </si>
  <si>
    <t>17-04</t>
  </si>
  <si>
    <t>Residential (Terraced House)</t>
  </si>
  <si>
    <t>17-05</t>
  </si>
  <si>
    <t>Multifamily House (properties with more than four units securing one underlying exposure)</t>
  </si>
  <si>
    <t>17-06</t>
  </si>
  <si>
    <t>Partial Commercial use (property is used as a residence as well as for commercial use where less than 50% of its value derived from commercial use, e.g. doctor’s surgery and house)</t>
  </si>
  <si>
    <t>17-07</t>
  </si>
  <si>
    <t>Commercial or Business Use</t>
  </si>
  <si>
    <t>17-08</t>
  </si>
  <si>
    <t>Land Only</t>
  </si>
  <si>
    <t>17-09</t>
  </si>
  <si>
    <t>17-97</t>
  </si>
  <si>
    <t>17-98</t>
  </si>
  <si>
    <t>17-99</t>
  </si>
  <si>
    <t>Account Status</t>
  </si>
  <si>
    <t>18-01</t>
  </si>
  <si>
    <t>Performing</t>
  </si>
  <si>
    <t>18-02</t>
  </si>
  <si>
    <t>Restructured - No Arrears</t>
  </si>
  <si>
    <t>18-03</t>
  </si>
  <si>
    <t>Restructured - Arrears</t>
  </si>
  <si>
    <t>18-04</t>
  </si>
  <si>
    <t>Defaulted according to Article 178 of Regulation (EU) No 575/2013</t>
  </si>
  <si>
    <t>18-05</t>
  </si>
  <si>
    <t>Not defaulted according to Article 178 of Regulation (EU) No 575/2013 but classified as defaulted due to another definition of default being met</t>
  </si>
  <si>
    <t>18-06</t>
  </si>
  <si>
    <t>Defaulted both according to Article 178 of Regulation (EU) No 575/2013 and according to another definition of default being met</t>
  </si>
  <si>
    <t>18-07</t>
  </si>
  <si>
    <t>Defaulted only under another definition of default being met</t>
  </si>
  <si>
    <t>18-08</t>
  </si>
  <si>
    <t>18-09</t>
  </si>
  <si>
    <t>Repurchased by Seller – Breach of Representations and Warranties</t>
  </si>
  <si>
    <t>18-10</t>
  </si>
  <si>
    <t>Repurchased by Seller – Defaulted</t>
  </si>
  <si>
    <t>18-11</t>
  </si>
  <si>
    <t>Repurchased by Seller – Restructured</t>
  </si>
  <si>
    <t>18-12</t>
  </si>
  <si>
    <t>Repurchased by Seller – Special Servicing</t>
  </si>
  <si>
    <t>18-13</t>
  </si>
  <si>
    <t>Repurchased by Seller – Other Reason</t>
  </si>
  <si>
    <t>18-14</t>
  </si>
  <si>
    <t>Redeemed</t>
  </si>
  <si>
    <t>18-15</t>
  </si>
  <si>
    <t>18-97</t>
  </si>
  <si>
    <t>18-98</t>
  </si>
  <si>
    <t>18-99</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</si>
  <si>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</si>
  <si>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</si>
  <si>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</si>
  <si>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</si>
  <si>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</si>
  <si>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</si>
  <si>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</si>
  <si>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</si>
  <si>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</si>
  <si>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</si>
  <si>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</si>
  <si>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</si>
  <si>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</si>
  <si>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</si>
  <si>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</si>
  <si>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</si>
  <si>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</si>
  <si>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</si>
  <si>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</si>
  <si>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</si>
  <si>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</si>
  <si>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</si>
  <si>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</si>
  <si>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</si>
  <si>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</si>
  <si>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</si>
  <si>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</si>
  <si>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</si>
  <si>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</si>
  <si>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</si>
  <si>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</si>
  <si>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</si>
  <si>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</si>
  <si>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</si>
  <si>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Bucket Instalment</t>
  </si>
  <si>
    <t>21-01</t>
  </si>
  <si>
    <t>[ 0 ; 200 [</t>
  </si>
  <si>
    <t>21-02</t>
  </si>
  <si>
    <t>[ 200 ; 400 [</t>
  </si>
  <si>
    <t>21-03</t>
  </si>
  <si>
    <t>[ 400 ; 600 [</t>
  </si>
  <si>
    <t>21-04</t>
  </si>
  <si>
    <t>[ 600 ; 800 [</t>
  </si>
  <si>
    <t>21-05</t>
  </si>
  <si>
    <t>[ 800 ; 1000 [</t>
  </si>
  <si>
    <t>21-06</t>
  </si>
  <si>
    <t>[ 1000 ; 1200 [</t>
  </si>
  <si>
    <t>21-07</t>
  </si>
  <si>
    <t>[ 1200 ; 1400 [</t>
  </si>
  <si>
    <t>21-08</t>
  </si>
  <si>
    <t>[ 1400 ; 1600 [</t>
  </si>
  <si>
    <t>21-09</t>
  </si>
  <si>
    <t>[ 1600 ; 1800 [</t>
  </si>
  <si>
    <t>21-10</t>
  </si>
  <si>
    <t>[ 1800 ; 2000 [</t>
  </si>
  <si>
    <t>21-11</t>
  </si>
  <si>
    <t>[ 2500 ; 3000 [</t>
  </si>
  <si>
    <t>21-12</t>
  </si>
  <si>
    <t>[ 3000 ; 3500 [</t>
  </si>
  <si>
    <t>21-13</t>
  </si>
  <si>
    <t>[ 3500 ; 4000 [</t>
  </si>
  <si>
    <t>21-14</t>
  </si>
  <si>
    <t>[ 4000 ; 5000 [</t>
  </si>
  <si>
    <t>21-15</t>
  </si>
  <si>
    <t>[ 5000 ; 10000 [</t>
  </si>
  <si>
    <t>21-16</t>
  </si>
  <si>
    <t>&gt; 10000</t>
  </si>
  <si>
    <t>21-97</t>
  </si>
  <si>
    <t>21-98</t>
  </si>
  <si>
    <t>21-99</t>
  </si>
  <si>
    <t>Property Region</t>
  </si>
  <si>
    <t>22-01</t>
  </si>
  <si>
    <t>Île-de-France</t>
  </si>
  <si>
    <t>22-02</t>
  </si>
  <si>
    <t>Auvergne-Rhône-Alpes</t>
  </si>
  <si>
    <t>22-03</t>
  </si>
  <si>
    <t>Nouvelle-Aquitaine</t>
  </si>
  <si>
    <t>22-04</t>
  </si>
  <si>
    <t>Occitanie</t>
  </si>
  <si>
    <t>22-05</t>
  </si>
  <si>
    <t>Hauts-de-France</t>
  </si>
  <si>
    <t>22-06</t>
  </si>
  <si>
    <t>Provence-Alpes-Côte d'Azur</t>
  </si>
  <si>
    <t>22-07</t>
  </si>
  <si>
    <t>Grand Est</t>
  </si>
  <si>
    <t>22-08</t>
  </si>
  <si>
    <t>Pays de la Loire</t>
  </si>
  <si>
    <t>22-09</t>
  </si>
  <si>
    <t>Bretagne</t>
  </si>
  <si>
    <t>22-10</t>
  </si>
  <si>
    <t>Centre-Val de Loire</t>
  </si>
  <si>
    <t>22-11</t>
  </si>
  <si>
    <t>Normandie</t>
  </si>
  <si>
    <t>22-12</t>
  </si>
  <si>
    <t>Bourgogne-Franche-Comté</t>
  </si>
  <si>
    <t>22-13</t>
  </si>
  <si>
    <t>22-97</t>
  </si>
  <si>
    <t>22-98</t>
  </si>
  <si>
    <t>22-99</t>
  </si>
  <si>
    <t>Guarantee Provider</t>
  </si>
  <si>
    <t>23-01</t>
  </si>
  <si>
    <t>SACCEF</t>
  </si>
  <si>
    <t>23-02</t>
  </si>
  <si>
    <t>CNP</t>
  </si>
  <si>
    <t>23-03</t>
  </si>
  <si>
    <t>Credit Logement</t>
  </si>
  <si>
    <t>23-04</t>
  </si>
  <si>
    <t>Breakdown by Purpose</t>
  </si>
  <si>
    <t>24-01</t>
  </si>
  <si>
    <t>Purchase</t>
  </si>
  <si>
    <t>24-02</t>
  </si>
  <si>
    <t>Remortgage</t>
  </si>
  <si>
    <t>24-03</t>
  </si>
  <si>
    <t>Renovation</t>
  </si>
  <si>
    <t>24-04</t>
  </si>
  <si>
    <t>Equity Release</t>
  </si>
  <si>
    <t>24-05</t>
  </si>
  <si>
    <t>Construction</t>
  </si>
  <si>
    <t>24-06</t>
  </si>
  <si>
    <t>Debt Consolidation</t>
  </si>
  <si>
    <t>24-07</t>
  </si>
  <si>
    <t>Remortgage with Equity Release</t>
  </si>
  <si>
    <t>24-08</t>
  </si>
  <si>
    <t>Business Funding</t>
  </si>
  <si>
    <t>24-09</t>
  </si>
  <si>
    <t>Combination Mortgage</t>
  </si>
  <si>
    <t>24-10</t>
  </si>
  <si>
    <t>Investment Mortgage</t>
  </si>
  <si>
    <t>24-11</t>
  </si>
  <si>
    <t>Right to Buy</t>
  </si>
  <si>
    <t>24-12</t>
  </si>
  <si>
    <t>Government Sponsored Loan</t>
  </si>
  <si>
    <t>24-13</t>
  </si>
  <si>
    <t>Top 20 Borrowers</t>
  </si>
  <si>
    <t>25-01</t>
  </si>
  <si>
    <t>Top 1</t>
  </si>
  <si>
    <t>25-02</t>
  </si>
  <si>
    <t>Top 2</t>
  </si>
  <si>
    <t>25-03</t>
  </si>
  <si>
    <t>Top 3</t>
  </si>
  <si>
    <t>25-04</t>
  </si>
  <si>
    <t>Top 4</t>
  </si>
  <si>
    <t>25-05</t>
  </si>
  <si>
    <t>Top 5</t>
  </si>
  <si>
    <t>25-06</t>
  </si>
  <si>
    <t>Top 6</t>
  </si>
  <si>
    <t>25-07</t>
  </si>
  <si>
    <t>Top 7</t>
  </si>
  <si>
    <t>25-08</t>
  </si>
  <si>
    <t>Top 8</t>
  </si>
  <si>
    <t>25-09</t>
  </si>
  <si>
    <t>Top 9</t>
  </si>
  <si>
    <t>25-10</t>
  </si>
  <si>
    <t>Top 10</t>
  </si>
  <si>
    <t>25-11</t>
  </si>
  <si>
    <t>Top 11</t>
  </si>
  <si>
    <t>25-12</t>
  </si>
  <si>
    <t>Top 12</t>
  </si>
  <si>
    <t>25-13</t>
  </si>
  <si>
    <t>Top 13</t>
  </si>
  <si>
    <t>25-14</t>
  </si>
  <si>
    <t>Top 14</t>
  </si>
  <si>
    <t>25-15</t>
  </si>
  <si>
    <t>Top 15</t>
  </si>
  <si>
    <t>25-16</t>
  </si>
  <si>
    <t>Top 16</t>
  </si>
  <si>
    <t>25-17</t>
  </si>
  <si>
    <t>Top 17</t>
  </si>
  <si>
    <t>25-18</t>
  </si>
  <si>
    <t>Top 18</t>
  </si>
  <si>
    <t>25-19</t>
  </si>
  <si>
    <t>Top 19</t>
  </si>
  <si>
    <t>25-20</t>
  </si>
  <si>
    <t>Top 20</t>
  </si>
  <si>
    <t>Occupancy Type</t>
  </si>
  <si>
    <t>26-01</t>
  </si>
  <si>
    <t>Owner Occupied i.e. owned by a private household with the purpose of providing shelter to its owner</t>
  </si>
  <si>
    <t>26-02</t>
  </si>
  <si>
    <t>Partially Owner Occupied (A property which is partly rented)</t>
  </si>
  <si>
    <t>26-03</t>
  </si>
  <si>
    <t>Non-Owner Occupied or Buy-To-Let</t>
  </si>
  <si>
    <t>26-04</t>
  </si>
  <si>
    <t>Holiday or Second Home</t>
  </si>
  <si>
    <t>26-05</t>
  </si>
  <si>
    <t>Bucket Original Term to Maturity (in Months)</t>
  </si>
  <si>
    <t>27-01</t>
  </si>
  <si>
    <t>27-02</t>
  </si>
  <si>
    <t>27-03</t>
  </si>
  <si>
    <t>27-04</t>
  </si>
  <si>
    <t>27-05</t>
  </si>
  <si>
    <t>27-06</t>
  </si>
  <si>
    <t>27-07</t>
  </si>
  <si>
    <t>27-08</t>
  </si>
  <si>
    <t>27-09</t>
  </si>
  <si>
    <t>27-10</t>
  </si>
  <si>
    <t>27-11</t>
  </si>
  <si>
    <t>27-12</t>
  </si>
  <si>
    <t>27-13</t>
  </si>
  <si>
    <t>27-14</t>
  </si>
  <si>
    <t>27-15</t>
  </si>
  <si>
    <t>27-97</t>
  </si>
  <si>
    <t>27-98</t>
  </si>
  <si>
    <t>27-99</t>
  </si>
  <si>
    <t>Breakdown Statistics Tables</t>
  </si>
  <si>
    <t>Default &amp; Recovery Historical Statistics</t>
  </si>
  <si>
    <t>Delinquent Performing Home Loans Historical Statistics</t>
  </si>
  <si>
    <t>0 to 1 Month
 outstanding of deliquent Home Loans</t>
  </si>
  <si>
    <t>1 to 2 Month 
outstanding of deliquent Home Loans</t>
  </si>
  <si>
    <t>2 to 3 Month
outstanding of deliquent Home Loans</t>
  </si>
  <si>
    <t>3 to 4 Month 
outstanding of deliquent Home Loans</t>
  </si>
  <si>
    <t>4 to 5 Month 
outstanding of deliquent Home Loans</t>
  </si>
  <si>
    <t>5 to 6 Month 
outstanding of deliquent Home Loans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</si>
  <si>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</si>
  <si>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</si>
  <si>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</si>
  <si>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</si>
  <si>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</si>
  <si>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</si>
  <si>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</si>
  <si>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Aggregate Outstanding Balances of the Performing Home Loans which have been subject to a prepayment during the immediately preceding Collection Period</t>
  </si>
  <si>
    <t>Aggregate Outstanding Balances of the Performing Home Loans on the preceding Determination Date</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</si>
  <si>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</si>
  <si>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</si>
  <si>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</si>
  <si>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</si>
  <si>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</si>
  <si>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</si>
  <si>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</si>
  <si>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</si>
  <si>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</si>
  <si>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</si>
  <si>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</si>
  <si>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</si>
  <si>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</si>
  <si>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</si>
  <si>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</si>
  <si>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</si>
  <si>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</si>
  <si>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</si>
  <si>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</si>
  <si>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</si>
  <si>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</si>
  <si>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</si>
  <si>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</si>
  <si>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</si>
  <si>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</si>
  <si>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</si>
  <si>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</si>
  <si>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</si>
  <si>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</si>
  <si>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</si>
  <si>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</si>
  <si>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</si>
  <si>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</si>
  <si>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</si>
  <si>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</si>
  <si>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</si>
  <si>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</si>
  <si>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</si>
  <si>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</si>
  <si>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</si>
  <si>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</si>
  <si>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</si>
  <si>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</si>
  <si>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</si>
  <si>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</si>
  <si>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</si>
  <si>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</si>
  <si>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</si>
  <si>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</si>
  <si>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</si>
  <si>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</si>
  <si>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</si>
  <si>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</si>
  <si>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</si>
  <si>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</si>
  <si>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</si>
  <si>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</si>
  <si>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</si>
  <si>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</si>
  <si>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</si>
  <si>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</si>
  <si>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</si>
  <si>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</si>
  <si>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</si>
  <si>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</si>
  <si>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</si>
  <si>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</si>
  <si>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</si>
  <si>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</si>
  <si>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</si>
  <si>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</si>
  <si>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</si>
  <si>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</si>
  <si>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</si>
  <si>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</si>
  <si>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</si>
  <si>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</si>
  <si>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</si>
  <si>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</si>
  <si>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</si>
  <si>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</si>
  <si>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</si>
  <si>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</si>
  <si>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</si>
  <si>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</si>
  <si>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</si>
  <si>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</si>
  <si>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</si>
  <si>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</si>
  <si>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</si>
  <si>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</si>
  <si>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</si>
  <si>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</si>
  <si>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12. Breakdown by Property Type</t>
  </si>
  <si>
    <t>13. Breakdown by Account Status</t>
  </si>
  <si>
    <t>14. Breakdown by Payment Frequency</t>
  </si>
  <si>
    <t>15. Breakdown by Employment Type</t>
  </si>
  <si>
    <t>16. Breakdown by Instalment</t>
  </si>
  <si>
    <t>17. Breakdown by Property Region</t>
  </si>
  <si>
    <t>18. Breakdown by Guarantee Provider</t>
  </si>
  <si>
    <t>19. Breakdown by Purpose</t>
  </si>
  <si>
    <t>20. Top 20 Borrowers</t>
  </si>
  <si>
    <t>21. Breakdown by Occupancy Type</t>
  </si>
  <si>
    <t>22. Breakdown by Original Term to Maturity</t>
  </si>
  <si>
    <t>&gt;&gt; Up</t>
  </si>
  <si>
    <t>Issue  Date</t>
  </si>
  <si>
    <t>Information Date</t>
  </si>
  <si>
    <t>Settlement Date</t>
  </si>
  <si>
    <t/>
  </si>
  <si>
    <t>means [teenth (10th)] Business Day following  the Monthly Cut Off Date or Quarterly Cut Off Date</t>
  </si>
  <si>
    <t>means, in respect of a Quarterly Collection Period, the [fourteenth (14th)] Business Day following  the Quarterly Cut Off Date</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</si>
  <si>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</si>
  <si>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</si>
  <si>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</si>
  <si>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</si>
  <si>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</si>
  <si>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</si>
  <si>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 2023.</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</si>
  <si>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</si>
  <si>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</si>
  <si>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</si>
  <si>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</si>
  <si>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</si>
  <si>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</si>
  <si>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means the Payment Date falling on [●], i.e. [●] ([●]) years after the first Payment Date, or, if such day is not a Business Day, on the next succeeding Business Day.</t>
  </si>
  <si>
    <t>Final Legal Maturity Date</t>
  </si>
  <si>
    <t>Quartely Cut-Off Date</t>
  </si>
  <si>
    <t>31 March, 30 June, 30 September and 31 Decembre. First Quarterly Cut Off Date (TBD)</t>
  </si>
  <si>
    <t>Data Reference Date</t>
  </si>
  <si>
    <t>means [●].</t>
  </si>
  <si>
    <t>Determination Date</t>
  </si>
  <si>
    <t>means the Settlement Date with respect to the immediately preceding Collection Period.</t>
  </si>
  <si>
    <t>Interest Payment Date</t>
  </si>
  <si>
    <t>means [●] 2023, on which the Class A Notes, the Class B Notes and the Residual Units shall be issued by the Issuer.</t>
  </si>
  <si>
    <t>Issue Date</t>
  </si>
  <si>
    <t xml:space="preserve">Optional Redemption Date </t>
  </si>
  <si>
    <t>means the Payment Date occurring in [April 2027].</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</si>
  <si>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</si>
  <si>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</si>
  <si>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</si>
  <si>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</si>
  <si>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</si>
  <si>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Re-Purchase Calculation Date</t>
  </si>
  <si>
    <t>on the [seventh] ([7]th) Business Day prior to any Collection Payment Date, calculate, if any, the Re-assignment Price Refund or the Rescission Amount Refund due and payable by the Issuer to the Seller;</t>
  </si>
  <si>
    <t>means [l], being the date on which any relevant Home Loan shall be selected for an assignment to the Issuer.</t>
  </si>
  <si>
    <t>Class A Notes</t>
  </si>
  <si>
    <t>Portfolio Outstanding</t>
  </si>
  <si>
    <t>Interest Account</t>
  </si>
  <si>
    <t>Principal Account</t>
  </si>
  <si>
    <t>EUR</t>
  </si>
  <si>
    <t>Rating Agencies</t>
  </si>
  <si>
    <t>Fitch</t>
  </si>
  <si>
    <t>Standard and Poors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</si>
  <si>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</si>
  <si>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</si>
  <si>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</si>
  <si>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</si>
  <si>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</si>
  <si>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</si>
  <si>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</si>
  <si>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</si>
  <si>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</si>
  <si>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</si>
  <si>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</si>
  <si>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</si>
  <si>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</si>
  <si>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</si>
  <si>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</si>
  <si>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</si>
  <si>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</si>
  <si>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</si>
  <si>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</si>
  <si>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DPA fees</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</si>
  <si>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</si>
  <si>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</si>
  <si>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</si>
  <si>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</si>
  <si>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</si>
  <si>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</si>
  <si>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</si>
  <si>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</si>
  <si>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Additional fee in case of change in the Issuer Organs</t>
  </si>
  <si>
    <t>Additional fee in case of amendment to the Issuer Transaction Document to which the Custodian is a party</t>
  </si>
  <si>
    <t>Additional fee in case of additional waterfall(s)</t>
  </si>
  <si>
    <t>Each Settlement Date</t>
  </si>
  <si>
    <t>The Settlement Date following the change of Issuer Organ</t>
  </si>
  <si>
    <t>The Settlement Date following the entry into force of the amendments</t>
  </si>
  <si>
    <t>The Settlement Date following the entry into force of the new waterfall(s)</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</si>
  <si>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</si>
  <si>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</si>
  <si>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</si>
  <si>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</si>
  <si>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</si>
  <si>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</si>
  <si>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(i)	on the Issue Date, the Class A Notes Issue Proceeds, the Class B Notes Issue Proceeds and the proceeds of the issue of the Residual Units;</t>
  </si>
  <si>
    <t>(ii)	on each Collection Payment Date, any amount debited from the Servicer Collection Account in accordance with the process described in the Issuer Regulations provided that, prior to such debit, the amount standing to the credit of the Servicer Collection Account was greater than €[];</t>
  </si>
  <si>
    <t>(i)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</si>
  <si>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</si>
  <si>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</si>
  <si>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</si>
  <si>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</si>
  <si>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</si>
  <si>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</si>
  <si>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</si>
  <si>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</si>
  <si>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</si>
  <si>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</si>
  <si>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</si>
  <si>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Payment Date with the Available Principal Distribution Amount, in accordance with the Principal Priority of Payments or Accelerated Redemption Priority of Payments, as applicable.</t>
  </si>
  <si>
    <t>on each Settlement Date, with:
(i)	an amount equal to:
                (A)	the amount standing to the credit of the General Account; minus 
                (B)	the Available Principal Collections</t>
  </si>
  <si>
    <t>(ii)	any Principal Reallocated Amount</t>
  </si>
  <si>
    <t>(iii)	the Financial Income</t>
  </si>
  <si>
    <t>on each Payment Date with the Available Interest Distribution Amount, in accordance with the Interest Priority of Payments or Accelerated Redemption Priority of Payments, as applicable.</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</si>
  <si>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</si>
  <si>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</si>
  <si>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</si>
  <si>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</si>
  <si>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Senior</t>
  </si>
  <si>
    <t>IQEQ</t>
  </si>
  <si>
    <t>BNPSS</t>
  </si>
  <si>
    <t>Additional fee to set tu the swift 940:950 process</t>
  </si>
  <si>
    <t>Annual Registrar fee</t>
  </si>
  <si>
    <t>Asset custody costs</t>
  </si>
  <si>
    <t>Settement bank fees</t>
  </si>
  <si>
    <t>Issuing &amp; Paying Agent fees</t>
  </si>
  <si>
    <t>Annual Listing Agent fee</t>
  </si>
  <si>
    <t xml:space="preserve">Hugo Lavayssière / Omar Ghannam/ Dimitri Bellaiche </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</si>
  <si>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</si>
  <si>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</si>
  <si>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</si>
  <si>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</si>
  <si>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</si>
  <si>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</si>
  <si>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</si>
  <si>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</si>
  <si>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</si>
  <si>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</si>
  <si>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</si>
  <si>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</si>
  <si>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</si>
  <si>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</si>
  <si>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</si>
  <si>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</si>
  <si>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</si>
  <si>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</si>
  <si>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</si>
  <si>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</si>
  <si>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</si>
  <si>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</si>
  <si>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</si>
  <si>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</si>
  <si>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</si>
  <si>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</si>
  <si>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</si>
  <si>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</si>
  <si>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</si>
  <si>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</si>
  <si>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</si>
  <si>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</si>
  <si>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</si>
  <si>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</si>
  <si>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</si>
  <si>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</si>
  <si>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</si>
  <si>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</si>
  <si>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</si>
  <si>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</si>
  <si>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</si>
  <si>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</si>
  <si>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</si>
  <si>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</si>
  <si>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</si>
  <si>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</si>
  <si>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</si>
  <si>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</si>
  <si>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</si>
  <si>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</si>
  <si>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</si>
  <si>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</si>
  <si>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</si>
  <si>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</si>
  <si>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</si>
  <si>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</si>
  <si>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</si>
  <si>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</si>
  <si>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</si>
  <si>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</si>
  <si>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</si>
  <si>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</si>
  <si>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</si>
  <si>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</si>
  <si>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(j)	if the difference between the Reserve Fund Required Amount on that Payment Date and the amount standing to the credit of the Reserve Account on the preceding Payment Date (or the Issue Date if there is no prior Payment Date) is positive, transfer to the Seller such amount</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</si>
  <si>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</si>
  <si>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</si>
  <si>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</si>
  <si>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</si>
  <si>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</si>
  <si>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</si>
  <si>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</si>
  <si>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</si>
  <si>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</si>
  <si>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</si>
  <si>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</si>
  <si>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</si>
  <si>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</si>
  <si>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</si>
  <si>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</si>
  <si>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</si>
  <si>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</si>
  <si>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</si>
  <si>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</si>
  <si>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</si>
  <si>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</si>
  <si>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</si>
  <si>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</si>
  <si>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</si>
  <si>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</si>
  <si>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</si>
  <si>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Subordinated</t>
  </si>
  <si>
    <t xml:space="preserve">Notes Follow-up - EUR </t>
  </si>
  <si>
    <t>Class A Notes Interest Amount</t>
  </si>
  <si>
    <t xml:space="preserve">Class B Notes Interest Amount </t>
  </si>
  <si>
    <t>Principal Deficiency Ledge (Normal Redemption Period)</t>
  </si>
  <si>
    <t>Payement Date</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</si>
  <si>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</si>
  <si>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</si>
  <si>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</si>
  <si>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</si>
  <si>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</si>
  <si>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</si>
  <si>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</si>
  <si>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</si>
  <si>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</si>
  <si>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[ 2000 ; 2500 [</t>
  </si>
  <si>
    <t>21-17</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</si>
  <si>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</si>
  <si>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</si>
  <si>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</si>
  <si>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</si>
  <si>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</si>
  <si>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</si>
  <si>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</si>
  <si>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</si>
  <si>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</si>
  <si>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Outstanding Balances (as at the Business Day preceding such Subsequent Purchase Date) of the Home Loans  transferred to the Issuer on such Subsequent Purchase Date</t>
  </si>
  <si>
    <t>Recapitalization into the principal outstanding balance</t>
  </si>
  <si>
    <t xml:space="preserve">Principal balance of receivables becoming Defaulted Home Loans </t>
  </si>
  <si>
    <t xml:space="preserve">Principal balance of receivables becoming Performing Home Loans </t>
  </si>
  <si>
    <t>Outstanding Balances (as at the preceding Determination Date) of the Home Loans re-transferred by the Issuer to any Seller on such Subsequent Purchase Date (RACH M 1)</t>
  </si>
  <si>
    <t>Outstanding Balances (as at the preceding Determination Date) of the Affected Home Loans on such Subsequent Purchase Date  (RACH M 2)</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</si>
  <si>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</si>
  <si>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</si>
  <si>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</si>
  <si>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</si>
  <si>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</si>
  <si>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</si>
  <si>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</si>
  <si>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</si>
  <si>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</si>
  <si>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</si>
  <si>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</si>
  <si>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</si>
  <si>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Amounts at  Determination Date debited from any Specially Dedicated Account on the (à définir) Business Day of each calendar month</t>
  </si>
  <si>
    <t>ICNE All Receivables</t>
  </si>
  <si>
    <t>ICNE New receivables</t>
  </si>
  <si>
    <t>ICNE Retranfert</t>
  </si>
  <si>
    <t>ICNE Recission</t>
  </si>
  <si>
    <t>(1) Performing</t>
  </si>
  <si>
    <t>(2)
01 - 30 days past due</t>
  </si>
  <si>
    <t>(3) 
31 - 60 days past due</t>
  </si>
  <si>
    <t>(4)
 61 - 90 days past due</t>
  </si>
  <si>
    <t>(5)
New Defaulted</t>
  </si>
  <si>
    <t>(6) 
Old Defauted</t>
  </si>
  <si>
    <t>Item</t>
  </si>
  <si>
    <t>Libelle Item</t>
  </si>
  <si>
    <t>CRD</t>
  </si>
  <si>
    <t>Number</t>
  </si>
  <si>
    <t>Original Balance</t>
  </si>
  <si>
    <t>WAIR</t>
  </si>
  <si>
    <t>WART</t>
  </si>
  <si>
    <t>Miscellaneous
 but arrears</t>
  </si>
  <si>
    <t>Interests arrears</t>
  </si>
  <si>
    <t>Other
 arrears</t>
  </si>
  <si>
    <t>S</t>
  </si>
  <si>
    <t>D</t>
  </si>
  <si>
    <t>Weighted Average Current Loan-to-Value</t>
  </si>
  <si>
    <t>LTE 25 000</t>
  </si>
  <si>
    <t>GT 1 000 000</t>
  </si>
  <si>
    <t>GTE 84</t>
  </si>
  <si>
    <t>GTE 9,00%</t>
  </si>
  <si>
    <t>FLIF</t>
  </si>
  <si>
    <t>FINX</t>
  </si>
  <si>
    <t>FXRL</t>
  </si>
  <si>
    <t>FXPR</t>
  </si>
  <si>
    <t>FLCF</t>
  </si>
  <si>
    <t>FLFL</t>
  </si>
  <si>
    <t>CAPP</t>
  </si>
  <si>
    <t>FLCA</t>
  </si>
  <si>
    <t>DISC</t>
  </si>
  <si>
    <t>SWIC</t>
  </si>
  <si>
    <t>OBLS</t>
  </si>
  <si>
    <t>MODE</t>
  </si>
  <si>
    <t>OTHR</t>
  </si>
  <si>
    <t>LTE 10%</t>
  </si>
  <si>
    <t>GT 150%</t>
  </si>
  <si>
    <t>RHOS</t>
  </si>
  <si>
    <t>RFLT</t>
  </si>
  <si>
    <t>RBGL</t>
  </si>
  <si>
    <t>RTHS</t>
  </si>
  <si>
    <t>MULF</t>
  </si>
  <si>
    <t>PCMM</t>
  </si>
  <si>
    <t>BIZZ</t>
  </si>
  <si>
    <t>LAND</t>
  </si>
  <si>
    <t>PERF</t>
  </si>
  <si>
    <t>RNAR</t>
  </si>
  <si>
    <t>RARR</t>
  </si>
  <si>
    <t>DFLT</t>
  </si>
  <si>
    <t>NDFT</t>
  </si>
  <si>
    <t>DTCR</t>
  </si>
  <si>
    <t>DADB</t>
  </si>
  <si>
    <t>ARRE</t>
  </si>
  <si>
    <t>REBR</t>
  </si>
  <si>
    <t>REDF</t>
  </si>
  <si>
    <t>RERE</t>
  </si>
  <si>
    <t>RESS</t>
  </si>
  <si>
    <t>REOT</t>
  </si>
  <si>
    <t>RDMD</t>
  </si>
  <si>
    <t>MNTH</t>
  </si>
  <si>
    <t>QUTR</t>
  </si>
  <si>
    <t>SEMI</t>
  </si>
  <si>
    <t>YEAR</t>
  </si>
  <si>
    <t>EMRS</t>
  </si>
  <si>
    <t>EMBL</t>
  </si>
  <si>
    <t>EMUK</t>
  </si>
  <si>
    <t>UNEM</t>
  </si>
  <si>
    <t>SFEM</t>
  </si>
  <si>
    <t>NOEM</t>
  </si>
  <si>
    <t>STNT</t>
  </si>
  <si>
    <t>PNNR</t>
  </si>
  <si>
    <t>GT 10000</t>
  </si>
  <si>
    <t>23-97</t>
  </si>
  <si>
    <t>23-98</t>
  </si>
  <si>
    <t>23-99</t>
  </si>
  <si>
    <t>PURC</t>
  </si>
  <si>
    <t>RMRT</t>
  </si>
  <si>
    <t>RENV</t>
  </si>
  <si>
    <t>EQRE</t>
  </si>
  <si>
    <t>CNST</t>
  </si>
  <si>
    <t>DCON</t>
  </si>
  <si>
    <t>RMEQ</t>
  </si>
  <si>
    <t>BSFN</t>
  </si>
  <si>
    <t>CMRT</t>
  </si>
  <si>
    <t>IMRT</t>
  </si>
  <si>
    <t>RGBY</t>
  </si>
  <si>
    <t>GSPL</t>
  </si>
  <si>
    <t>24-97</t>
  </si>
  <si>
    <t>24-98</t>
  </si>
  <si>
    <t>24-99</t>
  </si>
  <si>
    <t>25-97</t>
  </si>
  <si>
    <t>25-98</t>
  </si>
  <si>
    <t>25-99</t>
  </si>
  <si>
    <t>FOWN</t>
  </si>
  <si>
    <t>POWN</t>
  </si>
  <si>
    <t>TLET</t>
  </si>
  <si>
    <t>HOLD</t>
  </si>
  <si>
    <t>26-97</t>
  </si>
  <si>
    <t>26-98</t>
  </si>
  <si>
    <t>26-99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</si>
</sst>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 #,##0.00\ &quot;€&quot;_-;\-* #,##0.00\ &quot;€&quot;_-;_-* &quot;-&quot;??\ &quot;€&quot;_-;_-@_-"/>
    <numFmt numFmtId="164" formatCode="_-* #,##0.00\ _€_-;\-* #,##0.00\ _€_-;_-* &quot;-&quot;??\ _€_-;_-@_-"/>
    <numFmt numFmtId="165" formatCode="#,##0.00_ ;\-#,##0.00\ "/>
    <numFmt numFmtId="166" formatCode="0.0000%"/>
    <numFmt numFmtId="167" formatCode="_-* #,##0.00\ _F_-;\-* #,##0.00\ _F_-;_-* &quot;-&quot;??\ _F_-;_-@_-"/>
    <numFmt numFmtId="168" formatCode="[$-409]dddd"/>
    <numFmt numFmtId="169" formatCode="0.000%"/>
    <numFmt numFmtId="170" formatCode="_-[$€-2]* #,##0.000_-;\-[$€-2]* #,##0.000_-;_-[$€-2]* &quot;-&quot;??_-"/>
    <numFmt numFmtId="171" formatCode="dd/mm/yyyy;@"/>
    <numFmt numFmtId="172" formatCode="_-[$€-2]* #,##0_-;\-[$€-2]* #,##0_-;_-[$€-2]* &quot;-&quot;??_-"/>
    <numFmt numFmtId="173" formatCode="0.0%"/>
    <numFmt numFmtId="174" formatCode="[$-409]mmmm\ d\,\ yyyy;@"/>
    <numFmt numFmtId="175" formatCode="_(* #,##0.00_);_(* \(#,##0.00\);_(* &quot;-&quot;??_);_(@_)"/>
    <numFmt numFmtId="176" formatCode="_-* #,##0.00\ [$EUR]_-;\-* #,##0.00\ [$EUR]_-;_-* &quot;-&quot;??\ [$EUR]_-;_-@_-"/>
    <numFmt numFmtId="177" formatCode="_-* #,##0.00000000\ _€_-;\-* #,##0.00000000\ _€_-;_-* &quot;-&quot;??\ _€_-;_-@_-"/>
    <numFmt numFmtId="178" formatCode="_-* #,##0\ _F_-;\-* #,##0\ _F_-;_-* &quot;-&quot;??\ _F_-;_-@_-"/>
    <numFmt numFmtId="179" formatCode="dd\-mm\-yyyy"/>
    <numFmt numFmtId="180" formatCode="#,##0.0000"/>
  </numFmts>
  <fonts count="1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sz val="12"/>
      <color indexed="8"/>
      <name val="Arial"/>
      <family val="2"/>
    </font>
    <font>
      <b/>
      <sz val="12"/>
      <color theme="4" tint="-0.499984740745262"/>
      <name val="Cambria"/>
      <family val="1"/>
      <scheme val="major"/>
    </font>
    <font>
      <sz val="11"/>
      <color theme="4" tint="-0.499984740745262"/>
      <name val="Cambria"/>
      <family val="1"/>
      <scheme val="major"/>
    </font>
    <font>
      <sz val="12"/>
      <color theme="4" tint="-0.499984740745262"/>
      <name val="Cambria"/>
      <family val="1"/>
      <scheme val="major"/>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ont>
    <font>
      <sz val="16"/>
      <name val="Arial"/>
      <family val="2"/>
    </font>
  </fonts>
  <fills count="71">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6" tint="-0.24994659260841701"/>
        <bgColor indexed="64"/>
      </patternFill>
    </fill>
    <fill>
      <patternFill patternType="solid">
        <fgColor theme="6" tint="0.39994506668294322"/>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0" tint="-0.249977111117893"/>
        <bgColor indexed="64"/>
      </patternFill>
    </fill>
  </fills>
  <borders count="31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64"/>
      </left>
      <right style="thin">
        <color indexed="64"/>
      </right>
      <top style="hair">
        <color indexed="23"/>
      </top>
      <bottom style="hair">
        <color indexed="63"/>
      </bottom>
      <diagonal/>
    </border>
    <border>
      <left style="thin">
        <color indexed="64"/>
      </left>
      <right style="thin">
        <color indexed="64"/>
      </right>
      <top style="hair">
        <color indexed="23"/>
      </top>
      <bottom style="hair">
        <color indexed="23"/>
      </bottom>
      <diagonal/>
    </border>
    <border>
      <left style="thin">
        <color indexed="64"/>
      </left>
      <right style="thin">
        <color indexed="64"/>
      </right>
      <top style="hair">
        <color indexed="23"/>
      </top>
      <bottom style="thin">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style="thin">
        <color indexed="23"/>
      </left>
      <right/>
      <top style="hair">
        <color indexed="23"/>
      </top>
      <bottom style="thin">
        <color indexed="23"/>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medium">
        <color indexed="64"/>
      </left>
      <right style="medium">
        <color indexed="64"/>
      </right>
      <top style="medium">
        <color indexed="64"/>
      </top>
      <bottom style="hair">
        <color indexed="64"/>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right/>
      <top style="hair">
        <color indexed="64"/>
      </top>
      <bottom style="medium">
        <color indexed="64"/>
      </bottom>
      <diagonal/>
    </border>
    <border>
      <left style="dotted">
        <color theme="0" tint="-0.499984740745262"/>
      </left>
      <right style="dotted">
        <color theme="0" tint="-0.499984740745262"/>
      </right>
      <top/>
      <bottom style="dashed">
        <color theme="0" tint="-0.499984740745262"/>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ck">
        <color indexed="22"/>
      </left>
      <right style="thick">
        <color indexed="22"/>
      </right>
      <top style="dotted">
        <color indexed="22"/>
      </top>
      <bottom style="dotted">
        <color indexed="22"/>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thick">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thick">
        <color indexed="22"/>
      </top>
      <bottom style="hair">
        <color indexed="22"/>
      </bottom>
      <diagonal/>
    </border>
    <border>
      <left/>
      <right/>
      <top style="thick">
        <color indexed="22"/>
      </top>
      <bottom style="hair">
        <color indexed="22"/>
      </bottom>
      <diagonal/>
    </border>
    <border>
      <left style="thick">
        <color indexed="22"/>
      </left>
      <right style="thin">
        <color indexed="22"/>
      </right>
      <top style="thick">
        <color indexed="22"/>
      </top>
      <bottom style="hair">
        <color indexed="22"/>
      </bottom>
      <diagonal/>
    </border>
    <border>
      <left/>
      <right style="thin">
        <color indexed="22"/>
      </right>
      <top style="thick">
        <color indexed="22"/>
      </top>
      <bottom style="hair">
        <color indexed="22"/>
      </bottom>
      <diagonal/>
    </border>
    <border>
      <left style="thin">
        <color indexed="22"/>
      </left>
      <right style="thin">
        <color indexed="22"/>
      </right>
      <top style="hair">
        <color indexed="22"/>
      </top>
      <bottom style="hair">
        <color indexed="22"/>
      </bottom>
      <diagonal/>
    </border>
    <border>
      <left/>
      <right style="thick">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thick">
        <color indexed="22"/>
      </left>
      <right/>
      <top style="dotted">
        <color indexed="22"/>
      </top>
      <bottom style="dotted">
        <color indexed="22"/>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style="thick">
        <color indexed="22"/>
      </right>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dashDotDot">
        <color theme="0" tint="-4.9989318521683403E-2"/>
      </top>
      <bottom/>
      <diagonal style="dotted">
        <color theme="0" tint="-4.9989318521683403E-2"/>
      </diagonal>
    </border>
    <border diagonalUp="1">
      <left style="thin">
        <color indexed="64"/>
      </left>
      <right style="thin">
        <color indexed="64"/>
      </right>
      <top/>
      <bottom style="dotted">
        <color indexed="22"/>
      </bottom>
      <diagonal style="dotted">
        <color theme="0" tint="-4.9989318521683403E-2"/>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28">
    <xf numFmtId="0" fontId="0" fillId="0" borderId="0"/>
    <xf numFmtId="2" fontId="21" fillId="0" borderId="1" applyNumberFormat="0" applyFont="0" applyFill="0" applyBorder="0" applyAlignment="0">
      <alignment horizontal="right"/>
    </xf>
    <xf numFmtId="44" fontId="17" fillId="0" borderId="0" applyFont="0" applyFill="0" applyBorder="0" applyAlignment="0" applyProtection="0"/>
    <xf numFmtId="164" fontId="23"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9"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2" fillId="0" borderId="0" applyFont="0" applyFill="0" applyBorder="0" applyAlignment="0" applyProtection="0"/>
    <xf numFmtId="164" fontId="33" fillId="0" borderId="0" applyFont="0" applyFill="0" applyBorder="0" applyAlignment="0" applyProtection="0"/>
    <xf numFmtId="164" fontId="3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0" fontId="31" fillId="0" borderId="0"/>
    <xf numFmtId="9" fontId="17"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0" fillId="0" borderId="0" applyFont="0" applyFill="0" applyBorder="0" applyAlignment="0" applyProtection="0"/>
    <xf numFmtId="9" fontId="24"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0"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6"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35" fillId="0" borderId="0"/>
    <xf numFmtId="0" fontId="16" fillId="0" borderId="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5" fillId="0" borderId="0"/>
    <xf numFmtId="164" fontId="17" fillId="0" borderId="0" applyFont="0" applyFill="0" applyBorder="0" applyAlignment="0" applyProtection="0"/>
    <xf numFmtId="0" fontId="14" fillId="0" borderId="0"/>
    <xf numFmtId="164" fontId="14" fillId="0" borderId="0" applyFont="0" applyFill="0" applyBorder="0" applyAlignment="0" applyProtection="0"/>
    <xf numFmtId="0" fontId="14" fillId="0" borderId="0"/>
    <xf numFmtId="44" fontId="14" fillId="0" borderId="0" applyFont="0" applyFill="0" applyBorder="0" applyAlignment="0" applyProtection="0"/>
    <xf numFmtId="164" fontId="17" fillId="0" borderId="0" applyFont="0" applyFill="0" applyBorder="0" applyAlignment="0" applyProtection="0"/>
    <xf numFmtId="0" fontId="17" fillId="0" borderId="0"/>
    <xf numFmtId="0" fontId="17" fillId="0" borderId="0"/>
    <xf numFmtId="0" fontId="17" fillId="0" borderId="0"/>
    <xf numFmtId="9" fontId="14" fillId="0" borderId="0" applyFont="0" applyFill="0" applyBorder="0" applyAlignment="0" applyProtection="0"/>
    <xf numFmtId="9" fontId="17" fillId="0" borderId="0" applyFont="0" applyFill="0" applyBorder="0" applyAlignment="0" applyProtection="0"/>
    <xf numFmtId="44" fontId="98" fillId="0" borderId="0" applyFont="0" applyFill="0" applyBorder="0" applyAlignment="0" applyProtection="0"/>
    <xf numFmtId="2" fontId="21" fillId="0" borderId="73" applyNumberFormat="0" applyFont="0" applyFill="0" applyBorder="0" applyAlignment="0">
      <alignment horizontal="right"/>
    </xf>
    <xf numFmtId="44" fontId="17" fillId="0" borderId="0" applyFont="0" applyFill="0" applyBorder="0" applyAlignment="0" applyProtection="0"/>
    <xf numFmtId="44" fontId="17" fillId="0" borderId="0" applyFont="0" applyFill="0" applyBorder="0" applyAlignment="0" applyProtection="0"/>
    <xf numFmtId="0" fontId="13" fillId="0" borderId="0"/>
    <xf numFmtId="0" fontId="107" fillId="0" borderId="0" applyNumberFormat="0" applyFill="0" applyBorder="0" applyAlignment="0" applyProtection="0"/>
    <xf numFmtId="0" fontId="108" fillId="0" borderId="144" applyNumberFormat="0" applyFill="0" applyAlignment="0" applyProtection="0"/>
    <xf numFmtId="0" fontId="109" fillId="0" borderId="145" applyNumberFormat="0" applyFill="0" applyAlignment="0" applyProtection="0"/>
    <xf numFmtId="0" fontId="110" fillId="0" borderId="146" applyNumberFormat="0" applyFill="0" applyAlignment="0" applyProtection="0"/>
    <xf numFmtId="0" fontId="110" fillId="0" borderId="0" applyNumberFormat="0" applyFill="0" applyBorder="0" applyAlignment="0" applyProtection="0"/>
    <xf numFmtId="0" fontId="111" fillId="21" borderId="0" applyNumberFormat="0" applyBorder="0" applyAlignment="0" applyProtection="0"/>
    <xf numFmtId="0" fontId="112" fillId="22" borderId="0" applyNumberFormat="0" applyBorder="0" applyAlignment="0" applyProtection="0"/>
    <xf numFmtId="0" fontId="113" fillId="23" borderId="0" applyNumberFormat="0" applyBorder="0" applyAlignment="0" applyProtection="0"/>
    <xf numFmtId="0" fontId="114" fillId="24" borderId="147" applyNumberFormat="0" applyAlignment="0" applyProtection="0"/>
    <xf numFmtId="0" fontId="115" fillId="25" borderId="148" applyNumberFormat="0" applyAlignment="0" applyProtection="0"/>
    <xf numFmtId="0" fontId="116" fillId="25" borderId="147" applyNumberFormat="0" applyAlignment="0" applyProtection="0"/>
    <xf numFmtId="0" fontId="117" fillId="0" borderId="149" applyNumberFormat="0" applyFill="0" applyAlignment="0" applyProtection="0"/>
    <xf numFmtId="0" fontId="99" fillId="26" borderId="150" applyNumberFormat="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36" fillId="0" borderId="152" applyNumberFormat="0" applyFill="0" applyAlignment="0" applyProtection="0"/>
    <xf numFmtId="0" fontId="40"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40" fillId="32"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40" fillId="36"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40" fillId="40"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40" fillId="44"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40" fillId="48"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27" borderId="151" applyNumberFormat="0" applyFont="0" applyAlignment="0" applyProtection="0"/>
    <xf numFmtId="44" fontId="17" fillId="0" borderId="0" applyFont="0" applyFill="0" applyBorder="0" applyAlignment="0" applyProtection="0"/>
    <xf numFmtId="44" fontId="17" fillId="0" borderId="0" applyFont="0" applyFill="0" applyBorder="0" applyAlignment="0" applyProtection="0"/>
    <xf numFmtId="0" fontId="11" fillId="0" borderId="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11" fillId="47" borderId="0" applyNumberFormat="0" applyBorder="0" applyAlignment="0" applyProtection="0"/>
    <xf numFmtId="0" fontId="11" fillId="49" borderId="0" applyNumberFormat="0" applyBorder="0" applyAlignment="0" applyProtection="0"/>
    <xf numFmtId="0" fontId="11" fillId="50" borderId="0" applyNumberFormat="0" applyBorder="0" applyAlignment="0" applyProtection="0"/>
    <xf numFmtId="0" fontId="11" fillId="51" borderId="0" applyNumberFormat="0" applyBorder="0" applyAlignment="0" applyProtection="0"/>
    <xf numFmtId="0" fontId="11" fillId="0" borderId="0"/>
    <xf numFmtId="0" fontId="11" fillId="27" borderId="151" applyNumberFormat="0" applyFont="0" applyAlignment="0" applyProtection="0"/>
    <xf numFmtId="0" fontId="120" fillId="0" borderId="0" applyNumberFormat="0" applyFill="0" applyBorder="0" applyAlignment="0" applyProtection="0"/>
    <xf numFmtId="0" fontId="121" fillId="0" borderId="0"/>
    <xf numFmtId="44" fontId="17" fillId="0" borderId="0" applyFont="0" applyFill="0" applyBorder="0" applyAlignment="0" applyProtection="0"/>
    <xf numFmtId="44" fontId="17" fillId="0" borderId="0" applyFont="0" applyFill="0" applyBorder="0" applyAlignment="0" applyProtection="0"/>
    <xf numFmtId="0" fontId="10" fillId="0" borderId="0"/>
    <xf numFmtId="0" fontId="10"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7"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10" fillId="51" borderId="0" applyNumberFormat="0" applyBorder="0" applyAlignment="0" applyProtection="0"/>
    <xf numFmtId="0" fontId="10" fillId="0" borderId="0"/>
    <xf numFmtId="0" fontId="10" fillId="27" borderId="151" applyNumberFormat="0" applyFont="0" applyAlignment="0" applyProtection="0"/>
    <xf numFmtId="44" fontId="17" fillId="0" borderId="0" applyFont="0" applyFill="0" applyBorder="0" applyAlignment="0" applyProtection="0"/>
    <xf numFmtId="0" fontId="9" fillId="0" borderId="0"/>
    <xf numFmtId="0" fontId="17" fillId="0" borderId="0">
      <alignment horizontal="left" wrapText="1"/>
    </xf>
    <xf numFmtId="0" fontId="8" fillId="0" borderId="0"/>
    <xf numFmtId="0" fontId="8" fillId="0" borderId="0"/>
    <xf numFmtId="0" fontId="6" fillId="0" borderId="0"/>
    <xf numFmtId="0" fontId="17" fillId="0" borderId="0"/>
    <xf numFmtId="167" fontId="17" fillId="0" borderId="0" applyFont="0" applyFill="0" applyBorder="0" applyAlignment="0" applyProtection="0"/>
    <xf numFmtId="164" fontId="6" fillId="0" borderId="0" applyFont="0" applyFill="0" applyBorder="0" applyAlignment="0" applyProtection="0"/>
    <xf numFmtId="0" fontId="17" fillId="0" borderId="0">
      <alignment horizontal="left" wrapText="1"/>
    </xf>
    <xf numFmtId="164" fontId="17" fillId="0" borderId="0" applyFont="0" applyFill="0" applyBorder="0" applyAlignment="0" applyProtection="0"/>
    <xf numFmtId="0" fontId="5" fillId="0" borderId="0"/>
    <xf numFmtId="0" fontId="17" fillId="0" borderId="0"/>
    <xf numFmtId="0" fontId="17" fillId="0" borderId="0"/>
    <xf numFmtId="0" fontId="5" fillId="0" borderId="0"/>
    <xf numFmtId="0" fontId="17" fillId="0" borderId="0"/>
    <xf numFmtId="175" fontId="5" fillId="0" borderId="0" applyFont="0" applyFill="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cellStyleXfs>
  <cellXfs count="1093">
    <xf numFmtId="0" fontId="0" fillId="0" borderId="0" xfId="0"/>
    <xf numFmtId="0" fontId="0" fillId="0" borderId="0" xfId="0" applyAlignment="1">
      <alignment horizontal="center"/>
    </xf>
    <xf numFmtId="0" fontId="19" fillId="0" borderId="0" xfId="0" applyFont="1"/>
    <xf numFmtId="164" fontId="0" fillId="0" borderId="0" xfId="0" applyNumberFormat="1"/>
    <xf numFmtId="0" fontId="17"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14" fillId="0" borderId="0" xfId="97"/>
    <xf numFmtId="0" fontId="43" fillId="0" borderId="0" xfId="97" applyFont="1"/>
    <xf numFmtId="14" fontId="14" fillId="3" borderId="32" xfId="97" applyNumberFormat="1" applyFill="1" applyBorder="1" applyAlignment="1">
      <alignment horizontal="center" vertical="center"/>
    </xf>
    <xf numFmtId="14" fontId="14" fillId="3" borderId="34" xfId="97" applyNumberFormat="1" applyFill="1" applyBorder="1" applyAlignment="1">
      <alignment horizontal="center" vertical="center"/>
    </xf>
    <xf numFmtId="14" fontId="14" fillId="3" borderId="37" xfId="97" applyNumberFormat="1" applyFill="1" applyBorder="1" applyAlignment="1">
      <alignment horizontal="center" vertical="center"/>
    </xf>
    <xf numFmtId="0" fontId="14" fillId="5" borderId="0" xfId="97" applyFill="1"/>
    <xf numFmtId="0" fontId="44" fillId="5" borderId="0" xfId="97" applyFont="1" applyFill="1" applyAlignment="1">
      <alignment horizontal="right" vertical="center"/>
    </xf>
    <xf numFmtId="0" fontId="45" fillId="5" borderId="0" xfId="97" applyFont="1" applyFill="1"/>
    <xf numFmtId="0" fontId="45" fillId="0" borderId="0" xfId="97" applyFont="1"/>
    <xf numFmtId="0" fontId="46" fillId="0" borderId="0" xfId="97" applyFont="1" applyAlignment="1">
      <alignment horizontal="right"/>
    </xf>
    <xf numFmtId="14" fontId="44" fillId="0" borderId="0" xfId="97" applyNumberFormat="1" applyFont="1" applyAlignment="1">
      <alignment horizontal="right" vertical="center"/>
    </xf>
    <xf numFmtId="0" fontId="47" fillId="0" borderId="0" xfId="97" applyFont="1" applyAlignment="1">
      <alignment horizontal="left" indent="1"/>
    </xf>
    <xf numFmtId="0" fontId="47" fillId="0" borderId="0" xfId="97" applyFont="1"/>
    <xf numFmtId="0" fontId="48" fillId="0" borderId="0" xfId="97" applyFont="1" applyAlignment="1">
      <alignment vertical="center"/>
    </xf>
    <xf numFmtId="0" fontId="50" fillId="0" borderId="0" xfId="97" applyFont="1" applyAlignment="1">
      <alignment vertical="center"/>
    </xf>
    <xf numFmtId="168" fontId="48" fillId="0" borderId="0" xfId="97" applyNumberFormat="1" applyFont="1" applyAlignment="1">
      <alignment horizontal="center" vertical="center"/>
    </xf>
    <xf numFmtId="0" fontId="47" fillId="0" borderId="0" xfId="97" applyFont="1" applyAlignment="1">
      <alignment horizontal="left" indent="2"/>
    </xf>
    <xf numFmtId="0" fontId="54" fillId="0" borderId="0" xfId="97" applyFont="1" applyAlignment="1">
      <alignment vertical="center"/>
    </xf>
    <xf numFmtId="0" fontId="55" fillId="0" borderId="0" xfId="97" applyFont="1" applyAlignment="1">
      <alignment vertical="center"/>
    </xf>
    <xf numFmtId="0" fontId="56" fillId="0" borderId="40" xfId="97" applyFont="1" applyBorder="1" applyAlignment="1">
      <alignment horizontal="left" vertical="center"/>
    </xf>
    <xf numFmtId="0" fontId="56" fillId="0" borderId="41" xfId="97" applyFont="1" applyBorder="1" applyAlignment="1">
      <alignment horizontal="left" vertical="center"/>
    </xf>
    <xf numFmtId="0" fontId="57" fillId="0" borderId="0" xfId="97" applyFont="1"/>
    <xf numFmtId="0" fontId="21" fillId="0" borderId="0" xfId="97" applyFont="1" applyAlignment="1">
      <alignment horizontal="center" vertical="center"/>
    </xf>
    <xf numFmtId="0" fontId="36" fillId="0" borderId="33" xfId="97" applyFont="1" applyBorder="1" applyAlignment="1">
      <alignment horizontal="left" vertical="center" wrapText="1"/>
    </xf>
    <xf numFmtId="4" fontId="17" fillId="0" borderId="0" xfId="102" applyNumberFormat="1"/>
    <xf numFmtId="0" fontId="17" fillId="5" borderId="0" xfId="99" applyFont="1" applyFill="1"/>
    <xf numFmtId="4" fontId="58" fillId="0" borderId="0" xfId="102" applyNumberFormat="1" applyFont="1"/>
    <xf numFmtId="4" fontId="59" fillId="0" borderId="0" xfId="102" applyNumberFormat="1" applyFont="1"/>
    <xf numFmtId="4" fontId="60" fillId="0" borderId="0" xfId="102" applyNumberFormat="1" applyFont="1" applyAlignment="1">
      <alignment horizontal="center" vertical="center"/>
    </xf>
    <xf numFmtId="0" fontId="21" fillId="0" borderId="0" xfId="102" applyFont="1" applyAlignment="1">
      <alignment horizontal="center" vertical="center"/>
    </xf>
    <xf numFmtId="14" fontId="17" fillId="0" borderId="0" xfId="102" applyNumberFormat="1"/>
    <xf numFmtId="14" fontId="17" fillId="0" borderId="0" xfId="102" applyNumberFormat="1" applyAlignment="1">
      <alignment horizontal="center"/>
    </xf>
    <xf numFmtId="4" fontId="19" fillId="0" borderId="0" xfId="102" applyNumberFormat="1" applyFont="1" applyAlignment="1">
      <alignment horizontal="right"/>
    </xf>
    <xf numFmtId="3" fontId="17" fillId="0" borderId="0" xfId="102" applyNumberFormat="1"/>
    <xf numFmtId="4" fontId="62" fillId="0" borderId="0" xfId="102" applyNumberFormat="1" applyFont="1"/>
    <xf numFmtId="171" fontId="63" fillId="5" borderId="2" xfId="102" applyNumberFormat="1" applyFont="1" applyFill="1" applyBorder="1" applyAlignment="1">
      <alignment horizontal="center" vertical="center"/>
    </xf>
    <xf numFmtId="4" fontId="17" fillId="0" borderId="0" xfId="102" applyNumberFormat="1" applyAlignment="1">
      <alignment vertical="center"/>
    </xf>
    <xf numFmtId="4" fontId="64" fillId="0" borderId="0" xfId="102" applyNumberFormat="1" applyFont="1" applyAlignment="1">
      <alignment vertical="center"/>
    </xf>
    <xf numFmtId="4" fontId="65" fillId="0" borderId="43" xfId="102" applyNumberFormat="1" applyFont="1" applyBorder="1" applyAlignment="1">
      <alignment horizontal="left" vertical="center"/>
    </xf>
    <xf numFmtId="4" fontId="22" fillId="0" borderId="0" xfId="102" applyNumberFormat="1" applyFont="1" applyAlignment="1">
      <alignment horizontal="center" vertical="center"/>
    </xf>
    <xf numFmtId="164" fontId="22" fillId="0" borderId="0" xfId="98" applyFont="1" applyAlignment="1">
      <alignment horizontal="center" vertical="center"/>
    </xf>
    <xf numFmtId="164" fontId="66" fillId="0" borderId="0" xfId="98" applyFont="1" applyAlignment="1">
      <alignment horizontal="center" vertical="center"/>
    </xf>
    <xf numFmtId="4" fontId="65" fillId="0" borderId="30" xfId="102" applyNumberFormat="1" applyFont="1" applyBorder="1" applyAlignment="1">
      <alignment horizontal="left" vertical="center" indent="3"/>
    </xf>
    <xf numFmtId="4" fontId="67" fillId="0" borderId="0" xfId="102" applyNumberFormat="1" applyFont="1" applyAlignment="1">
      <alignment horizontal="center"/>
    </xf>
    <xf numFmtId="4" fontId="17" fillId="0" borderId="0" xfId="102" applyNumberFormat="1" applyAlignment="1">
      <alignment horizontal="center"/>
    </xf>
    <xf numFmtId="164" fontId="18" fillId="0" borderId="0" xfId="98" applyFont="1" applyAlignment="1">
      <alignment horizontal="center"/>
    </xf>
    <xf numFmtId="164" fontId="18" fillId="0" borderId="0" xfId="98" applyFont="1" applyBorder="1" applyAlignment="1">
      <alignment horizontal="center"/>
    </xf>
    <xf numFmtId="164" fontId="66" fillId="0" borderId="0" xfId="98" applyFont="1" applyAlignment="1">
      <alignment horizontal="center"/>
    </xf>
    <xf numFmtId="3" fontId="68" fillId="0" borderId="0" xfId="102" applyNumberFormat="1" applyFont="1" applyAlignment="1">
      <alignment horizontal="center"/>
    </xf>
    <xf numFmtId="164" fontId="17" fillId="0" borderId="0" xfId="98" applyFont="1"/>
    <xf numFmtId="4" fontId="0" fillId="0" borderId="0" xfId="102" applyNumberFormat="1" applyFont="1" applyAlignment="1">
      <alignment vertical="center"/>
    </xf>
    <xf numFmtId="164" fontId="65" fillId="0" borderId="0" xfId="98" applyFont="1" applyAlignment="1">
      <alignment horizontal="center" vertical="center"/>
    </xf>
    <xf numFmtId="164" fontId="19" fillId="0" borderId="0" xfId="98" applyFont="1" applyAlignment="1">
      <alignment horizontal="center" vertical="center"/>
    </xf>
    <xf numFmtId="4" fontId="38" fillId="0" borderId="0" xfId="102" applyNumberFormat="1" applyFont="1" applyAlignment="1">
      <alignment horizontal="left"/>
    </xf>
    <xf numFmtId="4" fontId="0" fillId="0" borderId="0" xfId="102" applyNumberFormat="1" applyFont="1"/>
    <xf numFmtId="164" fontId="0" fillId="0" borderId="0" xfId="98" applyFont="1"/>
    <xf numFmtId="4" fontId="69" fillId="0" borderId="0" xfId="104" applyNumberFormat="1" applyFont="1"/>
    <xf numFmtId="4" fontId="19" fillId="0" borderId="0" xfId="104" applyNumberFormat="1" applyFont="1"/>
    <xf numFmtId="164" fontId="22" fillId="0" borderId="0" xfId="98" applyFont="1" applyAlignment="1">
      <alignment horizontal="center"/>
    </xf>
    <xf numFmtId="164" fontId="70" fillId="0" borderId="0" xfId="98" applyFont="1" applyAlignment="1">
      <alignment horizontal="center"/>
    </xf>
    <xf numFmtId="4" fontId="0" fillId="0" borderId="0" xfId="104" applyNumberFormat="1" applyFont="1"/>
    <xf numFmtId="4" fontId="65" fillId="0" borderId="30" xfId="102" applyNumberFormat="1" applyFont="1" applyBorder="1" applyAlignment="1">
      <alignment horizontal="left" vertical="center"/>
    </xf>
    <xf numFmtId="4" fontId="65" fillId="0" borderId="44" xfId="102" applyNumberFormat="1" applyFont="1" applyBorder="1" applyAlignment="1">
      <alignment horizontal="left" vertical="center"/>
    </xf>
    <xf numFmtId="164" fontId="22" fillId="3" borderId="44" xfId="98" applyFont="1" applyFill="1" applyBorder="1" applyAlignment="1">
      <alignment horizontal="center"/>
    </xf>
    <xf numFmtId="4" fontId="0" fillId="0" borderId="0" xfId="102" applyNumberFormat="1" applyFont="1" applyAlignment="1">
      <alignment horizontal="right"/>
    </xf>
    <xf numFmtId="164" fontId="71" fillId="0" borderId="0" xfId="98" applyFont="1"/>
    <xf numFmtId="164" fontId="71" fillId="0" borderId="0" xfId="98" applyFont="1" applyAlignment="1">
      <alignment horizontal="center"/>
    </xf>
    <xf numFmtId="164" fontId="71" fillId="0" borderId="0" xfId="98" applyFont="1" applyFill="1" applyAlignment="1">
      <alignment horizontal="center"/>
    </xf>
    <xf numFmtId="164" fontId="72" fillId="0" borderId="0" xfId="98" applyFont="1" applyAlignment="1">
      <alignment horizontal="center" vertical="center"/>
    </xf>
    <xf numFmtId="164" fontId="71" fillId="0" borderId="0" xfId="98" applyFont="1" applyAlignment="1">
      <alignment vertical="center"/>
    </xf>
    <xf numFmtId="4" fontId="38" fillId="0" borderId="0" xfId="102" applyNumberFormat="1" applyFont="1"/>
    <xf numFmtId="164" fontId="37" fillId="0" borderId="0" xfId="98" applyFont="1" applyAlignment="1">
      <alignment horizontal="center"/>
    </xf>
    <xf numFmtId="4" fontId="65" fillId="0" borderId="0" xfId="102" applyNumberFormat="1" applyFont="1" applyAlignment="1">
      <alignment horizontal="left" vertical="center" indent="3"/>
    </xf>
    <xf numFmtId="4" fontId="65" fillId="0" borderId="0" xfId="102" applyNumberFormat="1" applyFont="1" applyAlignment="1">
      <alignment horizontal="left" vertical="center"/>
    </xf>
    <xf numFmtId="164" fontId="73" fillId="0" borderId="0" xfId="98" applyFont="1" applyAlignment="1">
      <alignment horizontal="center" vertical="center"/>
    </xf>
    <xf numFmtId="4" fontId="74" fillId="0" borderId="0" xfId="102" applyNumberFormat="1" applyFont="1" applyAlignment="1">
      <alignment horizontal="center" vertical="center"/>
    </xf>
    <xf numFmtId="4" fontId="0" fillId="0" borderId="0" xfId="102" applyNumberFormat="1" applyFont="1" applyAlignment="1">
      <alignment horizontal="center"/>
    </xf>
    <xf numFmtId="10" fontId="17" fillId="0" borderId="0" xfId="106" applyNumberFormat="1" applyFill="1" applyAlignment="1">
      <alignment horizontal="center"/>
    </xf>
    <xf numFmtId="164" fontId="22" fillId="3" borderId="30" xfId="106" applyNumberFormat="1" applyFont="1" applyFill="1" applyBorder="1" applyAlignment="1">
      <alignment horizontal="center"/>
    </xf>
    <xf numFmtId="10" fontId="68" fillId="0" borderId="0" xfId="106" applyNumberFormat="1" applyFont="1" applyFill="1" applyAlignment="1">
      <alignment horizontal="center"/>
    </xf>
    <xf numFmtId="10" fontId="17" fillId="0" borderId="0" xfId="106" applyNumberFormat="1" applyFont="1" applyFill="1" applyAlignment="1">
      <alignment horizontal="center"/>
    </xf>
    <xf numFmtId="164" fontId="37" fillId="3" borderId="44" xfId="102" applyNumberFormat="1" applyFont="1" applyFill="1" applyBorder="1"/>
    <xf numFmtId="4" fontId="68" fillId="0" borderId="0" xfId="102" applyNumberFormat="1" applyFont="1"/>
    <xf numFmtId="169" fontId="17" fillId="0" borderId="0" xfId="106" applyNumberFormat="1" applyFont="1"/>
    <xf numFmtId="10" fontId="17" fillId="0" borderId="0" xfId="106" applyNumberFormat="1" applyFont="1"/>
    <xf numFmtId="14" fontId="75" fillId="0" borderId="0" xfId="102" applyNumberFormat="1" applyFont="1"/>
    <xf numFmtId="169" fontId="75" fillId="0" borderId="0" xfId="106" applyNumberFormat="1" applyFont="1"/>
    <xf numFmtId="10" fontId="75" fillId="0" borderId="0" xfId="106" applyNumberFormat="1" applyFont="1"/>
    <xf numFmtId="4" fontId="75" fillId="0" borderId="0" xfId="102" applyNumberFormat="1" applyFont="1"/>
    <xf numFmtId="14" fontId="75" fillId="0" borderId="0" xfId="102" applyNumberFormat="1" applyFont="1" applyAlignment="1">
      <alignment horizontal="center" vertical="center"/>
    </xf>
    <xf numFmtId="169" fontId="75" fillId="0" borderId="0" xfId="106" applyNumberFormat="1" applyFont="1" applyAlignment="1">
      <alignment horizontal="center" vertical="center"/>
    </xf>
    <xf numFmtId="10" fontId="75" fillId="0" borderId="0" xfId="106" applyNumberFormat="1" applyFont="1" applyAlignment="1">
      <alignment horizontal="center" vertical="center"/>
    </xf>
    <xf numFmtId="4" fontId="75" fillId="0" borderId="0" xfId="102" applyNumberFormat="1" applyFont="1" applyAlignment="1">
      <alignment horizontal="center" vertical="center"/>
    </xf>
    <xf numFmtId="4" fontId="0" fillId="0" borderId="0" xfId="102" applyNumberFormat="1" applyFont="1" applyAlignment="1">
      <alignment horizontal="center" vertical="center"/>
    </xf>
    <xf numFmtId="169" fontId="75" fillId="0" borderId="0" xfId="102" applyNumberFormat="1" applyFont="1" applyAlignment="1">
      <alignment horizontal="center" vertical="center"/>
    </xf>
    <xf numFmtId="4" fontId="67" fillId="0" borderId="0" xfId="102" applyNumberFormat="1" applyFont="1"/>
    <xf numFmtId="4" fontId="17" fillId="2" borderId="0" xfId="102" applyNumberFormat="1" applyFill="1"/>
    <xf numFmtId="14" fontId="17" fillId="2" borderId="0" xfId="102" applyNumberFormat="1" applyFill="1"/>
    <xf numFmtId="4" fontId="17" fillId="0" borderId="0" xfId="102" applyNumberFormat="1" applyAlignment="1">
      <alignment horizontal="center" vertical="center"/>
    </xf>
    <xf numFmtId="14" fontId="19" fillId="0" borderId="33" xfId="103" applyNumberFormat="1" applyFont="1" applyBorder="1" applyAlignment="1">
      <alignment vertical="center"/>
    </xf>
    <xf numFmtId="4" fontId="65" fillId="0" borderId="47" xfId="102" applyNumberFormat="1" applyFont="1" applyBorder="1" applyAlignment="1">
      <alignment horizontal="left" vertical="center"/>
    </xf>
    <xf numFmtId="164" fontId="22" fillId="3" borderId="47" xfId="106" applyNumberFormat="1" applyFont="1" applyFill="1" applyBorder="1" applyAlignment="1">
      <alignment horizontal="center"/>
    </xf>
    <xf numFmtId="0" fontId="19" fillId="0" borderId="0" xfId="103" applyFont="1" applyAlignment="1">
      <alignment vertical="center"/>
    </xf>
    <xf numFmtId="0" fontId="14" fillId="0" borderId="0" xfId="99"/>
    <xf numFmtId="0" fontId="17" fillId="5" borderId="0" xfId="103" applyFill="1"/>
    <xf numFmtId="0" fontId="17" fillId="5" borderId="0" xfId="103" applyFill="1" applyAlignment="1">
      <alignment horizontal="left" vertical="center" indent="1"/>
    </xf>
    <xf numFmtId="14" fontId="19" fillId="5" borderId="0" xfId="103" applyNumberFormat="1" applyFont="1" applyFill="1" applyAlignment="1">
      <alignment horizontal="center" vertical="center"/>
    </xf>
    <xf numFmtId="4" fontId="44" fillId="0" borderId="0" xfId="103" applyNumberFormat="1" applyFont="1"/>
    <xf numFmtId="0" fontId="17" fillId="0" borderId="0" xfId="103" applyAlignment="1">
      <alignment vertical="center"/>
    </xf>
    <xf numFmtId="0" fontId="78" fillId="4" borderId="2" xfId="103" applyFont="1" applyFill="1" applyBorder="1" applyAlignment="1">
      <alignment horizontal="center" vertical="center"/>
    </xf>
    <xf numFmtId="0" fontId="19" fillId="0" borderId="0" xfId="103" applyFont="1"/>
    <xf numFmtId="49" fontId="69" fillId="13" borderId="16" xfId="103" applyNumberFormat="1" applyFont="1" applyFill="1" applyBorder="1" applyAlignment="1">
      <alignment horizontal="center" vertical="center"/>
    </xf>
    <xf numFmtId="0" fontId="80" fillId="11" borderId="48" xfId="103" applyFont="1" applyFill="1" applyBorder="1" applyAlignment="1">
      <alignment horizontal="center" vertical="center"/>
    </xf>
    <xf numFmtId="49" fontId="69" fillId="11" borderId="48" xfId="103" applyNumberFormat="1" applyFont="1" applyFill="1" applyBorder="1" applyAlignment="1">
      <alignment horizontal="center" vertical="center"/>
    </xf>
    <xf numFmtId="0" fontId="83" fillId="11" borderId="48" xfId="103" applyFont="1" applyFill="1" applyBorder="1" applyAlignment="1">
      <alignment horizontal="center" vertical="center"/>
    </xf>
    <xf numFmtId="0" fontId="19" fillId="0" borderId="0" xfId="0" applyFont="1" applyAlignment="1">
      <alignment vertical="center"/>
    </xf>
    <xf numFmtId="0" fontId="17" fillId="5" borderId="0" xfId="0" applyFont="1" applyFill="1"/>
    <xf numFmtId="0" fontId="96" fillId="5" borderId="0" xfId="0" applyFont="1" applyFill="1"/>
    <xf numFmtId="4" fontId="95" fillId="5" borderId="0" xfId="0" applyNumberFormat="1" applyFont="1" applyFill="1" applyAlignment="1">
      <alignment vertical="center"/>
    </xf>
    <xf numFmtId="0" fontId="97" fillId="0" borderId="83" xfId="0" applyFont="1" applyBorder="1" applyAlignment="1">
      <alignment horizontal="left" vertical="center"/>
    </xf>
    <xf numFmtId="0" fontId="39" fillId="0" borderId="0" xfId="0" applyFont="1" applyAlignment="1">
      <alignment vertical="center"/>
    </xf>
    <xf numFmtId="0" fontId="39" fillId="0" borderId="85" xfId="0" applyFont="1" applyBorder="1" applyAlignment="1">
      <alignment horizontal="left" vertical="center"/>
    </xf>
    <xf numFmtId="0" fontId="39" fillId="0" borderId="84" xfId="0" applyFont="1" applyBorder="1"/>
    <xf numFmtId="0" fontId="39" fillId="0" borderId="86" xfId="0" applyFont="1" applyBorder="1" applyAlignment="1">
      <alignment vertical="center"/>
    </xf>
    <xf numFmtId="0" fontId="39" fillId="0" borderId="83" xfId="0" applyFont="1" applyBorder="1" applyAlignment="1">
      <alignment horizontal="left" vertical="center"/>
    </xf>
    <xf numFmtId="0" fontId="97" fillId="0" borderId="0" xfId="0" applyFont="1" applyAlignment="1">
      <alignment vertical="center"/>
    </xf>
    <xf numFmtId="0" fontId="21" fillId="0" borderId="0" xfId="0" applyFont="1" applyAlignment="1">
      <alignment vertical="center"/>
    </xf>
    <xf numFmtId="0" fontId="39" fillId="0" borderId="89" xfId="0" applyFont="1" applyBorder="1" applyAlignment="1">
      <alignment vertical="center"/>
    </xf>
    <xf numFmtId="0" fontId="97" fillId="0" borderId="91" xfId="0" applyFont="1" applyBorder="1" applyAlignment="1">
      <alignment horizontal="left" vertical="center"/>
    </xf>
    <xf numFmtId="0" fontId="97" fillId="0" borderId="92" xfId="0" applyFont="1" applyBorder="1" applyAlignment="1">
      <alignment vertical="center"/>
    </xf>
    <xf numFmtId="0" fontId="39" fillId="0" borderId="93" xfId="0" applyFont="1" applyBorder="1" applyAlignment="1">
      <alignment horizontal="left" vertical="center"/>
    </xf>
    <xf numFmtId="0" fontId="0" fillId="0" borderId="94" xfId="0" applyBorder="1"/>
    <xf numFmtId="0" fontId="97" fillId="0" borderId="95" xfId="0" applyFont="1" applyBorder="1" applyAlignment="1">
      <alignment vertical="center"/>
    </xf>
    <xf numFmtId="0" fontId="97" fillId="0" borderId="96" xfId="0" applyFont="1" applyBorder="1" applyAlignment="1">
      <alignment horizontal="left" vertical="center"/>
    </xf>
    <xf numFmtId="0" fontId="97" fillId="0" borderId="18" xfId="0" applyFont="1" applyBorder="1" applyAlignment="1">
      <alignment vertical="center"/>
    </xf>
    <xf numFmtId="0" fontId="97" fillId="0" borderId="97" xfId="0" applyFont="1" applyBorder="1" applyAlignment="1">
      <alignment horizontal="left" vertical="center"/>
    </xf>
    <xf numFmtId="0" fontId="97" fillId="0" borderId="98" xfId="0" applyFont="1" applyBorder="1" applyAlignment="1">
      <alignment horizontal="left" vertical="center"/>
    </xf>
    <xf numFmtId="167" fontId="17" fillId="0" borderId="100" xfId="0" applyNumberFormat="1" applyFont="1" applyBorder="1" applyAlignment="1">
      <alignment horizontal="right" vertical="center" indent="1"/>
    </xf>
    <xf numFmtId="167" fontId="17" fillId="0" borderId="101" xfId="0" applyNumberFormat="1" applyFont="1" applyBorder="1" applyAlignment="1">
      <alignment horizontal="right" vertical="center" indent="1"/>
    </xf>
    <xf numFmtId="167" fontId="17" fillId="0" borderId="102" xfId="0" applyNumberFormat="1" applyFont="1" applyBorder="1" applyAlignment="1">
      <alignment horizontal="right" vertical="center" indent="1"/>
    </xf>
    <xf numFmtId="165" fontId="17" fillId="0" borderId="103" xfId="0" applyNumberFormat="1" applyFont="1" applyBorder="1" applyAlignment="1">
      <alignment horizontal="right" vertical="center" indent="1"/>
    </xf>
    <xf numFmtId="0" fontId="47" fillId="5" borderId="73" xfId="0" applyFont="1" applyFill="1" applyBorder="1" applyAlignment="1">
      <alignment vertical="center"/>
    </xf>
    <xf numFmtId="0" fontId="21" fillId="5" borderId="74" xfId="0" applyFont="1" applyFill="1" applyBorder="1" applyAlignment="1">
      <alignment vertical="center"/>
    </xf>
    <xf numFmtId="0" fontId="39" fillId="0" borderId="107" xfId="0" applyFont="1" applyBorder="1" applyAlignment="1">
      <alignment vertical="center"/>
    </xf>
    <xf numFmtId="0" fontId="97" fillId="0" borderId="108" xfId="0" applyFont="1" applyBorder="1" applyAlignment="1">
      <alignment horizontal="left" vertical="center"/>
    </xf>
    <xf numFmtId="0" fontId="39" fillId="0" borderId="109" xfId="0" applyFont="1" applyBorder="1" applyAlignment="1">
      <alignment vertical="center"/>
    </xf>
    <xf numFmtId="167" fontId="17" fillId="0" borderId="110" xfId="0" applyNumberFormat="1" applyFont="1" applyBorder="1" applyAlignment="1">
      <alignment horizontal="right" vertical="center" indent="1"/>
    </xf>
    <xf numFmtId="0" fontId="39" fillId="0" borderId="111" xfId="0" applyFont="1" applyBorder="1" applyAlignment="1">
      <alignment vertical="center"/>
    </xf>
    <xf numFmtId="167" fontId="17" fillId="0" borderId="112" xfId="0" applyNumberFormat="1" applyFont="1" applyBorder="1" applyAlignment="1">
      <alignment horizontal="right" vertical="center" indent="1"/>
    </xf>
    <xf numFmtId="0" fontId="39" fillId="0" borderId="113" xfId="0" applyFont="1" applyBorder="1" applyAlignment="1">
      <alignment vertical="center"/>
    </xf>
    <xf numFmtId="0" fontId="39" fillId="0" borderId="114" xfId="0" applyFont="1" applyBorder="1" applyAlignment="1">
      <alignment vertical="center"/>
    </xf>
    <xf numFmtId="0" fontId="97" fillId="0" borderId="115" xfId="0" applyFont="1" applyBorder="1" applyAlignment="1">
      <alignment vertical="center"/>
    </xf>
    <xf numFmtId="0" fontId="97" fillId="0" borderId="116" xfId="0" applyFont="1" applyBorder="1" applyAlignment="1">
      <alignment horizontal="left" vertical="center"/>
    </xf>
    <xf numFmtId="0" fontId="97" fillId="0" borderId="117" xfId="0" applyFont="1" applyBorder="1" applyAlignment="1">
      <alignment vertical="center"/>
    </xf>
    <xf numFmtId="167" fontId="17" fillId="0" borderId="118" xfId="0" applyNumberFormat="1" applyFont="1" applyBorder="1" applyAlignment="1">
      <alignment horizontal="right" vertical="center" indent="1"/>
    </xf>
    <xf numFmtId="0" fontId="21" fillId="5" borderId="57" xfId="0" applyFont="1" applyFill="1" applyBorder="1" applyAlignment="1">
      <alignment vertical="center"/>
    </xf>
    <xf numFmtId="0" fontId="21" fillId="5" borderId="58" xfId="0" applyFont="1" applyFill="1" applyBorder="1" applyAlignment="1">
      <alignment vertical="center"/>
    </xf>
    <xf numFmtId="14" fontId="19" fillId="0" borderId="0" xfId="103" applyNumberFormat="1" applyFont="1" applyAlignment="1">
      <alignment vertical="center"/>
    </xf>
    <xf numFmtId="0" fontId="0" fillId="0" borderId="6" xfId="0" applyBorder="1" applyAlignment="1">
      <alignment horizontal="center"/>
    </xf>
    <xf numFmtId="0" fontId="17" fillId="0" borderId="15" xfId="0" applyFont="1" applyBorder="1" applyAlignment="1">
      <alignment horizontal="center" vertical="center"/>
    </xf>
    <xf numFmtId="0" fontId="17" fillId="0" borderId="22" xfId="0" applyFont="1" applyBorder="1" applyAlignment="1">
      <alignment horizontal="center" vertical="center"/>
    </xf>
    <xf numFmtId="0" fontId="17" fillId="2" borderId="0" xfId="99" applyFont="1" applyFill="1"/>
    <xf numFmtId="0" fontId="86" fillId="0" borderId="0" xfId="0" applyFont="1"/>
    <xf numFmtId="0" fontId="86" fillId="0" borderId="0" xfId="0" applyFont="1" applyAlignment="1">
      <alignment horizontal="right"/>
    </xf>
    <xf numFmtId="0" fontId="0" fillId="0" borderId="120" xfId="0" quotePrefix="1" applyBorder="1" applyAlignment="1">
      <alignment horizontal="center" vertical="center"/>
    </xf>
    <xf numFmtId="0" fontId="0" fillId="0" borderId="121" xfId="0" quotePrefix="1" applyBorder="1" applyAlignment="1">
      <alignment horizontal="center" vertical="center"/>
    </xf>
    <xf numFmtId="4" fontId="86" fillId="0" borderId="33" xfId="0" applyNumberFormat="1" applyFont="1" applyBorder="1" applyAlignment="1">
      <alignment horizontal="right" vertical="center" wrapText="1"/>
    </xf>
    <xf numFmtId="164" fontId="86" fillId="4" borderId="34" xfId="0" applyNumberFormat="1" applyFont="1" applyFill="1" applyBorder="1" applyAlignment="1">
      <alignment horizontal="right" vertical="center" wrapText="1"/>
    </xf>
    <xf numFmtId="14" fontId="86" fillId="0" borderId="33" xfId="0" applyNumberFormat="1" applyFont="1" applyBorder="1" applyAlignment="1">
      <alignment horizontal="right"/>
    </xf>
    <xf numFmtId="0" fontId="86" fillId="0" borderId="36" xfId="0" applyFont="1" applyBorder="1" applyAlignment="1">
      <alignment horizontal="right"/>
    </xf>
    <xf numFmtId="164" fontId="86" fillId="4" borderId="37" xfId="0" applyNumberFormat="1" applyFont="1" applyFill="1" applyBorder="1" applyAlignment="1">
      <alignment horizontal="right" vertical="center" wrapText="1"/>
    </xf>
    <xf numFmtId="0" fontId="86" fillId="0" borderId="35" xfId="0" applyFont="1" applyBorder="1"/>
    <xf numFmtId="0" fontId="86" fillId="0" borderId="38" xfId="0" applyFont="1" applyBorder="1"/>
    <xf numFmtId="4" fontId="86" fillId="0" borderId="55" xfId="79" applyNumberFormat="1" applyFont="1" applyFill="1" applyBorder="1" applyAlignment="1">
      <alignment horizontal="center" vertical="center" wrapText="1"/>
    </xf>
    <xf numFmtId="4" fontId="86" fillId="0" borderId="55" xfId="0" applyNumberFormat="1" applyFont="1" applyBorder="1" applyAlignment="1">
      <alignment horizontal="center" vertical="center" wrapText="1"/>
    </xf>
    <xf numFmtId="14" fontId="86" fillId="0" borderId="35" xfId="0" applyNumberFormat="1" applyFont="1" applyBorder="1" applyAlignment="1">
      <alignment horizontal="center" vertical="center"/>
    </xf>
    <xf numFmtId="14" fontId="86" fillId="0" borderId="34" xfId="0" applyNumberFormat="1" applyFont="1" applyBorder="1" applyAlignment="1">
      <alignment horizontal="center" vertical="center"/>
    </xf>
    <xf numFmtId="4" fontId="86" fillId="3" borderId="124" xfId="0" applyNumberFormat="1" applyFont="1" applyFill="1" applyBorder="1" applyAlignment="1">
      <alignment horizontal="center" vertical="center" wrapText="1"/>
    </xf>
    <xf numFmtId="4" fontId="86" fillId="4" borderId="35" xfId="0" applyNumberFormat="1" applyFont="1" applyFill="1" applyBorder="1" applyAlignment="1">
      <alignment horizontal="right" vertical="center" wrapText="1"/>
    </xf>
    <xf numFmtId="4" fontId="86" fillId="4" borderId="34" xfId="0" applyNumberFormat="1" applyFont="1" applyFill="1" applyBorder="1" applyAlignment="1">
      <alignment horizontal="right" vertical="center" wrapText="1"/>
    </xf>
    <xf numFmtId="10" fontId="86" fillId="0" borderId="33" xfId="0" applyNumberFormat="1" applyFont="1" applyBorder="1" applyAlignment="1">
      <alignment horizontal="right"/>
    </xf>
    <xf numFmtId="10" fontId="86" fillId="0" borderId="36" xfId="0" applyNumberFormat="1" applyFont="1" applyBorder="1" applyAlignment="1">
      <alignment horizontal="right"/>
    </xf>
    <xf numFmtId="0" fontId="41" fillId="9" borderId="58" xfId="103" applyFont="1" applyFill="1" applyBorder="1" applyAlignment="1">
      <alignment vertical="center"/>
    </xf>
    <xf numFmtId="167" fontId="0" fillId="0" borderId="0" xfId="0" applyNumberFormat="1"/>
    <xf numFmtId="164" fontId="39" fillId="0" borderId="0" xfId="0" applyNumberFormat="1" applyFont="1" applyAlignment="1">
      <alignment vertical="center"/>
    </xf>
    <xf numFmtId="164" fontId="22" fillId="3" borderId="30" xfId="98" applyFont="1" applyFill="1" applyBorder="1" applyAlignment="1">
      <alignment horizontal="center"/>
    </xf>
    <xf numFmtId="164" fontId="14" fillId="0" borderId="0" xfId="99" applyNumberFormat="1"/>
    <xf numFmtId="4" fontId="72" fillId="0" borderId="132" xfId="102" applyNumberFormat="1" applyFont="1" applyBorder="1" applyAlignment="1">
      <alignment horizontal="left" vertical="center" indent="1"/>
    </xf>
    <xf numFmtId="4" fontId="72" fillId="0" borderId="30" xfId="102" applyNumberFormat="1" applyFont="1" applyBorder="1" applyAlignment="1">
      <alignment horizontal="left" vertical="center" indent="1"/>
    </xf>
    <xf numFmtId="4" fontId="72" fillId="0" borderId="131" xfId="102" applyNumberFormat="1" applyFont="1" applyBorder="1" applyAlignment="1">
      <alignment horizontal="left" vertical="center" indent="1"/>
    </xf>
    <xf numFmtId="4" fontId="72" fillId="0" borderId="44" xfId="102" applyNumberFormat="1" applyFont="1" applyBorder="1" applyAlignment="1">
      <alignment horizontal="left" vertical="center" indent="1"/>
    </xf>
    <xf numFmtId="4" fontId="17" fillId="0" borderId="33" xfId="102" applyNumberFormat="1" applyBorder="1" applyAlignment="1">
      <alignment horizontal="center"/>
    </xf>
    <xf numFmtId="4" fontId="64" fillId="0" borderId="0" xfId="102" applyNumberFormat="1" applyFont="1" applyAlignment="1">
      <alignment horizontal="center" vertical="center"/>
    </xf>
    <xf numFmtId="0" fontId="14" fillId="0" borderId="0" xfId="99" applyAlignment="1">
      <alignment horizontal="center" vertical="center"/>
    </xf>
    <xf numFmtId="0" fontId="56" fillId="0" borderId="40" xfId="97" applyFont="1" applyBorder="1" applyAlignment="1">
      <alignment vertical="center" wrapText="1"/>
    </xf>
    <xf numFmtId="0" fontId="56" fillId="0" borderId="41" xfId="97" applyFont="1" applyBorder="1" applyAlignment="1">
      <alignment vertical="center" wrapText="1"/>
    </xf>
    <xf numFmtId="0" fontId="48" fillId="0" borderId="0" xfId="97" applyFont="1" applyAlignment="1">
      <alignment horizontal="left" vertical="center" indent="2"/>
    </xf>
    <xf numFmtId="0" fontId="49" fillId="0" borderId="0" xfId="97" applyFont="1" applyAlignment="1">
      <alignment horizontal="left" indent="2"/>
    </xf>
    <xf numFmtId="0" fontId="75" fillId="0" borderId="0" xfId="0" applyFont="1"/>
    <xf numFmtId="0" fontId="56" fillId="0" borderId="40" xfId="97" applyFont="1" applyBorder="1" applyAlignment="1">
      <alignment vertical="center"/>
    </xf>
    <xf numFmtId="0" fontId="56" fillId="0" borderId="41" xfId="97" applyFont="1" applyBorder="1" applyAlignment="1">
      <alignment vertical="center"/>
    </xf>
    <xf numFmtId="164" fontId="18" fillId="0" borderId="0" xfId="98" applyFont="1"/>
    <xf numFmtId="10" fontId="18" fillId="0" borderId="0" xfId="106" applyNumberFormat="1" applyFont="1" applyFill="1" applyAlignment="1">
      <alignment horizontal="center"/>
    </xf>
    <xf numFmtId="4" fontId="18" fillId="0" borderId="0" xfId="102" applyNumberFormat="1" applyFont="1"/>
    <xf numFmtId="164" fontId="66" fillId="3" borderId="45" xfId="98" applyFont="1" applyFill="1" applyBorder="1" applyAlignment="1">
      <alignment horizontal="center" vertical="center"/>
    </xf>
    <xf numFmtId="164" fontId="22" fillId="10" borderId="33" xfId="98" applyFont="1" applyFill="1" applyBorder="1" applyAlignment="1">
      <alignment horizontal="center"/>
    </xf>
    <xf numFmtId="0" fontId="75" fillId="5" borderId="0" xfId="99" applyFont="1" applyFill="1"/>
    <xf numFmtId="14" fontId="19" fillId="0" borderId="25" xfId="0" applyNumberFormat="1" applyFont="1" applyBorder="1" applyAlignment="1">
      <alignment horizontal="center"/>
    </xf>
    <xf numFmtId="14" fontId="86" fillId="0" borderId="25" xfId="0" applyNumberFormat="1" applyFont="1" applyBorder="1" applyAlignment="1">
      <alignment horizontal="center"/>
    </xf>
    <xf numFmtId="14" fontId="86" fillId="0" borderId="27" xfId="0" applyNumberFormat="1" applyFont="1" applyBorder="1" applyAlignment="1">
      <alignment horizontal="center"/>
    </xf>
    <xf numFmtId="0" fontId="86" fillId="0" borderId="136" xfId="0" applyFont="1" applyBorder="1"/>
    <xf numFmtId="14" fontId="86" fillId="0" borderId="37" xfId="0" applyNumberFormat="1" applyFont="1" applyBorder="1" applyAlignment="1">
      <alignment horizontal="center" vertical="center"/>
    </xf>
    <xf numFmtId="4" fontId="86" fillId="0" borderId="139" xfId="79" applyNumberFormat="1" applyFont="1" applyFill="1" applyBorder="1" applyAlignment="1">
      <alignment horizontal="center" vertical="center" wrapText="1"/>
    </xf>
    <xf numFmtId="4" fontId="86" fillId="0" borderId="139" xfId="0" applyNumberFormat="1" applyFont="1" applyBorder="1" applyAlignment="1">
      <alignment horizontal="center" vertical="center" wrapText="1"/>
    </xf>
    <xf numFmtId="4" fontId="86" fillId="3" borderId="125" xfId="0" applyNumberFormat="1" applyFont="1" applyFill="1" applyBorder="1" applyAlignment="1">
      <alignment horizontal="center" vertical="center" wrapText="1"/>
    </xf>
    <xf numFmtId="4" fontId="80" fillId="3" borderId="48" xfId="103" applyNumberFormat="1" applyFont="1" applyFill="1" applyBorder="1" applyAlignment="1">
      <alignment horizontal="right" vertical="center" indent="1"/>
    </xf>
    <xf numFmtId="167" fontId="82" fillId="3" borderId="48" xfId="103" applyNumberFormat="1" applyFont="1" applyFill="1" applyBorder="1" applyAlignment="1">
      <alignment horizontal="right" vertical="center" indent="1"/>
    </xf>
    <xf numFmtId="4" fontId="83" fillId="3" borderId="48" xfId="103" applyNumberFormat="1" applyFont="1" applyFill="1" applyBorder="1" applyAlignment="1">
      <alignment horizontal="right" vertical="center" indent="1"/>
    </xf>
    <xf numFmtId="167" fontId="89" fillId="4" borderId="2" xfId="103" applyNumberFormat="1" applyFont="1" applyFill="1" applyBorder="1" applyAlignment="1">
      <alignment horizontal="right" vertical="center" indent="1"/>
    </xf>
    <xf numFmtId="167" fontId="79" fillId="4" borderId="2" xfId="103" applyNumberFormat="1" applyFont="1" applyFill="1" applyBorder="1" applyAlignment="1">
      <alignment horizontal="right" vertical="center" indent="1"/>
    </xf>
    <xf numFmtId="0" fontId="17" fillId="4" borderId="19" xfId="103" applyFill="1" applyBorder="1"/>
    <xf numFmtId="0" fontId="17" fillId="4" borderId="23" xfId="103" applyFill="1" applyBorder="1" applyAlignment="1">
      <alignment vertical="center"/>
    </xf>
    <xf numFmtId="0" fontId="17" fillId="4" borderId="23" xfId="103" applyFill="1" applyBorder="1"/>
    <xf numFmtId="0" fontId="19" fillId="4" borderId="23" xfId="103" applyFont="1" applyFill="1" applyBorder="1"/>
    <xf numFmtId="0" fontId="17" fillId="4" borderId="15" xfId="103" applyFill="1" applyBorder="1"/>
    <xf numFmtId="0" fontId="19" fillId="4" borderId="0" xfId="103" applyFont="1" applyFill="1" applyAlignment="1">
      <alignment vertical="center"/>
    </xf>
    <xf numFmtId="0" fontId="19" fillId="4" borderId="0" xfId="103" applyFont="1" applyFill="1"/>
    <xf numFmtId="0" fontId="17" fillId="4" borderId="12" xfId="103" applyFill="1" applyBorder="1"/>
    <xf numFmtId="0" fontId="69" fillId="4" borderId="12" xfId="103" applyFont="1" applyFill="1" applyBorder="1" applyAlignment="1">
      <alignment horizontal="center" vertical="center"/>
    </xf>
    <xf numFmtId="0" fontId="80" fillId="4" borderId="12" xfId="103" applyFont="1" applyFill="1" applyBorder="1" applyAlignment="1">
      <alignment horizontal="center" vertical="center"/>
    </xf>
    <xf numFmtId="0" fontId="85" fillId="4" borderId="12" xfId="103" applyFont="1" applyFill="1" applyBorder="1" applyAlignment="1">
      <alignment horizontal="left" vertical="center" indent="1"/>
    </xf>
    <xf numFmtId="0" fontId="44" fillId="4" borderId="12" xfId="103" applyFont="1" applyFill="1" applyBorder="1"/>
    <xf numFmtId="0" fontId="17" fillId="4" borderId="29" xfId="103" applyFill="1" applyBorder="1"/>
    <xf numFmtId="0" fontId="42" fillId="4" borderId="20" xfId="103" applyFont="1" applyFill="1" applyBorder="1" applyAlignment="1">
      <alignment horizontal="center" vertical="center"/>
    </xf>
    <xf numFmtId="0" fontId="17" fillId="4" borderId="28" xfId="103" applyFill="1" applyBorder="1" applyAlignment="1">
      <alignment vertical="center"/>
    </xf>
    <xf numFmtId="0" fontId="19" fillId="4" borderId="28" xfId="103" applyFont="1" applyFill="1" applyBorder="1" applyAlignment="1">
      <alignment vertical="center"/>
    </xf>
    <xf numFmtId="0" fontId="17" fillId="4" borderId="28" xfId="103" applyFill="1" applyBorder="1"/>
    <xf numFmtId="0" fontId="19" fillId="4" borderId="28" xfId="103" applyFont="1" applyFill="1" applyBorder="1"/>
    <xf numFmtId="0" fontId="42" fillId="4" borderId="21" xfId="103" applyFont="1" applyFill="1" applyBorder="1" applyAlignment="1">
      <alignment horizontal="center" vertical="center"/>
    </xf>
    <xf numFmtId="4" fontId="61" fillId="16" borderId="31" xfId="102" applyNumberFormat="1" applyFont="1" applyFill="1" applyBorder="1" applyAlignment="1">
      <alignment vertical="center"/>
    </xf>
    <xf numFmtId="4" fontId="61" fillId="16" borderId="31" xfId="102" applyNumberFormat="1" applyFont="1" applyFill="1" applyBorder="1" applyAlignment="1">
      <alignment horizontal="left" vertical="center"/>
    </xf>
    <xf numFmtId="4" fontId="19" fillId="10" borderId="47" xfId="102" applyNumberFormat="1" applyFont="1" applyFill="1" applyBorder="1" applyAlignment="1">
      <alignment horizontal="left" vertical="center"/>
    </xf>
    <xf numFmtId="4" fontId="19" fillId="10" borderId="30" xfId="102" applyNumberFormat="1" applyFont="1" applyFill="1" applyBorder="1" applyAlignment="1">
      <alignment horizontal="left" vertical="center"/>
    </xf>
    <xf numFmtId="4" fontId="19" fillId="10" borderId="44" xfId="102" applyNumberFormat="1" applyFont="1" applyFill="1" applyBorder="1" applyAlignment="1">
      <alignment horizontal="left" vertical="center"/>
    </xf>
    <xf numFmtId="4" fontId="19" fillId="10" borderId="45" xfId="102" applyNumberFormat="1" applyFont="1" applyFill="1" applyBorder="1" applyAlignment="1">
      <alignment horizontal="left" vertical="center"/>
    </xf>
    <xf numFmtId="4" fontId="19" fillId="10" borderId="133" xfId="102" applyNumberFormat="1" applyFont="1" applyFill="1" applyBorder="1" applyAlignment="1">
      <alignment horizontal="left" vertical="center"/>
    </xf>
    <xf numFmtId="4" fontId="17" fillId="5" borderId="0" xfId="99" applyNumberFormat="1" applyFont="1" applyFill="1"/>
    <xf numFmtId="14" fontId="0" fillId="0" borderId="0" xfId="0" applyNumberFormat="1"/>
    <xf numFmtId="14" fontId="19" fillId="18" borderId="33" xfId="103" applyNumberFormat="1" applyFont="1" applyFill="1" applyBorder="1" applyAlignment="1">
      <alignment vertical="center"/>
    </xf>
    <xf numFmtId="14" fontId="17" fillId="5" borderId="0" xfId="99" applyNumberFormat="1" applyFont="1" applyFill="1"/>
    <xf numFmtId="0" fontId="39" fillId="0" borderId="0" xfId="0" applyFont="1" applyAlignment="1">
      <alignment horizontal="left" vertical="center"/>
    </xf>
    <xf numFmtId="0" fontId="36" fillId="0" borderId="0" xfId="0" applyFont="1" applyAlignment="1">
      <alignment horizontal="left" vertical="center"/>
    </xf>
    <xf numFmtId="4" fontId="39" fillId="0" borderId="0" xfId="102" applyNumberFormat="1" applyFont="1" applyAlignment="1">
      <alignment horizontal="left" vertical="center"/>
    </xf>
    <xf numFmtId="0" fontId="105" fillId="0" borderId="0" xfId="0" applyFont="1"/>
    <xf numFmtId="14" fontId="0" fillId="20" borderId="0" xfId="0" applyNumberFormat="1" applyFill="1" applyAlignment="1">
      <alignment horizontal="left"/>
    </xf>
    <xf numFmtId="14" fontId="0" fillId="20" borderId="0" xfId="0" applyNumberFormat="1" applyFill="1"/>
    <xf numFmtId="49" fontId="103" fillId="20" borderId="0" xfId="0" applyNumberFormat="1" applyFont="1" applyFill="1"/>
    <xf numFmtId="49" fontId="104" fillId="20" borderId="0" xfId="0" applyNumberFormat="1" applyFont="1" applyFill="1"/>
    <xf numFmtId="44" fontId="17" fillId="20" borderId="0" xfId="107" applyFont="1" applyFill="1"/>
    <xf numFmtId="14" fontId="0" fillId="19" borderId="0" xfId="0" applyNumberFormat="1" applyFill="1" applyAlignment="1">
      <alignment horizontal="left"/>
    </xf>
    <xf numFmtId="14" fontId="0" fillId="19" borderId="0" xfId="0" applyNumberFormat="1" applyFill="1"/>
    <xf numFmtId="49" fontId="103" fillId="19" borderId="0" xfId="0" applyNumberFormat="1" applyFont="1" applyFill="1"/>
    <xf numFmtId="49" fontId="104" fillId="19" borderId="0" xfId="0" applyNumberFormat="1" applyFont="1" applyFill="1"/>
    <xf numFmtId="44" fontId="17" fillId="19" borderId="0" xfId="107" applyFont="1" applyFill="1"/>
    <xf numFmtId="14" fontId="0" fillId="5" borderId="0" xfId="0" applyNumberFormat="1" applyFill="1" applyAlignment="1">
      <alignment horizontal="left"/>
    </xf>
    <xf numFmtId="14" fontId="0" fillId="5" borderId="0" xfId="0" applyNumberFormat="1" applyFill="1"/>
    <xf numFmtId="49" fontId="103" fillId="5" borderId="0" xfId="0" applyNumberFormat="1" applyFont="1" applyFill="1"/>
    <xf numFmtId="49" fontId="104" fillId="5" borderId="0" xfId="0" applyNumberFormat="1" applyFont="1" applyFill="1"/>
    <xf numFmtId="44" fontId="17" fillId="5" borderId="0" xfId="107" applyFont="1" applyFill="1"/>
    <xf numFmtId="4" fontId="17" fillId="19" borderId="0" xfId="102" applyNumberFormat="1" applyFill="1"/>
    <xf numFmtId="4" fontId="17" fillId="20" borderId="0" xfId="102" applyNumberFormat="1" applyFill="1"/>
    <xf numFmtId="10" fontId="17" fillId="0" borderId="0" xfId="106" applyNumberFormat="1" applyFont="1" applyAlignment="1">
      <alignment horizontal="center" vertical="center"/>
    </xf>
    <xf numFmtId="14" fontId="0" fillId="19" borderId="143" xfId="0" applyNumberFormat="1" applyFill="1" applyBorder="1" applyAlignment="1">
      <alignment horizontal="left"/>
    </xf>
    <xf numFmtId="14" fontId="0" fillId="19" borderId="143" xfId="0" applyNumberFormat="1" applyFill="1" applyBorder="1"/>
    <xf numFmtId="49" fontId="103" fillId="19" borderId="143" xfId="0" applyNumberFormat="1" applyFont="1" applyFill="1" applyBorder="1"/>
    <xf numFmtId="49" fontId="104" fillId="19" borderId="143" xfId="0" applyNumberFormat="1" applyFont="1" applyFill="1" applyBorder="1"/>
    <xf numFmtId="44" fontId="17" fillId="19" borderId="143" xfId="107" applyFont="1" applyFill="1" applyBorder="1"/>
    <xf numFmtId="4" fontId="17" fillId="0" borderId="143" xfId="102" applyNumberFormat="1" applyBorder="1"/>
    <xf numFmtId="10" fontId="17" fillId="0" borderId="143" xfId="106" applyNumberFormat="1" applyFont="1" applyBorder="1" applyAlignment="1">
      <alignment horizontal="center" vertical="center"/>
    </xf>
    <xf numFmtId="4" fontId="17" fillId="19" borderId="143" xfId="102" applyNumberFormat="1" applyFill="1" applyBorder="1"/>
    <xf numFmtId="44" fontId="0" fillId="0" borderId="0" xfId="107" applyFont="1" applyFill="1" applyBorder="1"/>
    <xf numFmtId="14" fontId="0" fillId="0" borderId="0" xfId="0" applyNumberFormat="1" applyAlignment="1">
      <alignment horizontal="left"/>
    </xf>
    <xf numFmtId="49" fontId="103" fillId="0" borderId="0" xfId="0" applyNumberFormat="1" applyFont="1"/>
    <xf numFmtId="49" fontId="104" fillId="0" borderId="0" xfId="0" applyNumberFormat="1" applyFont="1"/>
    <xf numFmtId="44" fontId="17" fillId="0" borderId="0" xfId="107" applyFont="1" applyFill="1"/>
    <xf numFmtId="169" fontId="17" fillId="0" borderId="0" xfId="102" applyNumberFormat="1" applyAlignment="1">
      <alignment horizontal="center" vertical="center"/>
    </xf>
    <xf numFmtId="44" fontId="17" fillId="0" borderId="0" xfId="107" applyFont="1" applyAlignment="1">
      <alignment horizontal="center" vertical="center"/>
    </xf>
    <xf numFmtId="0" fontId="36" fillId="0" borderId="0" xfId="103" applyFont="1" applyAlignment="1">
      <alignment horizontal="left" vertical="center"/>
    </xf>
    <xf numFmtId="4" fontId="63" fillId="0" borderId="55" xfId="0" applyNumberFormat="1" applyFont="1" applyBorder="1" applyAlignment="1">
      <alignment horizontal="center" vertical="center" wrapText="1"/>
    </xf>
    <xf numFmtId="4" fontId="44" fillId="0" borderId="0" xfId="0" applyNumberFormat="1" applyFont="1"/>
    <xf numFmtId="172" fontId="19" fillId="5" borderId="155" xfId="0" applyNumberFormat="1" applyFont="1" applyFill="1" applyBorder="1" applyAlignment="1">
      <alignment horizontal="left" vertical="center" indent="1"/>
    </xf>
    <xf numFmtId="167" fontId="95" fillId="0" borderId="156" xfId="0" applyNumberFormat="1" applyFont="1" applyBorder="1" applyAlignment="1">
      <alignment horizontal="center" vertical="center" wrapText="1"/>
    </xf>
    <xf numFmtId="10" fontId="69" fillId="5" borderId="157" xfId="0" applyNumberFormat="1" applyFont="1" applyFill="1" applyBorder="1" applyAlignment="1">
      <alignment horizontal="center" vertical="center"/>
    </xf>
    <xf numFmtId="4" fontId="123" fillId="5" borderId="156" xfId="0" applyNumberFormat="1" applyFont="1" applyFill="1" applyBorder="1" applyAlignment="1">
      <alignment horizontal="center" vertical="center"/>
    </xf>
    <xf numFmtId="169" fontId="69" fillId="0" borderId="157" xfId="0" applyNumberFormat="1" applyFont="1" applyBorder="1" applyAlignment="1">
      <alignment horizontal="center" vertical="center"/>
    </xf>
    <xf numFmtId="4" fontId="124" fillId="0" borderId="48" xfId="0" applyNumberFormat="1" applyFont="1" applyBorder="1" applyAlignment="1">
      <alignment horizontal="center" vertical="center"/>
    </xf>
    <xf numFmtId="167" fontId="19" fillId="3" borderId="158" xfId="0" applyNumberFormat="1" applyFont="1" applyFill="1" applyBorder="1" applyAlignment="1">
      <alignment horizontal="right" vertical="center" indent="2"/>
    </xf>
    <xf numFmtId="172" fontId="17" fillId="5" borderId="155" xfId="0" applyNumberFormat="1" applyFont="1" applyFill="1" applyBorder="1" applyAlignment="1">
      <alignment horizontal="left" vertical="center" indent="4"/>
    </xf>
    <xf numFmtId="44" fontId="95" fillId="0" borderId="156" xfId="205" applyFont="1" applyBorder="1" applyAlignment="1">
      <alignment horizontal="center" vertical="center" wrapText="1"/>
    </xf>
    <xf numFmtId="0" fontId="17" fillId="5" borderId="155" xfId="0" applyFont="1" applyFill="1" applyBorder="1" applyAlignment="1">
      <alignment horizontal="left" vertical="center" indent="4"/>
    </xf>
    <xf numFmtId="0" fontId="19" fillId="5" borderId="155" xfId="0" applyFont="1" applyFill="1" applyBorder="1" applyAlignment="1">
      <alignment horizontal="left" vertical="center" indent="1"/>
    </xf>
    <xf numFmtId="167" fontId="95" fillId="54" borderId="156" xfId="0" applyNumberFormat="1" applyFont="1" applyFill="1" applyBorder="1" applyAlignment="1">
      <alignment vertical="center" wrapText="1"/>
    </xf>
    <xf numFmtId="9" fontId="69" fillId="55" borderId="157" xfId="0" applyNumberFormat="1" applyFont="1" applyFill="1" applyBorder="1" applyAlignment="1">
      <alignment horizontal="center" vertical="center"/>
    </xf>
    <xf numFmtId="173" fontId="69" fillId="55" borderId="157" xfId="0" applyNumberFormat="1" applyFont="1" applyFill="1" applyBorder="1" applyAlignment="1">
      <alignment horizontal="center" vertical="center"/>
    </xf>
    <xf numFmtId="4" fontId="124" fillId="55" borderId="48" xfId="0" applyNumberFormat="1" applyFont="1" applyFill="1" applyBorder="1" applyAlignment="1">
      <alignment horizontal="center" vertical="center"/>
    </xf>
    <xf numFmtId="167" fontId="19" fillId="56" borderId="158" xfId="0" applyNumberFormat="1" applyFont="1" applyFill="1" applyBorder="1" applyAlignment="1">
      <alignment horizontal="right" vertical="center" indent="2"/>
    </xf>
    <xf numFmtId="0" fontId="17" fillId="5" borderId="155" xfId="0" applyFont="1" applyFill="1" applyBorder="1" applyAlignment="1">
      <alignment horizontal="left" vertical="center" wrapText="1" indent="4"/>
    </xf>
    <xf numFmtId="166" fontId="69" fillId="0" borderId="157" xfId="0" applyNumberFormat="1" applyFont="1" applyBorder="1" applyAlignment="1">
      <alignment horizontal="center" vertical="center"/>
    </xf>
    <xf numFmtId="0" fontId="92" fillId="0" borderId="160" xfId="0" applyFont="1" applyBorder="1" applyAlignment="1">
      <alignment horizontal="left" vertical="center" wrapText="1" indent="1"/>
    </xf>
    <xf numFmtId="0" fontId="17" fillId="0" borderId="155" xfId="0" applyFont="1" applyBorder="1" applyAlignment="1">
      <alignment horizontal="left" vertical="center" indent="4"/>
    </xf>
    <xf numFmtId="167" fontId="95" fillId="0" borderId="156" xfId="0" applyNumberFormat="1" applyFont="1" applyBorder="1" applyAlignment="1">
      <alignment vertical="center" wrapText="1"/>
    </xf>
    <xf numFmtId="4" fontId="123" fillId="55" borderId="156" xfId="0" applyNumberFormat="1" applyFont="1" applyFill="1" applyBorder="1" applyAlignment="1">
      <alignment horizontal="center" vertical="center"/>
    </xf>
    <xf numFmtId="167" fontId="95" fillId="5" borderId="156" xfId="0" applyNumberFormat="1" applyFont="1" applyFill="1" applyBorder="1" applyAlignment="1">
      <alignment vertical="center" wrapText="1"/>
    </xf>
    <xf numFmtId="0" fontId="19" fillId="5" borderId="160" xfId="0" applyFont="1" applyFill="1" applyBorder="1" applyAlignment="1">
      <alignment horizontal="left" vertical="center" indent="1"/>
    </xf>
    <xf numFmtId="3" fontId="78" fillId="3" borderId="8" xfId="0" applyNumberFormat="1" applyFont="1" applyFill="1" applyBorder="1" applyAlignment="1">
      <alignment horizontal="center" vertical="center"/>
    </xf>
    <xf numFmtId="4" fontId="78" fillId="3" borderId="8" xfId="0" applyNumberFormat="1" applyFont="1" applyFill="1" applyBorder="1" applyAlignment="1">
      <alignment horizontal="center" vertical="center"/>
    </xf>
    <xf numFmtId="4" fontId="80" fillId="3" borderId="8" xfId="0" applyNumberFormat="1" applyFont="1" applyFill="1" applyBorder="1" applyAlignment="1">
      <alignment horizontal="right" vertical="center"/>
    </xf>
    <xf numFmtId="167" fontId="19" fillId="3" borderId="22" xfId="0" applyNumberFormat="1" applyFont="1" applyFill="1" applyBorder="1" applyAlignment="1">
      <alignment horizontal="right" vertical="center" indent="2"/>
    </xf>
    <xf numFmtId="10" fontId="69" fillId="0" borderId="157" xfId="0" applyNumberFormat="1" applyFont="1" applyBorder="1" applyAlignment="1">
      <alignment horizontal="center" vertical="center"/>
    </xf>
    <xf numFmtId="14" fontId="14" fillId="3" borderId="120" xfId="97" applyNumberFormat="1" applyFill="1" applyBorder="1" applyAlignment="1">
      <alignment horizontal="center" vertical="center"/>
    </xf>
    <xf numFmtId="14" fontId="14" fillId="3" borderId="164" xfId="97" applyNumberFormat="1" applyFill="1" applyBorder="1" applyAlignment="1">
      <alignment horizontal="center" vertical="center"/>
    </xf>
    <xf numFmtId="14" fontId="14" fillId="3" borderId="165" xfId="97" applyNumberFormat="1" applyFill="1" applyBorder="1" applyAlignment="1">
      <alignment horizontal="center" vertical="center"/>
    </xf>
    <xf numFmtId="0" fontId="17" fillId="5" borderId="23" xfId="0" applyFont="1" applyFill="1" applyBorder="1" applyAlignment="1">
      <alignment horizontal="left" vertical="center" indent="4"/>
    </xf>
    <xf numFmtId="10" fontId="69" fillId="55" borderId="157" xfId="0" applyNumberFormat="1" applyFont="1" applyFill="1" applyBorder="1" applyAlignment="1">
      <alignment horizontal="center" vertical="center"/>
    </xf>
    <xf numFmtId="167" fontId="78" fillId="57" borderId="156" xfId="0" applyNumberFormat="1" applyFont="1" applyFill="1" applyBorder="1" applyAlignment="1">
      <alignment horizontal="center" vertical="center" wrapText="1"/>
    </xf>
    <xf numFmtId="0" fontId="19" fillId="0" borderId="0" xfId="103" applyFont="1" applyAlignment="1">
      <alignment horizontal="right"/>
    </xf>
    <xf numFmtId="0" fontId="36" fillId="0" borderId="0" xfId="208" applyFont="1" applyAlignment="1">
      <alignment horizontal="left" vertical="center" wrapText="1"/>
    </xf>
    <xf numFmtId="0" fontId="7" fillId="0" borderId="0" xfId="97" applyFont="1" applyAlignment="1">
      <alignment vertical="center" wrapText="1"/>
    </xf>
    <xf numFmtId="0" fontId="14" fillId="0" borderId="0" xfId="97" applyAlignment="1">
      <alignment vertical="center" wrapText="1"/>
    </xf>
    <xf numFmtId="0" fontId="36" fillId="0" borderId="0" xfId="97" applyFont="1" applyAlignment="1">
      <alignment horizontal="center" vertical="center"/>
    </xf>
    <xf numFmtId="0" fontId="36" fillId="0" borderId="0" xfId="97" applyFont="1" applyAlignment="1">
      <alignment horizontal="center"/>
    </xf>
    <xf numFmtId="14" fontId="14" fillId="3" borderId="171" xfId="97" applyNumberFormat="1" applyFill="1" applyBorder="1" applyAlignment="1">
      <alignment horizontal="center" vertical="center"/>
    </xf>
    <xf numFmtId="14" fontId="14" fillId="3" borderId="46" xfId="97" applyNumberFormat="1" applyFill="1" applyBorder="1" applyAlignment="1">
      <alignment horizontal="center" vertical="center"/>
    </xf>
    <xf numFmtId="14" fontId="14" fillId="3" borderId="172" xfId="97" applyNumberFormat="1" applyFill="1" applyBorder="1" applyAlignment="1">
      <alignment horizontal="center" vertical="center"/>
    </xf>
    <xf numFmtId="0" fontId="17" fillId="59" borderId="119" xfId="103" applyFill="1" applyBorder="1" applyAlignment="1">
      <alignment horizontal="center" vertical="center"/>
    </xf>
    <xf numFmtId="4" fontId="17" fillId="59" borderId="119" xfId="103" applyNumberFormat="1" applyFill="1" applyBorder="1" applyAlignment="1">
      <alignment horizontal="center" vertical="center"/>
    </xf>
    <xf numFmtId="0" fontId="17" fillId="53" borderId="119" xfId="103" applyFill="1" applyBorder="1" applyAlignment="1">
      <alignment horizontal="center" vertical="center"/>
    </xf>
    <xf numFmtId="0" fontId="17" fillId="53" borderId="119" xfId="103" applyFill="1" applyBorder="1" applyAlignment="1">
      <alignment horizontal="center" vertical="center" wrapText="1"/>
    </xf>
    <xf numFmtId="0" fontId="17" fillId="60" borderId="119" xfId="103" applyFill="1" applyBorder="1" applyAlignment="1">
      <alignment horizontal="center" vertical="center"/>
    </xf>
    <xf numFmtId="0" fontId="17" fillId="61" borderId="119" xfId="103" applyFill="1" applyBorder="1" applyAlignment="1">
      <alignment horizontal="center" vertical="center"/>
    </xf>
    <xf numFmtId="0" fontId="17" fillId="0" borderId="0" xfId="103"/>
    <xf numFmtId="0" fontId="17" fillId="0" borderId="119" xfId="103" applyBorder="1" applyAlignment="1">
      <alignment vertical="center"/>
    </xf>
    <xf numFmtId="0" fontId="17" fillId="0" borderId="119" xfId="103" quotePrefix="1" applyBorder="1" applyAlignment="1">
      <alignment vertical="center"/>
    </xf>
    <xf numFmtId="4" fontId="17" fillId="0" borderId="119" xfId="103" applyNumberFormat="1" applyBorder="1" applyAlignment="1">
      <alignment horizontal="center" vertical="center"/>
    </xf>
    <xf numFmtId="0" fontId="17" fillId="0" borderId="119" xfId="103" applyBorder="1" applyAlignment="1">
      <alignment horizontal="left" vertical="center"/>
    </xf>
    <xf numFmtId="14" fontId="17" fillId="57" borderId="119" xfId="103" applyNumberFormat="1" applyFill="1" applyBorder="1" applyAlignment="1">
      <alignment vertical="center"/>
    </xf>
    <xf numFmtId="14" fontId="17" fillId="0" borderId="119" xfId="103" applyNumberFormat="1" applyBorder="1" applyAlignment="1">
      <alignment vertical="center"/>
    </xf>
    <xf numFmtId="0" fontId="17" fillId="0" borderId="119" xfId="103" applyBorder="1" applyAlignment="1">
      <alignment horizontal="center"/>
    </xf>
    <xf numFmtId="0" fontId="120" fillId="0" borderId="119" xfId="180" applyBorder="1" applyAlignment="1">
      <alignment vertical="center"/>
    </xf>
    <xf numFmtId="0" fontId="17" fillId="0" borderId="119" xfId="103" applyBorder="1"/>
    <xf numFmtId="0" fontId="17" fillId="0" borderId="119" xfId="103" applyBorder="1" applyAlignment="1">
      <alignment horizontal="left"/>
    </xf>
    <xf numFmtId="0" fontId="17" fillId="0" borderId="0" xfId="103" applyAlignment="1">
      <alignment horizontal="center"/>
    </xf>
    <xf numFmtId="4" fontId="17" fillId="0" borderId="0" xfId="103" applyNumberFormat="1"/>
    <xf numFmtId="4" fontId="86" fillId="0" borderId="56" xfId="0" applyNumberFormat="1" applyFont="1" applyBorder="1" applyAlignment="1">
      <alignment horizontal="right" vertical="center" wrapText="1"/>
    </xf>
    <xf numFmtId="4" fontId="86" fillId="0" borderId="46" xfId="0" applyNumberFormat="1" applyFont="1" applyBorder="1" applyAlignment="1">
      <alignment horizontal="right" vertical="center" wrapText="1"/>
    </xf>
    <xf numFmtId="164" fontId="86" fillId="4" borderId="46" xfId="0" applyNumberFormat="1" applyFont="1" applyFill="1" applyBorder="1" applyAlignment="1">
      <alignment horizontal="right" vertical="center" wrapText="1"/>
    </xf>
    <xf numFmtId="4" fontId="86" fillId="4" borderId="56" xfId="0" applyNumberFormat="1" applyFont="1" applyFill="1" applyBorder="1" applyAlignment="1">
      <alignment horizontal="right" vertical="center" wrapText="1"/>
    </xf>
    <xf numFmtId="14" fontId="86" fillId="4" borderId="35" xfId="0" applyNumberFormat="1" applyFont="1" applyFill="1" applyBorder="1" applyAlignment="1">
      <alignment horizontal="right"/>
    </xf>
    <xf numFmtId="14" fontId="86" fillId="0" borderId="56" xfId="0" applyNumberFormat="1" applyFont="1" applyBorder="1" applyAlignment="1">
      <alignment horizontal="right"/>
    </xf>
    <xf numFmtId="14" fontId="86" fillId="0" borderId="46" xfId="0" applyNumberFormat="1" applyFont="1" applyBorder="1" applyAlignment="1">
      <alignment horizontal="right"/>
    </xf>
    <xf numFmtId="0" fontId="86" fillId="4" borderId="38" xfId="0" applyFont="1" applyFill="1" applyBorder="1" applyAlignment="1">
      <alignment horizontal="right"/>
    </xf>
    <xf numFmtId="0" fontId="86" fillId="0" borderId="179" xfId="0" applyFont="1" applyBorder="1" applyAlignment="1">
      <alignment horizontal="right"/>
    </xf>
    <xf numFmtId="0" fontId="86" fillId="0" borderId="172" xfId="0" applyFont="1" applyBorder="1" applyAlignment="1">
      <alignment horizontal="right"/>
    </xf>
    <xf numFmtId="164" fontId="86" fillId="4" borderId="172" xfId="0" applyNumberFormat="1" applyFont="1" applyFill="1" applyBorder="1" applyAlignment="1">
      <alignment horizontal="right" vertical="center" wrapText="1"/>
    </xf>
    <xf numFmtId="164" fontId="61" fillId="8" borderId="22" xfId="79" applyFont="1" applyFill="1" applyBorder="1" applyAlignment="1">
      <alignment horizontal="center" vertical="center" wrapText="1"/>
    </xf>
    <xf numFmtId="4" fontId="86" fillId="0" borderId="137" xfId="79" applyNumberFormat="1" applyFont="1" applyFill="1" applyBorder="1" applyAlignment="1">
      <alignment horizontal="center" vertical="center" wrapText="1"/>
    </xf>
    <xf numFmtId="4" fontId="86" fillId="0" borderId="128" xfId="79" applyNumberFormat="1" applyFont="1" applyFill="1" applyBorder="1" applyAlignment="1">
      <alignment horizontal="center" vertical="center" wrapText="1"/>
    </xf>
    <xf numFmtId="4" fontId="86" fillId="4" borderId="128" xfId="79" applyNumberFormat="1" applyFont="1" applyFill="1" applyBorder="1" applyAlignment="1">
      <alignment horizontal="center" vertical="center" wrapText="1"/>
    </xf>
    <xf numFmtId="4" fontId="86" fillId="4" borderId="55" xfId="0" applyNumberFormat="1" applyFont="1" applyFill="1" applyBorder="1" applyAlignment="1">
      <alignment horizontal="center" vertical="center" wrapText="1"/>
    </xf>
    <xf numFmtId="4" fontId="86" fillId="4" borderId="123" xfId="0" applyNumberFormat="1" applyFont="1" applyFill="1" applyBorder="1" applyAlignment="1">
      <alignment horizontal="center" vertical="center" wrapText="1"/>
    </xf>
    <xf numFmtId="4" fontId="63" fillId="4" borderId="55" xfId="0" applyNumberFormat="1" applyFont="1" applyFill="1" applyBorder="1" applyAlignment="1">
      <alignment horizontal="center" vertical="center" wrapText="1"/>
    </xf>
    <xf numFmtId="4" fontId="86" fillId="0" borderId="138" xfId="79" applyNumberFormat="1" applyFont="1" applyFill="1" applyBorder="1" applyAlignment="1">
      <alignment horizontal="center" vertical="center" wrapText="1"/>
    </xf>
    <xf numFmtId="4" fontId="86" fillId="0" borderId="163" xfId="79" applyNumberFormat="1" applyFont="1" applyFill="1" applyBorder="1" applyAlignment="1">
      <alignment horizontal="center" vertical="center" wrapText="1"/>
    </xf>
    <xf numFmtId="4" fontId="86" fillId="4" borderId="163" xfId="79" applyNumberFormat="1" applyFont="1" applyFill="1" applyBorder="1" applyAlignment="1">
      <alignment horizontal="center" vertical="center" wrapText="1"/>
    </xf>
    <xf numFmtId="4" fontId="86" fillId="4" borderId="139" xfId="0" applyNumberFormat="1" applyFont="1" applyFill="1" applyBorder="1" applyAlignment="1">
      <alignment horizontal="center" vertical="center" wrapText="1"/>
    </xf>
    <xf numFmtId="4" fontId="86" fillId="4" borderId="140" xfId="0" applyNumberFormat="1" applyFont="1" applyFill="1" applyBorder="1" applyAlignment="1">
      <alignment horizontal="center" vertical="center" wrapText="1"/>
    </xf>
    <xf numFmtId="0" fontId="17" fillId="0" borderId="0" xfId="211"/>
    <xf numFmtId="0" fontId="90" fillId="0" borderId="0" xfId="211" applyFont="1" applyAlignment="1">
      <alignment horizontal="left"/>
    </xf>
    <xf numFmtId="49" fontId="61" fillId="0" borderId="0" xfId="211" applyNumberFormat="1" applyFont="1" applyAlignment="1">
      <alignment horizontal="center" vertical="center" wrapText="1"/>
    </xf>
    <xf numFmtId="14" fontId="19" fillId="0" borderId="181" xfId="211" applyNumberFormat="1" applyFont="1" applyBorder="1" applyAlignment="1">
      <alignment horizontal="left" vertical="center" indent="1"/>
    </xf>
    <xf numFmtId="14" fontId="17" fillId="0" borderId="0" xfId="211" applyNumberFormat="1" applyAlignment="1">
      <alignment horizontal="center"/>
    </xf>
    <xf numFmtId="167" fontId="17" fillId="0" borderId="182" xfId="212" applyFont="1" applyFill="1" applyBorder="1"/>
    <xf numFmtId="167" fontId="17" fillId="0" borderId="183" xfId="212" applyFont="1" applyFill="1" applyBorder="1"/>
    <xf numFmtId="164" fontId="17" fillId="0" borderId="0" xfId="213" applyFont="1" applyBorder="1" applyAlignment="1">
      <alignment horizontal="left" vertical="center" indent="1"/>
    </xf>
    <xf numFmtId="14" fontId="19" fillId="0" borderId="184" xfId="211" applyNumberFormat="1" applyFont="1" applyBorder="1" applyAlignment="1">
      <alignment horizontal="left" vertical="center" indent="1"/>
    </xf>
    <xf numFmtId="167" fontId="17" fillId="0" borderId="185" xfId="212" applyFont="1" applyFill="1" applyBorder="1"/>
    <xf numFmtId="167" fontId="17" fillId="0" borderId="186" xfId="212" applyFont="1" applyFill="1" applyBorder="1"/>
    <xf numFmtId="4" fontId="86" fillId="4" borderId="33" xfId="0" applyNumberFormat="1" applyFont="1" applyFill="1" applyBorder="1" applyAlignment="1">
      <alignment horizontal="right" vertical="center" wrapText="1"/>
    </xf>
    <xf numFmtId="4" fontId="86" fillId="4" borderId="178" xfId="0" applyNumberFormat="1" applyFont="1" applyFill="1" applyBorder="1" applyAlignment="1">
      <alignment horizontal="right" vertical="center" wrapText="1"/>
    </xf>
    <xf numFmtId="0" fontId="61" fillId="52" borderId="7" xfId="0" applyFont="1" applyFill="1" applyBorder="1" applyAlignment="1">
      <alignment horizontal="centerContinuous" vertical="center" wrapText="1"/>
    </xf>
    <xf numFmtId="0" fontId="61" fillId="52" borderId="8" xfId="0" applyFont="1" applyFill="1" applyBorder="1" applyAlignment="1">
      <alignment horizontal="centerContinuous" vertical="center" wrapText="1"/>
    </xf>
    <xf numFmtId="0" fontId="61" fillId="52" borderId="11" xfId="0" applyFont="1" applyFill="1" applyBorder="1" applyAlignment="1">
      <alignment horizontal="centerContinuous" vertical="center" wrapText="1"/>
    </xf>
    <xf numFmtId="164" fontId="75" fillId="17" borderId="3" xfId="79" applyFont="1" applyFill="1" applyBorder="1" applyAlignment="1">
      <alignment horizontal="center" vertical="center" wrapText="1"/>
    </xf>
    <xf numFmtId="164" fontId="75" fillId="17" borderId="13" xfId="79" applyFont="1" applyFill="1" applyBorder="1" applyAlignment="1">
      <alignment horizontal="center" vertical="center" wrapText="1"/>
    </xf>
    <xf numFmtId="164" fontId="75" fillId="17" borderId="4" xfId="79" applyFont="1" applyFill="1" applyBorder="1" applyAlignment="1">
      <alignment horizontal="center" vertical="center" wrapText="1"/>
    </xf>
    <xf numFmtId="164" fontId="75" fillId="17" borderId="26" xfId="79" applyFont="1" applyFill="1" applyBorder="1" applyAlignment="1">
      <alignment horizontal="center" vertical="center" wrapText="1"/>
    </xf>
    <xf numFmtId="10" fontId="86" fillId="0" borderId="56" xfId="0" applyNumberFormat="1" applyFont="1" applyBorder="1" applyAlignment="1">
      <alignment horizontal="right"/>
    </xf>
    <xf numFmtId="10" fontId="86" fillId="0" borderId="179" xfId="0" applyNumberFormat="1" applyFont="1" applyBorder="1" applyAlignment="1">
      <alignment horizontal="right"/>
    </xf>
    <xf numFmtId="0" fontId="61" fillId="52" borderId="7" xfId="0" applyFont="1" applyFill="1" applyBorder="1" applyAlignment="1">
      <alignment horizontal="centerContinuous" vertical="center"/>
    </xf>
    <xf numFmtId="0" fontId="61" fillId="52" borderId="8" xfId="0" applyFont="1" applyFill="1" applyBorder="1" applyAlignment="1">
      <alignment horizontal="centerContinuous" vertical="center"/>
    </xf>
    <xf numFmtId="0" fontId="61" fillId="52" borderId="11" xfId="0" applyFont="1" applyFill="1" applyBorder="1" applyAlignment="1">
      <alignment horizontal="centerContinuous" vertical="center"/>
    </xf>
    <xf numFmtId="10" fontId="86" fillId="4" borderId="35" xfId="0" applyNumberFormat="1" applyFont="1" applyFill="1" applyBorder="1" applyAlignment="1">
      <alignment horizontal="right"/>
    </xf>
    <xf numFmtId="10" fontId="86" fillId="4" borderId="38" xfId="0" applyNumberFormat="1" applyFont="1" applyFill="1" applyBorder="1" applyAlignment="1">
      <alignment horizontal="right"/>
    </xf>
    <xf numFmtId="4" fontId="86" fillId="4" borderId="187" xfId="0" applyNumberFormat="1" applyFont="1" applyFill="1" applyBorder="1" applyAlignment="1">
      <alignment horizontal="right" vertical="center" wrapText="1"/>
    </xf>
    <xf numFmtId="10" fontId="86" fillId="4" borderId="187" xfId="0" applyNumberFormat="1" applyFont="1" applyFill="1" applyBorder="1" applyAlignment="1">
      <alignment horizontal="right"/>
    </xf>
    <xf numFmtId="10" fontId="86" fillId="4" borderId="56" xfId="0" applyNumberFormat="1" applyFont="1" applyFill="1" applyBorder="1" applyAlignment="1">
      <alignment horizontal="right"/>
    </xf>
    <xf numFmtId="10" fontId="86" fillId="4" borderId="188" xfId="0" applyNumberFormat="1" applyFont="1" applyFill="1" applyBorder="1" applyAlignment="1">
      <alignment horizontal="right"/>
    </xf>
    <xf numFmtId="10" fontId="86" fillId="4" borderId="179" xfId="0" applyNumberFormat="1" applyFont="1" applyFill="1" applyBorder="1" applyAlignment="1">
      <alignment horizontal="right"/>
    </xf>
    <xf numFmtId="10" fontId="86" fillId="4" borderId="33" xfId="0" applyNumberFormat="1" applyFont="1" applyFill="1" applyBorder="1" applyAlignment="1">
      <alignment horizontal="right"/>
    </xf>
    <xf numFmtId="10" fontId="86" fillId="4" borderId="36" xfId="0" applyNumberFormat="1" applyFont="1" applyFill="1" applyBorder="1" applyAlignment="1">
      <alignment horizontal="right"/>
    </xf>
    <xf numFmtId="10" fontId="86" fillId="4" borderId="34" xfId="0" applyNumberFormat="1" applyFont="1" applyFill="1" applyBorder="1" applyAlignment="1">
      <alignment horizontal="right"/>
    </xf>
    <xf numFmtId="10" fontId="86" fillId="4" borderId="37" xfId="0" applyNumberFormat="1" applyFont="1" applyFill="1" applyBorder="1" applyAlignment="1">
      <alignment horizontal="right"/>
    </xf>
    <xf numFmtId="0" fontId="51" fillId="0" borderId="0" xfId="97" applyFont="1" applyAlignment="1">
      <alignment horizontal="left" indent="2"/>
    </xf>
    <xf numFmtId="0" fontId="52" fillId="0" borderId="0" xfId="97" applyFont="1"/>
    <xf numFmtId="0" fontId="53" fillId="0" borderId="0" xfId="97" applyFont="1" applyAlignment="1">
      <alignment horizontal="left" vertical="center" indent="2"/>
    </xf>
    <xf numFmtId="0" fontId="51" fillId="0" borderId="0" xfId="97" applyFont="1" applyAlignment="1">
      <alignment horizontal="left" vertical="top" indent="2"/>
    </xf>
    <xf numFmtId="0" fontId="36" fillId="62" borderId="162" xfId="98" applyNumberFormat="1" applyFont="1" applyFill="1" applyBorder="1" applyAlignment="1">
      <alignment horizontal="center" vertical="center"/>
    </xf>
    <xf numFmtId="0" fontId="36" fillId="62" borderId="124" xfId="98" applyNumberFormat="1" applyFont="1" applyFill="1" applyBorder="1" applyAlignment="1">
      <alignment horizontal="center" vertical="center"/>
    </xf>
    <xf numFmtId="0" fontId="36" fillId="62" borderId="125" xfId="98" applyNumberFormat="1" applyFont="1" applyFill="1" applyBorder="1" applyAlignment="1">
      <alignment horizontal="center" vertical="center"/>
    </xf>
    <xf numFmtId="0" fontId="100" fillId="0" borderId="22" xfId="97" applyFont="1" applyBorder="1" applyAlignment="1">
      <alignment horizontal="center" vertical="center" wrapText="1"/>
    </xf>
    <xf numFmtId="0" fontId="129" fillId="0" borderId="0" xfId="97" applyFont="1" applyAlignment="1">
      <alignment vertical="center"/>
    </xf>
    <xf numFmtId="0" fontId="130" fillId="0" borderId="0" xfId="97" applyFont="1" applyAlignment="1">
      <alignment vertical="center"/>
    </xf>
    <xf numFmtId="0" fontId="131" fillId="0" borderId="0" xfId="97" applyFont="1" applyAlignment="1">
      <alignment vertical="center"/>
    </xf>
    <xf numFmtId="0" fontId="47" fillId="0" borderId="0" xfId="97" applyFont="1" applyAlignment="1">
      <alignment horizontal="centerContinuous"/>
    </xf>
    <xf numFmtId="0" fontId="104" fillId="0" borderId="0" xfId="97" quotePrefix="1" applyFont="1"/>
    <xf numFmtId="0" fontId="104" fillId="0" borderId="0" xfId="97" applyFont="1"/>
    <xf numFmtId="0" fontId="95" fillId="0" borderId="0" xfId="97" applyFont="1"/>
    <xf numFmtId="0" fontId="133" fillId="0" borderId="22" xfId="97" applyFont="1" applyBorder="1"/>
    <xf numFmtId="164" fontId="75" fillId="62" borderId="26" xfId="79" applyFont="1" applyFill="1" applyBorder="1" applyAlignment="1">
      <alignment horizontal="centerContinuous" vertical="center" wrapText="1"/>
    </xf>
    <xf numFmtId="164" fontId="75" fillId="62" borderId="26" xfId="79" applyFont="1" applyFill="1" applyBorder="1" applyAlignment="1">
      <alignment horizontal="center" vertical="center" wrapText="1"/>
    </xf>
    <xf numFmtId="164" fontId="75" fillId="62" borderId="3" xfId="79" applyFont="1" applyFill="1" applyBorder="1" applyAlignment="1">
      <alignment horizontal="center" vertical="center" wrapText="1"/>
    </xf>
    <xf numFmtId="164" fontId="75" fillId="62" borderId="13" xfId="79" applyFont="1" applyFill="1" applyBorder="1" applyAlignment="1">
      <alignment horizontal="center" vertical="center" wrapText="1"/>
    </xf>
    <xf numFmtId="164" fontId="75" fillId="62" borderId="4" xfId="79" applyFont="1" applyFill="1" applyBorder="1" applyAlignment="1">
      <alignment horizontal="center" vertical="center" wrapText="1"/>
    </xf>
    <xf numFmtId="0" fontId="36" fillId="0" borderId="0" xfId="97" applyFont="1" applyAlignment="1">
      <alignment horizontal="left" vertical="center" wrapText="1"/>
    </xf>
    <xf numFmtId="14" fontId="127" fillId="0" borderId="0" xfId="97" applyNumberFormat="1" applyFont="1" applyAlignment="1">
      <alignment horizontal="right" vertical="center" indent="1"/>
    </xf>
    <xf numFmtId="0" fontId="36" fillId="0" borderId="0" xfId="210" applyFont="1" applyAlignment="1">
      <alignment horizontal="left" vertical="center" wrapText="1"/>
    </xf>
    <xf numFmtId="0" fontId="41" fillId="0" borderId="0" xfId="103" applyFont="1" applyAlignment="1">
      <alignment vertical="center"/>
    </xf>
    <xf numFmtId="0" fontId="86" fillId="0" borderId="190" xfId="0" applyFont="1" applyBorder="1" applyAlignment="1">
      <alignment horizontal="right"/>
    </xf>
    <xf numFmtId="4" fontId="86" fillId="0" borderId="191" xfId="0" applyNumberFormat="1" applyFont="1" applyBorder="1" applyAlignment="1">
      <alignment horizontal="right" vertical="center" wrapText="1"/>
    </xf>
    <xf numFmtId="10" fontId="86" fillId="0" borderId="191" xfId="0" applyNumberFormat="1" applyFont="1" applyBorder="1" applyAlignment="1">
      <alignment horizontal="right"/>
    </xf>
    <xf numFmtId="0" fontId="61" fillId="14" borderId="22" xfId="0" applyFont="1" applyFill="1" applyBorder="1" applyAlignment="1">
      <alignment horizontal="centerContinuous" vertical="center" wrapText="1"/>
    </xf>
    <xf numFmtId="4" fontId="63" fillId="3" borderId="124" xfId="0" applyNumberFormat="1" applyFont="1" applyFill="1" applyBorder="1" applyAlignment="1">
      <alignment horizontal="center" vertical="center" wrapText="1"/>
    </xf>
    <xf numFmtId="4" fontId="17" fillId="57" borderId="119" xfId="103" applyNumberFormat="1" applyFill="1" applyBorder="1" applyAlignment="1">
      <alignment vertical="center"/>
    </xf>
    <xf numFmtId="4" fontId="97" fillId="0" borderId="0" xfId="103" applyNumberFormat="1" applyFont="1" applyAlignment="1">
      <alignment horizontal="center"/>
    </xf>
    <xf numFmtId="3" fontId="78" fillId="0" borderId="159" xfId="0" applyNumberFormat="1" applyFont="1" applyBorder="1" applyAlignment="1">
      <alignment horizontal="center" vertical="center" wrapText="1"/>
    </xf>
    <xf numFmtId="167" fontId="19" fillId="58" borderId="158" xfId="0" applyNumberFormat="1" applyFont="1" applyFill="1" applyBorder="1" applyAlignment="1">
      <alignment horizontal="right" vertical="center" indent="2"/>
    </xf>
    <xf numFmtId="165" fontId="86" fillId="4" borderId="34" xfId="0" applyNumberFormat="1" applyFont="1" applyFill="1" applyBorder="1" applyAlignment="1">
      <alignment horizontal="right" vertical="center" wrapText="1"/>
    </xf>
    <xf numFmtId="165" fontId="86" fillId="4" borderId="46" xfId="0" applyNumberFormat="1" applyFont="1" applyFill="1" applyBorder="1" applyAlignment="1">
      <alignment horizontal="right" vertical="center" wrapText="1"/>
    </xf>
    <xf numFmtId="4" fontId="17" fillId="2" borderId="0" xfId="99" applyNumberFormat="1" applyFont="1" applyFill="1"/>
    <xf numFmtId="4" fontId="0" fillId="0" borderId="0" xfId="107" applyNumberFormat="1" applyFont="1"/>
    <xf numFmtId="4" fontId="75" fillId="62" borderId="26" xfId="79" applyNumberFormat="1" applyFont="1" applyFill="1" applyBorder="1" applyAlignment="1">
      <alignment horizontal="centerContinuous" vertical="center" wrapText="1"/>
    </xf>
    <xf numFmtId="4" fontId="75" fillId="62" borderId="5" xfId="79" applyNumberFormat="1" applyFont="1" applyFill="1" applyBorder="1" applyAlignment="1">
      <alignment horizontal="centerContinuous" vertical="center" wrapText="1"/>
    </xf>
    <xf numFmtId="4" fontId="75" fillId="62" borderId="26" xfId="79" applyNumberFormat="1" applyFont="1" applyFill="1" applyBorder="1" applyAlignment="1">
      <alignment horizontal="center" vertical="center" wrapText="1"/>
    </xf>
    <xf numFmtId="4" fontId="75" fillId="62" borderId="5" xfId="79" applyNumberFormat="1" applyFont="1" applyFill="1" applyBorder="1" applyAlignment="1">
      <alignment horizontal="center" vertical="center" wrapText="1"/>
    </xf>
    <xf numFmtId="4" fontId="0" fillId="0" borderId="121" xfId="0" quotePrefix="1" applyNumberFormat="1" applyBorder="1" applyAlignment="1">
      <alignment horizontal="center" vertical="center"/>
    </xf>
    <xf numFmtId="4" fontId="0" fillId="0" borderId="122" xfId="0" quotePrefix="1" applyNumberFormat="1" applyBorder="1" applyAlignment="1">
      <alignment horizontal="center" vertical="center"/>
    </xf>
    <xf numFmtId="4" fontId="86" fillId="4" borderId="46" xfId="0" applyNumberFormat="1" applyFont="1" applyFill="1" applyBorder="1" applyAlignment="1">
      <alignment horizontal="right" vertical="center" wrapText="1"/>
    </xf>
    <xf numFmtId="4" fontId="86" fillId="4" borderId="172" xfId="0" applyNumberFormat="1" applyFont="1" applyFill="1" applyBorder="1" applyAlignment="1">
      <alignment horizontal="right" vertical="center" wrapText="1"/>
    </xf>
    <xf numFmtId="4" fontId="86" fillId="4" borderId="36" xfId="0" applyNumberFormat="1" applyFont="1" applyFill="1" applyBorder="1" applyAlignment="1">
      <alignment horizontal="right" vertical="center" wrapText="1"/>
    </xf>
    <xf numFmtId="4" fontId="86" fillId="4" borderId="180" xfId="0" applyNumberFormat="1" applyFont="1" applyFill="1" applyBorder="1" applyAlignment="1">
      <alignment horizontal="right" vertical="center" wrapText="1"/>
    </xf>
    <xf numFmtId="4" fontId="86" fillId="4" borderId="191" xfId="0" applyNumberFormat="1" applyFont="1" applyFill="1" applyBorder="1" applyAlignment="1">
      <alignment horizontal="right" vertical="center" wrapText="1"/>
    </xf>
    <xf numFmtId="10" fontId="86" fillId="4" borderId="191" xfId="0" applyNumberFormat="1" applyFont="1" applyFill="1" applyBorder="1" applyAlignment="1">
      <alignment horizontal="right"/>
    </xf>
    <xf numFmtId="10" fontId="86" fillId="4" borderId="190" xfId="0" applyNumberFormat="1" applyFont="1" applyFill="1" applyBorder="1" applyAlignment="1">
      <alignment horizontal="right"/>
    </xf>
    <xf numFmtId="0" fontId="0" fillId="0" borderId="122" xfId="0" applyBorder="1" applyAlignment="1">
      <alignment horizontal="center"/>
    </xf>
    <xf numFmtId="14" fontId="19" fillId="0" borderId="35" xfId="0" applyNumberFormat="1" applyFont="1" applyBorder="1" applyAlignment="1">
      <alignment horizontal="center" vertical="center"/>
    </xf>
    <xf numFmtId="14" fontId="19" fillId="0" borderId="34" xfId="0" applyNumberFormat="1" applyFont="1" applyBorder="1" applyAlignment="1">
      <alignment horizontal="center" vertical="center"/>
    </xf>
    <xf numFmtId="4" fontId="19" fillId="3" borderId="124" xfId="0" applyNumberFormat="1" applyFont="1" applyFill="1" applyBorder="1" applyAlignment="1">
      <alignment horizontal="center" vertical="center" wrapText="1"/>
    </xf>
    <xf numFmtId="4" fontId="19" fillId="0" borderId="0" xfId="0" applyNumberFormat="1" applyFont="1"/>
    <xf numFmtId="4" fontId="19" fillId="0" borderId="35" xfId="79" applyNumberFormat="1" applyFont="1" applyFill="1" applyBorder="1" applyAlignment="1">
      <alignment horizontal="center" vertical="center" wrapText="1"/>
    </xf>
    <xf numFmtId="4" fontId="19" fillId="0" borderId="191" xfId="79" applyNumberFormat="1" applyFont="1" applyFill="1" applyBorder="1" applyAlignment="1">
      <alignment horizontal="center" vertical="center" wrapText="1"/>
    </xf>
    <xf numFmtId="4" fontId="19" fillId="4" borderId="191" xfId="79" applyNumberFormat="1" applyFont="1" applyFill="1" applyBorder="1" applyAlignment="1">
      <alignment horizontal="center" vertical="center" wrapText="1"/>
    </xf>
    <xf numFmtId="4" fontId="19" fillId="0" borderId="33" xfId="79" applyNumberFormat="1" applyFont="1" applyFill="1" applyBorder="1" applyAlignment="1">
      <alignment horizontal="center" vertical="center" wrapText="1"/>
    </xf>
    <xf numFmtId="4" fontId="19" fillId="0" borderId="33" xfId="0" applyNumberFormat="1" applyFont="1" applyBorder="1" applyAlignment="1">
      <alignment horizontal="center" vertical="center" wrapText="1"/>
    </xf>
    <xf numFmtId="4" fontId="19" fillId="4" borderId="33" xfId="0" applyNumberFormat="1" applyFont="1" applyFill="1" applyBorder="1" applyAlignment="1">
      <alignment horizontal="center" vertical="center" wrapText="1"/>
    </xf>
    <xf numFmtId="4" fontId="19" fillId="4" borderId="34" xfId="0" applyNumberFormat="1" applyFont="1" applyFill="1" applyBorder="1" applyAlignment="1">
      <alignment horizontal="center" vertical="center" wrapText="1"/>
    </xf>
    <xf numFmtId="4" fontId="19" fillId="4" borderId="35" xfId="0" applyNumberFormat="1" applyFont="1" applyFill="1" applyBorder="1" applyAlignment="1">
      <alignment horizontal="right" vertical="center" wrapText="1"/>
    </xf>
    <xf numFmtId="4" fontId="19" fillId="0" borderId="56" xfId="0" applyNumberFormat="1" applyFont="1" applyBorder="1" applyAlignment="1">
      <alignment horizontal="right" vertical="center" wrapText="1"/>
    </xf>
    <xf numFmtId="4" fontId="19" fillId="0" borderId="33" xfId="0" applyNumberFormat="1" applyFont="1" applyBorder="1" applyAlignment="1">
      <alignment horizontal="right" vertical="center" wrapText="1"/>
    </xf>
    <xf numFmtId="165" fontId="19" fillId="4" borderId="46" xfId="0" applyNumberFormat="1" applyFont="1" applyFill="1" applyBorder="1" applyAlignment="1">
      <alignment horizontal="right" vertical="center" wrapText="1"/>
    </xf>
    <xf numFmtId="165" fontId="19" fillId="4" borderId="34" xfId="0" applyNumberFormat="1" applyFont="1" applyFill="1" applyBorder="1" applyAlignment="1">
      <alignment horizontal="right" vertical="center" wrapText="1"/>
    </xf>
    <xf numFmtId="4" fontId="19" fillId="0" borderId="46" xfId="0" applyNumberFormat="1" applyFont="1" applyBorder="1" applyAlignment="1">
      <alignment horizontal="right" vertical="center" wrapText="1"/>
    </xf>
    <xf numFmtId="4" fontId="19" fillId="4" borderId="46" xfId="0" applyNumberFormat="1" applyFont="1" applyFill="1" applyBorder="1" applyAlignment="1">
      <alignment horizontal="right" vertical="center" wrapText="1"/>
    </xf>
    <xf numFmtId="4" fontId="19" fillId="4" borderId="33" xfId="0" applyNumberFormat="1" applyFont="1" applyFill="1" applyBorder="1" applyAlignment="1">
      <alignment horizontal="right" vertical="center" wrapText="1"/>
    </xf>
    <xf numFmtId="4" fontId="19" fillId="4" borderId="178" xfId="0" applyNumberFormat="1" applyFont="1" applyFill="1" applyBorder="1" applyAlignment="1">
      <alignment horizontal="right" vertical="center" wrapText="1"/>
    </xf>
    <xf numFmtId="0" fontId="19" fillId="0" borderId="0" xfId="0" applyFont="1" applyAlignment="1">
      <alignment horizontal="right"/>
    </xf>
    <xf numFmtId="4" fontId="19" fillId="0" borderId="191" xfId="0" applyNumberFormat="1" applyFont="1" applyBorder="1" applyAlignment="1">
      <alignment horizontal="right" vertical="center" wrapText="1"/>
    </xf>
    <xf numFmtId="4" fontId="19" fillId="4" borderId="187" xfId="0" applyNumberFormat="1" applyFont="1" applyFill="1" applyBorder="1" applyAlignment="1">
      <alignment horizontal="right" vertical="center" wrapText="1"/>
    </xf>
    <xf numFmtId="4" fontId="19" fillId="4" borderId="56" xfId="0" applyNumberFormat="1" applyFont="1" applyFill="1" applyBorder="1" applyAlignment="1">
      <alignment horizontal="right" vertical="center" wrapText="1"/>
    </xf>
    <xf numFmtId="4" fontId="19" fillId="4" borderId="191" xfId="0" applyNumberFormat="1" applyFont="1" applyFill="1" applyBorder="1" applyAlignment="1">
      <alignment horizontal="right" vertical="center" wrapText="1"/>
    </xf>
    <xf numFmtId="4" fontId="19" fillId="4" borderId="34" xfId="0" applyNumberFormat="1" applyFont="1" applyFill="1" applyBorder="1" applyAlignment="1">
      <alignment horizontal="right" vertical="center" wrapText="1"/>
    </xf>
    <xf numFmtId="0" fontId="17" fillId="0" borderId="0" xfId="0" applyFont="1" applyAlignment="1">
      <alignment horizontal="center"/>
    </xf>
    <xf numFmtId="167" fontId="79" fillId="4" borderId="119" xfId="103" applyNumberFormat="1" applyFont="1" applyFill="1" applyBorder="1" applyAlignment="1">
      <alignment horizontal="right" vertical="center" indent="1"/>
    </xf>
    <xf numFmtId="0" fontId="17" fillId="0" borderId="119" xfId="103" applyBorder="1" applyAlignment="1">
      <alignment vertical="center" wrapText="1"/>
    </xf>
    <xf numFmtId="0" fontId="17" fillId="0" borderId="119" xfId="0" applyFont="1" applyBorder="1"/>
    <xf numFmtId="4" fontId="19" fillId="58" borderId="119" xfId="0" applyNumberFormat="1" applyFont="1" applyFill="1" applyBorder="1"/>
    <xf numFmtId="0" fontId="75" fillId="0" borderId="0" xfId="103" applyFont="1"/>
    <xf numFmtId="0" fontId="75" fillId="0" borderId="0" xfId="211" applyFont="1"/>
    <xf numFmtId="4" fontId="0" fillId="0" borderId="0" xfId="0" applyNumberFormat="1" applyAlignment="1">
      <alignment horizontal="center"/>
    </xf>
    <xf numFmtId="164" fontId="0" fillId="0" borderId="0" xfId="0" applyNumberFormat="1" applyAlignment="1">
      <alignment horizontal="center"/>
    </xf>
    <xf numFmtId="0" fontId="86" fillId="0" borderId="196" xfId="0" applyFont="1" applyBorder="1" applyAlignment="1">
      <alignment horizontal="right"/>
    </xf>
    <xf numFmtId="10" fontId="86" fillId="0" borderId="197" xfId="0" applyNumberFormat="1" applyFont="1" applyBorder="1" applyAlignment="1">
      <alignment horizontal="right"/>
    </xf>
    <xf numFmtId="0" fontId="0" fillId="0" borderId="122" xfId="0" quotePrefix="1" applyBorder="1" applyAlignment="1">
      <alignment horizontal="center" vertical="center"/>
    </xf>
    <xf numFmtId="164" fontId="134" fillId="17" borderId="26" xfId="79" applyFont="1" applyFill="1" applyBorder="1" applyAlignment="1">
      <alignment horizontal="centerContinuous" vertical="center" wrapText="1"/>
    </xf>
    <xf numFmtId="164" fontId="134" fillId="17" borderId="4" xfId="79" applyFont="1" applyFill="1" applyBorder="1" applyAlignment="1">
      <alignment horizontal="centerContinuous" vertical="center" wrapText="1"/>
    </xf>
    <xf numFmtId="164" fontId="134" fillId="17" borderId="8" xfId="79" applyFont="1" applyFill="1" applyBorder="1" applyAlignment="1">
      <alignment horizontal="centerContinuous" vertical="center" wrapText="1"/>
    </xf>
    <xf numFmtId="164" fontId="134" fillId="17" borderId="5" xfId="79" applyFont="1" applyFill="1" applyBorder="1" applyAlignment="1">
      <alignment horizontal="centerContinuous" vertical="center" wrapText="1"/>
    </xf>
    <xf numFmtId="164" fontId="134" fillId="17" borderId="26" xfId="79" applyFont="1" applyFill="1" applyBorder="1" applyAlignment="1">
      <alignment horizontal="center" vertical="center" wrapText="1"/>
    </xf>
    <xf numFmtId="164" fontId="134" fillId="17" borderId="4" xfId="79" applyFont="1" applyFill="1" applyBorder="1" applyAlignment="1">
      <alignment horizontal="center" vertical="center" wrapText="1"/>
    </xf>
    <xf numFmtId="164" fontId="134" fillId="17" borderId="8" xfId="79" applyFont="1" applyFill="1" applyBorder="1" applyAlignment="1">
      <alignment horizontal="center" vertical="center" wrapText="1"/>
    </xf>
    <xf numFmtId="164" fontId="134" fillId="17" borderId="5" xfId="79" applyFont="1" applyFill="1" applyBorder="1" applyAlignment="1">
      <alignment horizontal="center" vertical="center" wrapText="1"/>
    </xf>
    <xf numFmtId="164" fontId="75" fillId="65" borderId="22" xfId="79" applyFont="1" applyFill="1" applyBorder="1" applyAlignment="1">
      <alignment horizontal="center" vertical="center" wrapText="1"/>
    </xf>
    <xf numFmtId="0" fontId="61" fillId="65" borderId="22" xfId="0" applyFont="1" applyFill="1" applyBorder="1" applyAlignment="1">
      <alignment horizontal="centerContinuous" vertical="center" wrapText="1"/>
    </xf>
    <xf numFmtId="0" fontId="17" fillId="0" borderId="200" xfId="103" applyBorder="1" applyAlignment="1">
      <alignment vertical="center"/>
    </xf>
    <xf numFmtId="0" fontId="17" fillId="66" borderId="0" xfId="103" applyFill="1"/>
    <xf numFmtId="167" fontId="19" fillId="57" borderId="158" xfId="0" applyNumberFormat="1" applyFont="1" applyFill="1" applyBorder="1" applyAlignment="1">
      <alignment horizontal="right" vertical="center" indent="2"/>
    </xf>
    <xf numFmtId="4" fontId="17" fillId="57" borderId="200" xfId="103" applyNumberFormat="1" applyFill="1" applyBorder="1" applyAlignment="1">
      <alignment vertical="center"/>
    </xf>
    <xf numFmtId="0" fontId="17" fillId="0" borderId="200" xfId="103" applyBorder="1" applyAlignment="1">
      <alignment horizontal="left"/>
    </xf>
    <xf numFmtId="0" fontId="88" fillId="12" borderId="76" xfId="0" applyFont="1" applyFill="1" applyBorder="1" applyAlignment="1">
      <alignment horizontal="center" vertical="center" wrapText="1"/>
    </xf>
    <xf numFmtId="0" fontId="120" fillId="0" borderId="0" xfId="180" applyAlignment="1">
      <alignment vertical="center"/>
    </xf>
    <xf numFmtId="49" fontId="5" fillId="0" borderId="0" xfId="216" applyNumberFormat="1"/>
    <xf numFmtId="0" fontId="5" fillId="0" borderId="0" xfId="216"/>
    <xf numFmtId="0" fontId="137" fillId="0" borderId="27" xfId="216" applyFont="1" applyBorder="1" applyAlignment="1">
      <alignment horizontal="justify" vertical="center" wrapText="1"/>
    </xf>
    <xf numFmtId="4" fontId="137" fillId="0" borderId="29" xfId="216" applyNumberFormat="1" applyFont="1" applyBorder="1" applyAlignment="1">
      <alignment vertical="center" wrapText="1"/>
    </xf>
    <xf numFmtId="3" fontId="137" fillId="0" borderId="29" xfId="216" applyNumberFormat="1" applyFont="1" applyBorder="1" applyAlignment="1">
      <alignment vertical="center" wrapText="1"/>
    </xf>
    <xf numFmtId="0" fontId="137" fillId="0" borderId="0" xfId="216" applyFont="1" applyAlignment="1">
      <alignment horizontal="justify" vertical="center" wrapText="1"/>
    </xf>
    <xf numFmtId="0" fontId="137" fillId="0" borderId="0" xfId="216" applyFont="1" applyAlignment="1">
      <alignment vertical="center" wrapText="1"/>
    </xf>
    <xf numFmtId="0" fontId="136" fillId="0" borderId="0" xfId="216" applyFont="1" applyAlignment="1">
      <alignment vertical="center"/>
    </xf>
    <xf numFmtId="0" fontId="136" fillId="0" borderId="0" xfId="216" applyFont="1" applyAlignment="1">
      <alignment horizontal="justify" vertical="center"/>
    </xf>
    <xf numFmtId="0" fontId="136" fillId="0" borderId="0" xfId="216" applyFont="1" applyAlignment="1">
      <alignment horizontal="center" vertical="center" wrapText="1"/>
    </xf>
    <xf numFmtId="0" fontId="137" fillId="0" borderId="0" xfId="216" applyFont="1" applyAlignment="1">
      <alignment horizontal="justify" vertical="center"/>
    </xf>
    <xf numFmtId="4" fontId="137" fillId="0" borderId="0" xfId="216" applyNumberFormat="1" applyFont="1" applyAlignment="1">
      <alignment horizontal="right" vertical="center"/>
    </xf>
    <xf numFmtId="10" fontId="5" fillId="0" borderId="0" xfId="216" applyNumberFormat="1" applyAlignment="1">
      <alignment horizontal="center" vertical="center"/>
    </xf>
    <xf numFmtId="3" fontId="5" fillId="0" borderId="0" xfId="216" applyNumberFormat="1" applyAlignment="1">
      <alignment horizontal="center" vertical="center"/>
    </xf>
    <xf numFmtId="0" fontId="136" fillId="0" borderId="0" xfId="216" applyFont="1" applyAlignment="1">
      <alignment horizontal="right" vertical="center"/>
    </xf>
    <xf numFmtId="0" fontId="137" fillId="0" borderId="201" xfId="216" applyFont="1" applyBorder="1" applyAlignment="1">
      <alignment horizontal="justify" vertical="center"/>
    </xf>
    <xf numFmtId="4" fontId="137" fillId="0" borderId="202" xfId="216" applyNumberFormat="1" applyFont="1" applyBorder="1" applyAlignment="1">
      <alignment horizontal="right" vertical="center"/>
    </xf>
    <xf numFmtId="49" fontId="40" fillId="0" borderId="0" xfId="216" applyNumberFormat="1" applyFont="1"/>
    <xf numFmtId="49" fontId="75" fillId="0" borderId="0" xfId="207" applyNumberFormat="1" applyFont="1" applyAlignment="1"/>
    <xf numFmtId="0" fontId="17" fillId="0" borderId="0" xfId="217"/>
    <xf numFmtId="14" fontId="19" fillId="3" borderId="203" xfId="217" applyNumberFormat="1" applyFont="1" applyFill="1" applyBorder="1" applyAlignment="1">
      <alignment horizontal="center" vertical="center"/>
    </xf>
    <xf numFmtId="4" fontId="17" fillId="0" borderId="204" xfId="218" applyNumberFormat="1" applyBorder="1" applyAlignment="1">
      <alignment horizontal="right" vertical="center" indent="1"/>
    </xf>
    <xf numFmtId="4" fontId="17" fillId="0" borderId="206" xfId="218" applyNumberFormat="1" applyBorder="1" applyAlignment="1">
      <alignment horizontal="right" vertical="center" indent="1"/>
    </xf>
    <xf numFmtId="14" fontId="63" fillId="3" borderId="203" xfId="217" applyNumberFormat="1" applyFont="1" applyFill="1" applyBorder="1" applyAlignment="1">
      <alignment horizontal="center" vertical="center"/>
    </xf>
    <xf numFmtId="4" fontId="68" fillId="0" borderId="204" xfId="218" applyNumberFormat="1" applyFont="1" applyBorder="1" applyAlignment="1">
      <alignment horizontal="right" vertical="center" indent="1"/>
    </xf>
    <xf numFmtId="4" fontId="68" fillId="0" borderId="205" xfId="218" applyNumberFormat="1" applyFont="1" applyBorder="1" applyAlignment="1">
      <alignment horizontal="right" vertical="center" indent="1"/>
    </xf>
    <xf numFmtId="4" fontId="68" fillId="0" borderId="207" xfId="218" applyNumberFormat="1" applyFont="1" applyBorder="1" applyAlignment="1">
      <alignment horizontal="right" vertical="center" indent="1"/>
    </xf>
    <xf numFmtId="16" fontId="5" fillId="0" borderId="0" xfId="216" applyNumberFormat="1"/>
    <xf numFmtId="4" fontId="17" fillId="0" borderId="208" xfId="218" applyNumberFormat="1" applyBorder="1" applyAlignment="1">
      <alignment horizontal="right" vertical="center" indent="1"/>
    </xf>
    <xf numFmtId="4" fontId="17" fillId="0" borderId="209" xfId="218" applyNumberFormat="1" applyBorder="1" applyAlignment="1">
      <alignment horizontal="right" vertical="center" indent="1"/>
    </xf>
    <xf numFmtId="4" fontId="17" fillId="0" borderId="210" xfId="218" applyNumberFormat="1" applyBorder="1" applyAlignment="1">
      <alignment horizontal="right" vertical="center" indent="1"/>
    </xf>
    <xf numFmtId="4" fontId="17" fillId="0" borderId="211" xfId="218" applyNumberFormat="1" applyBorder="1" applyAlignment="1">
      <alignment horizontal="right" vertical="center" indent="1"/>
    </xf>
    <xf numFmtId="4" fontId="68" fillId="0" borderId="212" xfId="218" applyNumberFormat="1" applyFont="1" applyBorder="1" applyAlignment="1">
      <alignment horizontal="right" vertical="center" indent="1"/>
    </xf>
    <xf numFmtId="4" fontId="68" fillId="0" borderId="213" xfId="218" applyNumberFormat="1" applyFont="1" applyBorder="1" applyAlignment="1">
      <alignment horizontal="right" vertical="center" indent="1"/>
    </xf>
    <xf numFmtId="4" fontId="17" fillId="0" borderId="207" xfId="218" applyNumberFormat="1" applyBorder="1" applyAlignment="1">
      <alignment horizontal="right" vertical="center" indent="1"/>
    </xf>
    <xf numFmtId="14" fontId="19" fillId="3" borderId="217" xfId="217" applyNumberFormat="1" applyFont="1" applyFill="1" applyBorder="1" applyAlignment="1">
      <alignment horizontal="center" vertical="center"/>
    </xf>
    <xf numFmtId="14" fontId="63" fillId="3" borderId="217" xfId="217" applyNumberFormat="1" applyFont="1" applyFill="1" applyBorder="1" applyAlignment="1">
      <alignment horizontal="center" vertical="center"/>
    </xf>
    <xf numFmtId="4" fontId="17" fillId="0" borderId="212" xfId="218" applyNumberFormat="1" applyBorder="1" applyAlignment="1">
      <alignment horizontal="right" vertical="center" indent="1"/>
    </xf>
    <xf numFmtId="4" fontId="5" fillId="0" borderId="0" xfId="216" applyNumberFormat="1"/>
    <xf numFmtId="174" fontId="138" fillId="0" borderId="0" xfId="220" applyNumberFormat="1" applyFont="1" applyAlignment="1" applyProtection="1">
      <alignment horizontal="left" vertical="center"/>
      <protection locked="0"/>
    </xf>
    <xf numFmtId="174" fontId="139" fillId="0" borderId="0" xfId="220" applyNumberFormat="1" applyFont="1" applyAlignment="1" applyProtection="1">
      <alignment horizontal="left" vertical="center"/>
      <protection locked="0"/>
    </xf>
    <xf numFmtId="0" fontId="69" fillId="0" borderId="218" xfId="220" applyFont="1" applyBorder="1" applyAlignment="1" applyProtection="1">
      <alignment horizontal="center" vertical="center" wrapText="1"/>
      <protection locked="0"/>
    </xf>
    <xf numFmtId="0" fontId="69" fillId="0" borderId="219" xfId="216" applyFont="1" applyBorder="1" applyAlignment="1">
      <alignment horizontal="center" vertical="center" wrapText="1"/>
    </xf>
    <xf numFmtId="174" fontId="21" fillId="0" borderId="221" xfId="220" applyNumberFormat="1" applyFont="1" applyBorder="1" applyAlignment="1" applyProtection="1">
      <alignment horizontal="left" vertical="center"/>
      <protection locked="0"/>
    </xf>
    <xf numFmtId="174" fontId="21" fillId="0" borderId="222" xfId="220" applyNumberFormat="1" applyFont="1" applyBorder="1" applyAlignment="1" applyProtection="1">
      <alignment horizontal="left" vertical="center"/>
      <protection locked="0"/>
    </xf>
    <xf numFmtId="4" fontId="5" fillId="0" borderId="223" xfId="216" applyNumberFormat="1" applyBorder="1" applyAlignment="1">
      <alignment vertical="center"/>
    </xf>
    <xf numFmtId="3" fontId="5" fillId="0" borderId="224" xfId="216" applyNumberFormat="1" applyBorder="1" applyAlignment="1">
      <alignment vertical="center"/>
    </xf>
    <xf numFmtId="4" fontId="5" fillId="0" borderId="225" xfId="216" applyNumberFormat="1" applyBorder="1" applyAlignment="1">
      <alignment vertical="center"/>
    </xf>
    <xf numFmtId="3" fontId="5" fillId="0" borderId="226" xfId="216" applyNumberFormat="1" applyBorder="1" applyAlignment="1">
      <alignment vertical="center"/>
    </xf>
    <xf numFmtId="3" fontId="5" fillId="0" borderId="0" xfId="216" applyNumberFormat="1"/>
    <xf numFmtId="174" fontId="54" fillId="0" borderId="220" xfId="220" applyNumberFormat="1" applyFont="1" applyBorder="1" applyAlignment="1" applyProtection="1">
      <alignment horizontal="left" vertical="center"/>
      <protection locked="0"/>
    </xf>
    <xf numFmtId="4" fontId="19" fillId="3" borderId="220" xfId="221" applyNumberFormat="1" applyFont="1" applyFill="1" applyBorder="1" applyAlignment="1">
      <alignment horizontal="center" vertical="center"/>
    </xf>
    <xf numFmtId="4" fontId="19" fillId="3" borderId="219" xfId="221" applyNumberFormat="1" applyFont="1" applyFill="1" applyBorder="1" applyAlignment="1">
      <alignment horizontal="center" vertical="center"/>
    </xf>
    <xf numFmtId="0" fontId="69" fillId="0" borderId="225" xfId="220" applyFont="1" applyBorder="1" applyAlignment="1" applyProtection="1">
      <alignment horizontal="center" vertical="center" wrapText="1"/>
      <protection locked="0"/>
    </xf>
    <xf numFmtId="0" fontId="69" fillId="0" borderId="226" xfId="216" applyFont="1" applyBorder="1" applyAlignment="1">
      <alignment horizontal="center" vertical="center" wrapText="1"/>
    </xf>
    <xf numFmtId="0" fontId="17" fillId="0" borderId="0" xfId="216" applyFont="1"/>
    <xf numFmtId="0" fontId="69" fillId="0" borderId="227" xfId="220" applyFont="1" applyBorder="1" applyAlignment="1" applyProtection="1">
      <alignment horizontal="center" vertical="center"/>
      <protection locked="0"/>
    </xf>
    <xf numFmtId="4" fontId="5" fillId="1" borderId="228" xfId="216" applyNumberFormat="1" applyFill="1" applyBorder="1" applyAlignment="1">
      <alignment vertical="center"/>
    </xf>
    <xf numFmtId="4" fontId="5" fillId="1" borderId="224" xfId="216" applyNumberFormat="1" applyFill="1" applyBorder="1" applyAlignment="1">
      <alignment vertical="center"/>
    </xf>
    <xf numFmtId="0" fontId="69" fillId="0" borderId="231" xfId="220" applyFont="1" applyBorder="1" applyAlignment="1" applyProtection="1">
      <alignment horizontal="center" vertical="center"/>
      <protection locked="0"/>
    </xf>
    <xf numFmtId="3" fontId="5" fillId="0" borderId="234" xfId="216" applyNumberFormat="1" applyBorder="1" applyAlignment="1">
      <alignment vertical="center"/>
    </xf>
    <xf numFmtId="4" fontId="5" fillId="0" borderId="235" xfId="216" applyNumberFormat="1" applyBorder="1" applyAlignment="1">
      <alignment vertical="center"/>
    </xf>
    <xf numFmtId="3" fontId="5" fillId="0" borderId="236" xfId="216" applyNumberFormat="1" applyBorder="1" applyAlignment="1">
      <alignment vertical="center"/>
    </xf>
    <xf numFmtId="4" fontId="5" fillId="1" borderId="232" xfId="216" applyNumberFormat="1" applyFill="1" applyBorder="1" applyAlignment="1">
      <alignment vertical="center"/>
    </xf>
    <xf numFmtId="4" fontId="5" fillId="1" borderId="236" xfId="216" applyNumberFormat="1" applyFill="1" applyBorder="1" applyAlignment="1">
      <alignment vertical="center"/>
    </xf>
    <xf numFmtId="3" fontId="5" fillId="1" borderId="236" xfId="216" applyNumberFormat="1" applyFill="1" applyBorder="1" applyAlignment="1">
      <alignment vertical="center"/>
    </xf>
    <xf numFmtId="4" fontId="5" fillId="1" borderId="238" xfId="216" applyNumberFormat="1" applyFill="1" applyBorder="1" applyAlignment="1">
      <alignment vertical="center"/>
    </xf>
    <xf numFmtId="3" fontId="5" fillId="1" borderId="241" xfId="216" applyNumberFormat="1" applyFill="1" applyBorder="1" applyAlignment="1">
      <alignment vertical="center"/>
    </xf>
    <xf numFmtId="4" fontId="5" fillId="1" borderId="241" xfId="216" applyNumberFormat="1" applyFill="1" applyBorder="1" applyAlignment="1">
      <alignment vertical="center"/>
    </xf>
    <xf numFmtId="4" fontId="5" fillId="0" borderId="0" xfId="216" applyNumberFormat="1" applyAlignment="1">
      <alignment vertical="center"/>
    </xf>
    <xf numFmtId="0" fontId="69" fillId="0" borderId="242" xfId="220" quotePrefix="1" applyFont="1" applyBorder="1" applyAlignment="1">
      <alignment horizontal="center" vertical="center"/>
    </xf>
    <xf numFmtId="4" fontId="5" fillId="0" borderId="223" xfId="216" applyNumberFormat="1" applyBorder="1" applyAlignment="1">
      <alignment horizontal="right" vertical="center"/>
    </xf>
    <xf numFmtId="3" fontId="5" fillId="0" borderId="224" xfId="216" applyNumberFormat="1" applyBorder="1" applyAlignment="1">
      <alignment horizontal="right" vertical="center"/>
    </xf>
    <xf numFmtId="0" fontId="69" fillId="0" borderId="231" xfId="220" quotePrefix="1" applyFont="1" applyBorder="1" applyAlignment="1">
      <alignment horizontal="center" vertical="center"/>
    </xf>
    <xf numFmtId="0" fontId="69" fillId="0" borderId="237" xfId="220" quotePrefix="1" applyFont="1" applyBorder="1" applyAlignment="1">
      <alignment horizontal="center" vertical="center"/>
    </xf>
    <xf numFmtId="0" fontId="75" fillId="0" borderId="0" xfId="216" applyFont="1"/>
    <xf numFmtId="14" fontId="5" fillId="0" borderId="0" xfId="216" applyNumberFormat="1"/>
    <xf numFmtId="4" fontId="5" fillId="0" borderId="250" xfId="216" applyNumberFormat="1" applyBorder="1" applyAlignment="1">
      <alignment horizontal="right" vertical="center"/>
    </xf>
    <xf numFmtId="3" fontId="5" fillId="0" borderId="234" xfId="216" applyNumberFormat="1" applyBorder="1" applyAlignment="1">
      <alignment horizontal="right" vertical="center"/>
    </xf>
    <xf numFmtId="0" fontId="69" fillId="0" borderId="243" xfId="220" applyFont="1" applyBorder="1" applyAlignment="1" applyProtection="1">
      <alignment horizontal="center" vertical="center"/>
      <protection locked="0"/>
    </xf>
    <xf numFmtId="0" fontId="0" fillId="0" borderId="252" xfId="0" applyBorder="1"/>
    <xf numFmtId="0" fontId="0" fillId="0" borderId="253" xfId="0" applyBorder="1"/>
    <xf numFmtId="0" fontId="0" fillId="0" borderId="254" xfId="0" applyBorder="1"/>
    <xf numFmtId="0" fontId="141" fillId="0" borderId="0" xfId="0" applyFont="1"/>
    <xf numFmtId="0" fontId="0" fillId="0" borderId="256" xfId="0" applyBorder="1"/>
    <xf numFmtId="0" fontId="141" fillId="0" borderId="257" xfId="0" applyFont="1" applyBorder="1"/>
    <xf numFmtId="0" fontId="141" fillId="0" borderId="258" xfId="0" applyFont="1" applyBorder="1"/>
    <xf numFmtId="0" fontId="0" fillId="0" borderId="259" xfId="0" applyBorder="1"/>
    <xf numFmtId="0" fontId="120" fillId="0" borderId="255" xfId="180" applyBorder="1"/>
    <xf numFmtId="0" fontId="120" fillId="0" borderId="255" xfId="180" applyBorder="1" applyAlignment="1">
      <alignment wrapText="1"/>
    </xf>
    <xf numFmtId="0" fontId="4" fillId="0" borderId="0" xfId="216" applyFont="1"/>
    <xf numFmtId="0" fontId="120" fillId="0" borderId="0" xfId="180"/>
    <xf numFmtId="0" fontId="120" fillId="0" borderId="0" xfId="180" applyBorder="1"/>
    <xf numFmtId="14" fontId="3" fillId="3" borderId="164" xfId="97" applyNumberFormat="1" applyFont="1" applyFill="1" applyBorder="1" applyAlignment="1">
      <alignment horizontal="center" vertical="center"/>
    </xf>
    <xf numFmtId="14" fontId="36" fillId="0" borderId="0" xfId="97" applyNumberFormat="1" applyFont="1" applyAlignment="1">
      <alignment horizontal="center" vertical="center"/>
    </xf>
    <xf numFmtId="14" fontId="36" fillId="0" borderId="260" xfId="97" applyNumberFormat="1" applyFont="1" applyBorder="1" applyAlignment="1">
      <alignment horizontal="center" vertical="center"/>
    </xf>
    <xf numFmtId="0" fontId="39" fillId="0" borderId="90" xfId="0" applyFont="1" applyBorder="1" applyAlignment="1">
      <alignment horizontal="left" vertical="center"/>
    </xf>
    <xf numFmtId="0" fontId="39" fillId="0" borderId="0" xfId="0" applyFont="1"/>
    <xf numFmtId="174" fontId="39" fillId="0" borderId="220" xfId="220" applyNumberFormat="1" applyFont="1" applyBorder="1" applyAlignment="1" applyProtection="1">
      <alignment horizontal="left" vertical="center"/>
      <protection locked="0"/>
    </xf>
    <xf numFmtId="174" fontId="39" fillId="0" borderId="221" xfId="220" applyNumberFormat="1" applyFont="1" applyBorder="1" applyAlignment="1" applyProtection="1">
      <alignment horizontal="left" vertical="center"/>
      <protection locked="0"/>
    </xf>
    <xf numFmtId="174" fontId="39" fillId="0" borderId="222" xfId="220" applyNumberFormat="1" applyFont="1" applyBorder="1" applyAlignment="1" applyProtection="1">
      <alignment horizontal="left" vertical="center"/>
      <protection locked="0"/>
    </xf>
    <xf numFmtId="0" fontId="19" fillId="0" borderId="0" xfId="217" applyFont="1" applyAlignment="1">
      <alignment vertical="center"/>
    </xf>
    <xf numFmtId="0" fontId="91" fillId="0" borderId="0" xfId="217" applyFont="1" applyAlignment="1">
      <alignment vertical="center"/>
    </xf>
    <xf numFmtId="0" fontId="92" fillId="7" borderId="141" xfId="217" applyFont="1" applyFill="1" applyBorder="1" applyAlignment="1">
      <alignment horizontal="left" vertical="center" indent="1"/>
    </xf>
    <xf numFmtId="3" fontId="65" fillId="5" borderId="142" xfId="217" applyNumberFormat="1" applyFont="1" applyFill="1" applyBorder="1" applyAlignment="1">
      <alignment horizontal="center" vertical="center"/>
    </xf>
    <xf numFmtId="44" fontId="19" fillId="0" borderId="0" xfId="205" applyFont="1" applyAlignment="1">
      <alignment vertical="center"/>
    </xf>
    <xf numFmtId="44" fontId="91" fillId="0" borderId="0" xfId="205" applyFont="1" applyAlignment="1">
      <alignment vertical="center"/>
    </xf>
    <xf numFmtId="0" fontId="92" fillId="7" borderId="265" xfId="205" applyNumberFormat="1" applyFont="1" applyFill="1" applyBorder="1" applyAlignment="1">
      <alignment horizontal="left" vertical="center" indent="1"/>
    </xf>
    <xf numFmtId="176" fontId="93" fillId="5" borderId="266" xfId="205" applyNumberFormat="1" applyFont="1" applyFill="1" applyBorder="1" applyAlignment="1">
      <alignment horizontal="center" vertical="center"/>
    </xf>
    <xf numFmtId="44" fontId="17" fillId="0" borderId="0" xfId="205" applyFont="1"/>
    <xf numFmtId="0" fontId="92" fillId="7" borderId="265" xfId="217" applyFont="1" applyFill="1" applyBorder="1" applyAlignment="1">
      <alignment horizontal="left" vertical="center" indent="1"/>
    </xf>
    <xf numFmtId="9" fontId="93" fillId="5" borderId="266" xfId="16" applyFont="1" applyFill="1" applyBorder="1" applyAlignment="1">
      <alignment horizontal="center" vertical="center"/>
    </xf>
    <xf numFmtId="4" fontId="19" fillId="0" borderId="0" xfId="217" applyNumberFormat="1" applyFont="1" applyAlignment="1">
      <alignment vertical="center"/>
    </xf>
    <xf numFmtId="0" fontId="92" fillId="7" borderId="267" xfId="217" applyFont="1" applyFill="1" applyBorder="1" applyAlignment="1">
      <alignment horizontal="left" vertical="center" indent="1"/>
    </xf>
    <xf numFmtId="164" fontId="93" fillId="5" borderId="268" xfId="101" applyFont="1" applyFill="1" applyBorder="1" applyAlignment="1">
      <alignment horizontal="center" vertical="center"/>
    </xf>
    <xf numFmtId="4" fontId="91" fillId="0" borderId="0" xfId="217" applyNumberFormat="1" applyFont="1" applyAlignment="1">
      <alignment vertical="center"/>
    </xf>
    <xf numFmtId="177" fontId="19" fillId="0" borderId="0" xfId="96" applyNumberFormat="1" applyFont="1" applyAlignment="1">
      <alignment vertical="center"/>
    </xf>
    <xf numFmtId="0" fontId="19" fillId="0" borderId="0" xfId="217" applyFont="1" applyAlignment="1">
      <alignment horizontal="center" vertical="center"/>
    </xf>
    <xf numFmtId="0" fontId="42" fillId="0" borderId="0" xfId="217" applyFont="1" applyAlignment="1">
      <alignment horizontal="center"/>
    </xf>
    <xf numFmtId="0" fontId="78" fillId="0" borderId="0" xfId="217" applyFont="1" applyAlignment="1">
      <alignment horizontal="center" vertical="center" wrapText="1"/>
    </xf>
    <xf numFmtId="0" fontId="87" fillId="0" borderId="0" xfId="217" applyFont="1" applyAlignment="1">
      <alignment horizontal="center" vertical="center"/>
    </xf>
    <xf numFmtId="14" fontId="78" fillId="6" borderId="79" xfId="217" applyNumberFormat="1" applyFont="1" applyFill="1" applyBorder="1" applyAlignment="1">
      <alignment horizontal="center" vertical="center"/>
    </xf>
    <xf numFmtId="14" fontId="78" fillId="0" borderId="0" xfId="217" applyNumberFormat="1" applyFont="1" applyAlignment="1">
      <alignment horizontal="center" vertical="center"/>
    </xf>
    <xf numFmtId="4" fontId="78" fillId="6" borderId="66" xfId="217" applyNumberFormat="1" applyFont="1" applyFill="1" applyBorder="1" applyAlignment="1">
      <alignment horizontal="center" vertical="center"/>
    </xf>
    <xf numFmtId="4" fontId="78" fillId="6" borderId="67" xfId="217" applyNumberFormat="1" applyFont="1" applyFill="1" applyBorder="1" applyAlignment="1">
      <alignment horizontal="center" vertical="center"/>
    </xf>
    <xf numFmtId="3" fontId="78" fillId="6" borderId="269" xfId="217" applyNumberFormat="1" applyFont="1" applyFill="1" applyBorder="1" applyAlignment="1">
      <alignment horizontal="center" vertical="center"/>
    </xf>
    <xf numFmtId="4" fontId="78" fillId="6" borderId="68" xfId="217" applyNumberFormat="1" applyFont="1" applyFill="1" applyBorder="1" applyAlignment="1">
      <alignment horizontal="center" vertical="center"/>
    </xf>
    <xf numFmtId="3" fontId="78" fillId="6" borderId="67" xfId="217" applyNumberFormat="1" applyFont="1" applyFill="1" applyBorder="1" applyAlignment="1">
      <alignment horizontal="center" vertical="center"/>
    </xf>
    <xf numFmtId="0" fontId="69" fillId="0" borderId="0" xfId="217" applyFont="1" applyAlignment="1">
      <alignment horizontal="center" vertical="center"/>
    </xf>
    <xf numFmtId="0" fontId="102" fillId="0" borderId="0" xfId="217" applyFont="1" applyAlignment="1">
      <alignment horizontal="center" vertical="center"/>
    </xf>
    <xf numFmtId="14" fontId="94" fillId="0" borderId="80" xfId="217" applyNumberFormat="1" applyFont="1" applyBorder="1" applyAlignment="1">
      <alignment horizontal="center" vertical="center"/>
    </xf>
    <xf numFmtId="14" fontId="94" fillId="0" borderId="0" xfId="217" applyNumberFormat="1" applyFont="1" applyAlignment="1">
      <alignment horizontal="center" vertical="center"/>
    </xf>
    <xf numFmtId="4" fontId="86" fillId="0" borderId="69" xfId="217" applyNumberFormat="1" applyFont="1" applyBorder="1" applyAlignment="1">
      <alignment horizontal="center" vertical="center"/>
    </xf>
    <xf numFmtId="4" fontId="94" fillId="0" borderId="194" xfId="217" applyNumberFormat="1" applyFont="1" applyBorder="1" applyAlignment="1">
      <alignment horizontal="center" vertical="center"/>
    </xf>
    <xf numFmtId="4" fontId="86" fillId="6" borderId="194" xfId="217" applyNumberFormat="1" applyFont="1" applyFill="1" applyBorder="1" applyAlignment="1">
      <alignment horizontal="center" vertical="center"/>
    </xf>
    <xf numFmtId="3" fontId="86" fillId="0" borderId="270" xfId="217" applyNumberFormat="1" applyFont="1" applyBorder="1" applyAlignment="1">
      <alignment horizontal="center" vertical="center"/>
    </xf>
    <xf numFmtId="4" fontId="94" fillId="0" borderId="70" xfId="217" applyNumberFormat="1" applyFont="1" applyBorder="1" applyAlignment="1">
      <alignment horizontal="center" vertical="center"/>
    </xf>
    <xf numFmtId="4" fontId="94" fillId="0" borderId="0" xfId="217" applyNumberFormat="1" applyFont="1" applyAlignment="1">
      <alignment horizontal="center" vertical="center"/>
    </xf>
    <xf numFmtId="4" fontId="94" fillId="0" borderId="69" xfId="217" applyNumberFormat="1" applyFont="1" applyBorder="1" applyAlignment="1">
      <alignment horizontal="center" vertical="center"/>
    </xf>
    <xf numFmtId="0" fontId="95" fillId="0" borderId="0" xfId="217" applyFont="1" applyAlignment="1">
      <alignment horizontal="center" vertical="center"/>
    </xf>
    <xf numFmtId="0" fontId="75" fillId="0" borderId="0" xfId="217" applyFont="1"/>
    <xf numFmtId="11" fontId="94" fillId="0" borderId="65" xfId="217" applyNumberFormat="1" applyFont="1" applyBorder="1" applyAlignment="1">
      <alignment horizontal="center" vertical="center"/>
    </xf>
    <xf numFmtId="14" fontId="86" fillId="0" borderId="0" xfId="217" applyNumberFormat="1" applyFont="1" applyAlignment="1">
      <alignment horizontal="center" vertical="center"/>
    </xf>
    <xf numFmtId="4" fontId="86" fillId="0" borderId="0" xfId="217" applyNumberFormat="1" applyFont="1" applyAlignment="1">
      <alignment horizontal="center" vertical="center"/>
    </xf>
    <xf numFmtId="4" fontId="86" fillId="0" borderId="194" xfId="217" applyNumberFormat="1" applyFont="1" applyBorder="1" applyAlignment="1">
      <alignment horizontal="center" vertical="center"/>
    </xf>
    <xf numFmtId="4" fontId="86" fillId="0" borderId="70" xfId="217" applyNumberFormat="1" applyFont="1" applyBorder="1" applyAlignment="1">
      <alignment horizontal="center" vertical="center"/>
    </xf>
    <xf numFmtId="4" fontId="142" fillId="0" borderId="69" xfId="217" applyNumberFormat="1" applyFont="1" applyBorder="1" applyAlignment="1">
      <alignment horizontal="center" vertical="center"/>
    </xf>
    <xf numFmtId="14" fontId="94" fillId="0" borderId="81" xfId="217" applyNumberFormat="1" applyFont="1" applyBorder="1" applyAlignment="1">
      <alignment horizontal="center" vertical="center"/>
    </xf>
    <xf numFmtId="4" fontId="94" fillId="0" borderId="71" xfId="217" applyNumberFormat="1" applyFont="1" applyBorder="1" applyAlignment="1">
      <alignment horizontal="center" vertical="center"/>
    </xf>
    <xf numFmtId="4" fontId="86" fillId="0" borderId="195" xfId="217" applyNumberFormat="1" applyFont="1" applyBorder="1" applyAlignment="1">
      <alignment horizontal="center" vertical="center"/>
    </xf>
    <xf numFmtId="4" fontId="86" fillId="6" borderId="195" xfId="217" applyNumberFormat="1" applyFont="1" applyFill="1" applyBorder="1" applyAlignment="1">
      <alignment horizontal="center" vertical="center"/>
    </xf>
    <xf numFmtId="3" fontId="86" fillId="0" borderId="271" xfId="217" applyNumberFormat="1" applyFont="1" applyBorder="1" applyAlignment="1">
      <alignment horizontal="center" vertical="center"/>
    </xf>
    <xf numFmtId="4" fontId="86" fillId="0" borderId="72" xfId="217" applyNumberFormat="1" applyFont="1" applyBorder="1" applyAlignment="1">
      <alignment horizontal="center" vertical="center"/>
    </xf>
    <xf numFmtId="14" fontId="19" fillId="0" borderId="0" xfId="217" applyNumberFormat="1" applyFont="1" applyAlignment="1">
      <alignment vertical="center"/>
    </xf>
    <xf numFmtId="3" fontId="19" fillId="0" borderId="0" xfId="217" applyNumberFormat="1" applyFont="1" applyAlignment="1">
      <alignment vertical="center"/>
    </xf>
    <xf numFmtId="0" fontId="17" fillId="11" borderId="89" xfId="103" applyFill="1" applyBorder="1"/>
    <xf numFmtId="0" fontId="42" fillId="11" borderId="272" xfId="103" applyFont="1" applyFill="1" applyBorder="1" applyAlignment="1">
      <alignment horizontal="center" vertical="center"/>
    </xf>
    <xf numFmtId="0" fontId="42" fillId="11" borderId="273" xfId="103" applyFont="1" applyFill="1" applyBorder="1" applyAlignment="1">
      <alignment horizontal="center" vertical="center"/>
    </xf>
    <xf numFmtId="0" fontId="3" fillId="0" borderId="0" xfId="223"/>
    <xf numFmtId="0" fontId="17" fillId="11" borderId="260" xfId="103" applyFill="1" applyBorder="1" applyAlignment="1">
      <alignment vertical="center"/>
    </xf>
    <xf numFmtId="0" fontId="78" fillId="3" borderId="119" xfId="103" applyFont="1" applyFill="1" applyBorder="1" applyAlignment="1">
      <alignment horizontal="center" vertical="center"/>
    </xf>
    <xf numFmtId="0" fontId="17" fillId="11" borderId="159" xfId="103" applyFill="1" applyBorder="1" applyAlignment="1">
      <alignment vertical="center"/>
    </xf>
    <xf numFmtId="0" fontId="17" fillId="11" borderId="260" xfId="103" applyFill="1" applyBorder="1"/>
    <xf numFmtId="0" fontId="19" fillId="11" borderId="0" xfId="103" applyFont="1" applyFill="1" applyAlignment="1">
      <alignment vertical="center"/>
    </xf>
    <xf numFmtId="167" fontId="79" fillId="67" borderId="119" xfId="103" applyNumberFormat="1" applyFont="1" applyFill="1" applyBorder="1" applyAlignment="1">
      <alignment horizontal="right" vertical="center" indent="1"/>
    </xf>
    <xf numFmtId="0" fontId="19" fillId="11" borderId="159" xfId="103" applyFont="1" applyFill="1" applyBorder="1" applyAlignment="1">
      <alignment vertical="center"/>
    </xf>
    <xf numFmtId="167" fontId="17" fillId="0" borderId="0" xfId="217" applyNumberFormat="1"/>
    <xf numFmtId="0" fontId="80" fillId="5" borderId="48" xfId="103" applyFont="1" applyFill="1" applyBorder="1" applyAlignment="1">
      <alignment horizontal="center" vertical="center"/>
    </xf>
    <xf numFmtId="4" fontId="143" fillId="3" borderId="48" xfId="103" applyNumberFormat="1" applyFont="1" applyFill="1" applyBorder="1" applyAlignment="1">
      <alignment horizontal="right" vertical="center" indent="1"/>
    </xf>
    <xf numFmtId="167" fontId="144" fillId="3" borderId="48" xfId="103" applyNumberFormat="1" applyFont="1" applyFill="1" applyBorder="1" applyAlignment="1">
      <alignment horizontal="right" vertical="center" indent="1"/>
    </xf>
    <xf numFmtId="0" fontId="83" fillId="5" borderId="48" xfId="103" applyFont="1" applyFill="1" applyBorder="1" applyAlignment="1">
      <alignment horizontal="center" vertical="center"/>
    </xf>
    <xf numFmtId="0" fontId="17" fillId="11" borderId="159" xfId="103" applyFill="1" applyBorder="1"/>
    <xf numFmtId="4" fontId="17" fillId="0" borderId="0" xfId="217" applyNumberFormat="1"/>
    <xf numFmtId="4" fontId="3" fillId="0" borderId="0" xfId="205" applyNumberFormat="1" applyFont="1"/>
    <xf numFmtId="0" fontId="17" fillId="11" borderId="18" xfId="103" applyFill="1" applyBorder="1"/>
    <xf numFmtId="0" fontId="19" fillId="11" borderId="143" xfId="103" applyFont="1" applyFill="1" applyBorder="1" applyAlignment="1">
      <alignment vertical="center"/>
    </xf>
    <xf numFmtId="0" fontId="19" fillId="11" borderId="127" xfId="103" applyFont="1" applyFill="1" applyBorder="1" applyAlignment="1">
      <alignment vertical="center"/>
    </xf>
    <xf numFmtId="0" fontId="17" fillId="11" borderId="274" xfId="103" applyFill="1" applyBorder="1"/>
    <xf numFmtId="0" fontId="17" fillId="6" borderId="89" xfId="103" applyFill="1" applyBorder="1"/>
    <xf numFmtId="0" fontId="42" fillId="6" borderId="272" xfId="103" applyFont="1" applyFill="1" applyBorder="1" applyAlignment="1">
      <alignment horizontal="center" vertical="center"/>
    </xf>
    <xf numFmtId="0" fontId="42" fillId="6" borderId="273" xfId="103" applyFont="1" applyFill="1" applyBorder="1" applyAlignment="1">
      <alignment horizontal="center" vertical="center"/>
    </xf>
    <xf numFmtId="0" fontId="17" fillId="6" borderId="260" xfId="103" applyFill="1" applyBorder="1" applyAlignment="1">
      <alignment vertical="center"/>
    </xf>
    <xf numFmtId="0" fontId="17" fillId="6" borderId="159" xfId="103" applyFill="1" applyBorder="1" applyAlignment="1">
      <alignment vertical="center"/>
    </xf>
    <xf numFmtId="0" fontId="17" fillId="6" borderId="260" xfId="103" applyFill="1" applyBorder="1"/>
    <xf numFmtId="0" fontId="19" fillId="6" borderId="0" xfId="103" applyFont="1" applyFill="1" applyAlignment="1">
      <alignment vertical="center"/>
    </xf>
    <xf numFmtId="0" fontId="19" fillId="6" borderId="159" xfId="103" applyFont="1" applyFill="1" applyBorder="1" applyAlignment="1">
      <alignment vertical="center"/>
    </xf>
    <xf numFmtId="0" fontId="17" fillId="6" borderId="159" xfId="103" applyFill="1" applyBorder="1"/>
    <xf numFmtId="0" fontId="17" fillId="6" borderId="18" xfId="103" applyFill="1" applyBorder="1"/>
    <xf numFmtId="0" fontId="19" fillId="6" borderId="143" xfId="103" applyFont="1" applyFill="1" applyBorder="1" applyAlignment="1">
      <alignment vertical="center"/>
    </xf>
    <xf numFmtId="0" fontId="19" fillId="6" borderId="127" xfId="103" applyFont="1" applyFill="1" applyBorder="1" applyAlignment="1">
      <alignment vertical="center"/>
    </xf>
    <xf numFmtId="0" fontId="17" fillId="6" borderId="274" xfId="103" applyFill="1" applyBorder="1"/>
    <xf numFmtId="0" fontId="14" fillId="5" borderId="0" xfId="99" applyFill="1"/>
    <xf numFmtId="0" fontId="87" fillId="5" borderId="0" xfId="103" applyFont="1" applyFill="1" applyAlignment="1">
      <alignment vertical="center"/>
    </xf>
    <xf numFmtId="167" fontId="89" fillId="5" borderId="0" xfId="103" applyNumberFormat="1" applyFont="1" applyFill="1" applyAlignment="1">
      <alignment horizontal="right" vertical="center" indent="1"/>
    </xf>
    <xf numFmtId="4" fontId="14" fillId="5" borderId="0" xfId="99" applyNumberFormat="1" applyFill="1"/>
    <xf numFmtId="0" fontId="14" fillId="18" borderId="0" xfId="97" applyFill="1"/>
    <xf numFmtId="0" fontId="145" fillId="68" borderId="39" xfId="97" applyFont="1" applyFill="1" applyBorder="1" applyAlignment="1">
      <alignment horizontal="left" indent="2"/>
    </xf>
    <xf numFmtId="0" fontId="145" fillId="68" borderId="189" xfId="97" applyFont="1" applyFill="1" applyBorder="1" applyAlignment="1">
      <alignment horizontal="left" indent="2"/>
    </xf>
    <xf numFmtId="0" fontId="145" fillId="68" borderId="42" xfId="97" applyFont="1" applyFill="1" applyBorder="1" applyAlignment="1">
      <alignment horizontal="left" indent="2"/>
    </xf>
    <xf numFmtId="170" fontId="145" fillId="68" borderId="42" xfId="97" applyNumberFormat="1" applyFont="1" applyFill="1" applyBorder="1" applyAlignment="1">
      <alignment horizontal="left" indent="2"/>
    </xf>
    <xf numFmtId="0" fontId="128" fillId="68" borderId="52" xfId="103" applyFont="1" applyFill="1" applyBorder="1" applyAlignment="1">
      <alignment horizontal="left" vertical="center" indent="1"/>
    </xf>
    <xf numFmtId="0" fontId="41" fillId="68" borderId="52" xfId="103" applyFont="1" applyFill="1" applyBorder="1" applyAlignment="1">
      <alignment vertical="center"/>
    </xf>
    <xf numFmtId="0" fontId="41" fillId="68" borderId="53" xfId="103" applyFont="1" applyFill="1" applyBorder="1"/>
    <xf numFmtId="0" fontId="41" fillId="68" borderId="129" xfId="103" applyFont="1" applyFill="1" applyBorder="1" applyAlignment="1">
      <alignment vertical="center"/>
    </xf>
    <xf numFmtId="0" fontId="41" fillId="68" borderId="130" xfId="103" applyFont="1" applyFill="1" applyBorder="1" applyAlignment="1">
      <alignment vertical="center"/>
    </xf>
    <xf numFmtId="0" fontId="78" fillId="69" borderId="214" xfId="0" applyFont="1" applyFill="1" applyBorder="1" applyAlignment="1">
      <alignment horizontal="center" vertical="center" wrapText="1"/>
    </xf>
    <xf numFmtId="0" fontId="92" fillId="7" borderId="275" xfId="217" applyFont="1" applyFill="1" applyBorder="1" applyAlignment="1">
      <alignment horizontal="left" vertical="center" indent="1"/>
    </xf>
    <xf numFmtId="9" fontId="93" fillId="5" borderId="276" xfId="16" applyFont="1" applyFill="1" applyBorder="1" applyAlignment="1">
      <alignment horizontal="center" vertical="center"/>
    </xf>
    <xf numFmtId="0" fontId="19" fillId="69" borderId="3" xfId="0" applyFont="1" applyFill="1" applyBorder="1" applyAlignment="1">
      <alignment horizontal="center" vertical="center" wrapText="1"/>
    </xf>
    <xf numFmtId="0" fontId="19" fillId="69" borderId="4" xfId="0" applyFont="1" applyFill="1" applyBorder="1" applyAlignment="1">
      <alignment horizontal="center" vertical="center" wrapText="1"/>
    </xf>
    <xf numFmtId="4" fontId="19" fillId="69" borderId="8" xfId="0" applyNumberFormat="1" applyFont="1" applyFill="1" applyBorder="1" applyAlignment="1">
      <alignment horizontal="center" vertical="center" wrapText="1"/>
    </xf>
    <xf numFmtId="4" fontId="19" fillId="69" borderId="4" xfId="0" applyNumberFormat="1" applyFont="1" applyFill="1" applyBorder="1" applyAlignment="1">
      <alignment horizontal="center" vertical="center" wrapText="1"/>
    </xf>
    <xf numFmtId="4" fontId="19" fillId="69" borderId="26" xfId="0" applyNumberFormat="1" applyFont="1" applyFill="1" applyBorder="1" applyAlignment="1">
      <alignment horizontal="center" vertical="center" wrapText="1"/>
    </xf>
    <xf numFmtId="0" fontId="19" fillId="69" borderId="22" xfId="0" applyFont="1" applyFill="1" applyBorder="1" applyAlignment="1">
      <alignment horizontal="center" vertical="center" wrapText="1"/>
    </xf>
    <xf numFmtId="4" fontId="124" fillId="0" borderId="48" xfId="0" applyNumberFormat="1" applyFont="1" applyBorder="1" applyAlignment="1">
      <alignment horizontal="left" vertical="center"/>
    </xf>
    <xf numFmtId="4" fontId="124" fillId="55" borderId="48" xfId="0" applyNumberFormat="1" applyFont="1" applyFill="1" applyBorder="1" applyAlignment="1">
      <alignment horizontal="left" vertical="center"/>
    </xf>
    <xf numFmtId="0" fontId="125" fillId="18" borderId="7" xfId="0" applyFont="1" applyFill="1" applyBorder="1" applyAlignment="1">
      <alignment horizontal="left" vertical="center" indent="1"/>
    </xf>
    <xf numFmtId="14" fontId="19" fillId="3" borderId="278" xfId="217" applyNumberFormat="1" applyFont="1" applyFill="1" applyBorder="1" applyAlignment="1">
      <alignment horizontal="center" vertical="center"/>
    </xf>
    <xf numFmtId="4" fontId="17" fillId="0" borderId="279" xfId="218" applyNumberFormat="1" applyBorder="1" applyAlignment="1">
      <alignment horizontal="right" vertical="center" indent="1"/>
    </xf>
    <xf numFmtId="4" fontId="17" fillId="0" borderId="280" xfId="218" applyNumberFormat="1" applyBorder="1" applyAlignment="1">
      <alignment horizontal="right" vertical="center" indent="1"/>
    </xf>
    <xf numFmtId="4" fontId="17" fillId="0" borderId="281" xfId="218" applyNumberFormat="1" applyBorder="1" applyAlignment="1">
      <alignment horizontal="right" vertical="center" indent="1"/>
    </xf>
    <xf numFmtId="0" fontId="148" fillId="69" borderId="282" xfId="0" applyFont="1" applyFill="1" applyBorder="1" applyAlignment="1">
      <alignment horizontal="center" vertical="center" wrapText="1"/>
    </xf>
    <xf numFmtId="0" fontId="148" fillId="69" borderId="283" xfId="0" applyFont="1" applyFill="1" applyBorder="1" applyAlignment="1">
      <alignment horizontal="center" vertical="center" wrapText="1"/>
    </xf>
    <xf numFmtId="0" fontId="148" fillId="69" borderId="284" xfId="0" applyFont="1" applyFill="1" applyBorder="1" applyAlignment="1">
      <alignment horizontal="center" vertical="center" wrapText="1"/>
    </xf>
    <xf numFmtId="0" fontId="41" fillId="68" borderId="58" xfId="103" applyFont="1" applyFill="1" applyBorder="1" applyAlignment="1">
      <alignment vertical="center"/>
    </xf>
    <xf numFmtId="4" fontId="41" fillId="68" borderId="58" xfId="103" applyNumberFormat="1" applyFont="1" applyFill="1" applyBorder="1" applyAlignment="1">
      <alignment vertical="center"/>
    </xf>
    <xf numFmtId="4" fontId="41" fillId="68" borderId="53" xfId="103" applyNumberFormat="1" applyFont="1" applyFill="1" applyBorder="1"/>
    <xf numFmtId="0" fontId="41" fillId="68" borderId="58" xfId="103" applyFont="1" applyFill="1" applyBorder="1"/>
    <xf numFmtId="0" fontId="41" fillId="68" borderId="130" xfId="103" applyFont="1" applyFill="1" applyBorder="1"/>
    <xf numFmtId="0" fontId="19" fillId="69" borderId="12" xfId="0" applyFont="1" applyFill="1" applyBorder="1" applyAlignment="1">
      <alignment horizontal="centerContinuous" vertical="center"/>
    </xf>
    <xf numFmtId="4" fontId="19" fillId="69" borderId="12" xfId="0" applyNumberFormat="1" applyFont="1" applyFill="1" applyBorder="1" applyAlignment="1">
      <alignment horizontal="centerContinuous" vertical="center"/>
    </xf>
    <xf numFmtId="0" fontId="19" fillId="69" borderId="7" xfId="0" applyFont="1" applyFill="1" applyBorder="1" applyAlignment="1">
      <alignment horizontal="centerContinuous" vertical="center"/>
    </xf>
    <xf numFmtId="0" fontId="19" fillId="69" borderId="8" xfId="0" applyFont="1" applyFill="1" applyBorder="1" applyAlignment="1">
      <alignment horizontal="centerContinuous" vertical="center"/>
    </xf>
    <xf numFmtId="0" fontId="19" fillId="69" borderId="11" xfId="0" applyFont="1" applyFill="1" applyBorder="1" applyAlignment="1">
      <alignment horizontal="centerContinuous" vertical="center"/>
    </xf>
    <xf numFmtId="4" fontId="19" fillId="69" borderId="8" xfId="0" applyNumberFormat="1" applyFont="1" applyFill="1" applyBorder="1" applyAlignment="1">
      <alignment horizontal="centerContinuous" vertical="center"/>
    </xf>
    <xf numFmtId="0" fontId="41" fillId="68" borderId="57" xfId="103" applyFont="1" applyFill="1" applyBorder="1" applyAlignment="1">
      <alignment vertical="center"/>
    </xf>
    <xf numFmtId="0" fontId="19" fillId="69" borderId="7" xfId="0" applyFont="1" applyFill="1" applyBorder="1" applyAlignment="1">
      <alignment horizontal="centerContinuous" vertical="center" wrapText="1"/>
    </xf>
    <xf numFmtId="0" fontId="19" fillId="69" borderId="8" xfId="0" applyFont="1" applyFill="1" applyBorder="1" applyAlignment="1">
      <alignment horizontal="centerContinuous" vertical="center" wrapText="1"/>
    </xf>
    <xf numFmtId="0" fontId="19" fillId="69" borderId="11" xfId="0" applyFont="1" applyFill="1" applyBorder="1" applyAlignment="1">
      <alignment horizontal="centerContinuous" vertical="center" wrapText="1"/>
    </xf>
    <xf numFmtId="0" fontId="78" fillId="69" borderId="76" xfId="0" applyFont="1" applyFill="1" applyBorder="1" applyAlignment="1">
      <alignment horizontal="center" vertical="center" wrapText="1"/>
    </xf>
    <xf numFmtId="0" fontId="19" fillId="68" borderId="0" xfId="103" applyFont="1" applyFill="1" applyAlignment="1">
      <alignment horizontal="left" vertical="center" indent="1"/>
    </xf>
    <xf numFmtId="0" fontId="39" fillId="68" borderId="0" xfId="103" applyFont="1" applyFill="1" applyAlignment="1">
      <alignment horizontal="left" vertical="center" indent="1"/>
    </xf>
    <xf numFmtId="0" fontId="21" fillId="68" borderId="0" xfId="103" applyFont="1" applyFill="1" applyAlignment="1">
      <alignment vertical="center"/>
    </xf>
    <xf numFmtId="0" fontId="21" fillId="68" borderId="0" xfId="103" applyFont="1" applyFill="1"/>
    <xf numFmtId="0" fontId="41" fillId="68" borderId="153" xfId="222" applyFont="1" applyFill="1" applyBorder="1"/>
    <xf numFmtId="0" fontId="41" fillId="68" borderId="154" xfId="222" applyFont="1" applyFill="1" applyBorder="1"/>
    <xf numFmtId="0" fontId="41" fillId="68" borderId="53" xfId="103" applyFont="1" applyFill="1" applyBorder="1" applyAlignment="1">
      <alignment vertical="center"/>
    </xf>
    <xf numFmtId="14" fontId="41" fillId="68" borderId="53" xfId="103" applyNumberFormat="1" applyFont="1" applyFill="1" applyBorder="1" applyAlignment="1">
      <alignment horizontal="center" vertical="center"/>
    </xf>
    <xf numFmtId="0" fontId="41" fillId="68" borderId="53" xfId="103" applyFont="1" applyFill="1" applyBorder="1" applyAlignment="1">
      <alignment horizontal="center" vertical="center"/>
    </xf>
    <xf numFmtId="0" fontId="41" fillId="68" borderId="54" xfId="103" applyFont="1" applyFill="1" applyBorder="1" applyAlignment="1">
      <alignment horizontal="center" vertical="center"/>
    </xf>
    <xf numFmtId="0" fontId="128" fillId="68" borderId="52" xfId="103" applyFont="1" applyFill="1" applyBorder="1" applyAlignment="1">
      <alignment vertical="center"/>
    </xf>
    <xf numFmtId="0" fontId="128" fillId="68" borderId="53" xfId="103" applyFont="1" applyFill="1" applyBorder="1"/>
    <xf numFmtId="0" fontId="128" fillId="68" borderId="82" xfId="0" applyFont="1" applyFill="1" applyBorder="1" applyAlignment="1">
      <alignment horizontal="left" vertical="center" indent="1"/>
    </xf>
    <xf numFmtId="0" fontId="97" fillId="68" borderId="104" xfId="0" applyFont="1" applyFill="1" applyBorder="1" applyAlignment="1">
      <alignment vertical="center"/>
    </xf>
    <xf numFmtId="0" fontId="47" fillId="68" borderId="105" xfId="0" applyFont="1" applyFill="1" applyBorder="1"/>
    <xf numFmtId="0" fontId="47" fillId="68" borderId="106" xfId="0" applyFont="1" applyFill="1" applyBorder="1"/>
    <xf numFmtId="0" fontId="78" fillId="69" borderId="261" xfId="97" applyFont="1" applyFill="1" applyBorder="1" applyAlignment="1">
      <alignment vertical="center"/>
    </xf>
    <xf numFmtId="0" fontId="78" fillId="69" borderId="262" xfId="97" applyFont="1" applyFill="1" applyBorder="1" applyAlignment="1">
      <alignment vertical="center"/>
    </xf>
    <xf numFmtId="0" fontId="78" fillId="69" borderId="263" xfId="97" applyFont="1" applyFill="1" applyBorder="1" applyAlignment="1">
      <alignment vertical="center"/>
    </xf>
    <xf numFmtId="0" fontId="78" fillId="69" borderId="264" xfId="97" applyFont="1" applyFill="1" applyBorder="1" applyAlignment="1">
      <alignment vertical="center"/>
    </xf>
    <xf numFmtId="0" fontId="78" fillId="69" borderId="31" xfId="97" applyFont="1" applyFill="1" applyBorder="1" applyAlignment="1">
      <alignment vertical="center"/>
    </xf>
    <xf numFmtId="0" fontId="19" fillId="69" borderId="22" xfId="97" applyFont="1" applyFill="1" applyBorder="1" applyAlignment="1">
      <alignment horizontal="center" vertical="center" wrapText="1"/>
    </xf>
    <xf numFmtId="0" fontId="19" fillId="69" borderId="5" xfId="97" applyFont="1" applyFill="1" applyBorder="1" applyAlignment="1">
      <alignment horizontal="center" vertical="center" wrapText="1"/>
    </xf>
    <xf numFmtId="0" fontId="19" fillId="69" borderId="7" xfId="97" applyFont="1" applyFill="1" applyBorder="1" applyAlignment="1">
      <alignment horizontal="center" vertical="center" wrapText="1"/>
    </xf>
    <xf numFmtId="0" fontId="78" fillId="69" borderId="119" xfId="103" applyFont="1" applyFill="1" applyBorder="1" applyAlignment="1">
      <alignment horizontal="center" vertical="center"/>
    </xf>
    <xf numFmtId="164" fontId="22" fillId="69" borderId="45" xfId="98" applyFont="1" applyFill="1" applyBorder="1" applyAlignment="1">
      <alignment horizontal="center"/>
    </xf>
    <xf numFmtId="3" fontId="78" fillId="0" borderId="159" xfId="0" applyNumberFormat="1" applyFont="1" applyBorder="1" applyAlignment="1">
      <alignment vertical="center" wrapText="1"/>
    </xf>
    <xf numFmtId="0" fontId="76" fillId="5" borderId="0" xfId="103" applyFont="1" applyFill="1" applyAlignment="1">
      <alignment horizontal="center" vertical="center"/>
    </xf>
    <xf numFmtId="4" fontId="100" fillId="69" borderId="2" xfId="102" applyNumberFormat="1" applyFont="1" applyFill="1" applyBorder="1" applyAlignment="1">
      <alignment horizontal="left" vertical="center"/>
    </xf>
    <xf numFmtId="4" fontId="100" fillId="69" borderId="2" xfId="102" applyNumberFormat="1" applyFont="1" applyFill="1" applyBorder="1" applyAlignment="1">
      <alignment vertical="center"/>
    </xf>
    <xf numFmtId="0" fontId="150" fillId="69" borderId="2" xfId="103" applyFont="1" applyFill="1" applyBorder="1" applyAlignment="1">
      <alignment horizontal="center" vertical="center"/>
    </xf>
    <xf numFmtId="0" fontId="151" fillId="69" borderId="14" xfId="103" applyFont="1" applyFill="1" applyBorder="1" applyAlignment="1">
      <alignment horizontal="right" vertical="center"/>
    </xf>
    <xf numFmtId="0" fontId="14" fillId="0" borderId="0" xfId="97" applyAlignment="1">
      <alignment horizontal="left" vertical="center" wrapText="1"/>
    </xf>
    <xf numFmtId="0" fontId="43" fillId="0" borderId="0" xfId="97" applyFont="1" applyAlignment="1">
      <alignment horizontal="center" vertical="center"/>
    </xf>
    <xf numFmtId="9" fontId="93" fillId="5" borderId="268" xfId="16" applyFont="1" applyFill="1" applyBorder="1" applyAlignment="1">
      <alignment horizontal="center" vertical="center"/>
    </xf>
    <xf numFmtId="0" fontId="61" fillId="68" borderId="52" xfId="103" applyFont="1" applyFill="1" applyBorder="1" applyAlignment="1">
      <alignment horizontal="left" vertical="center" indent="1"/>
    </xf>
    <xf numFmtId="14" fontId="19" fillId="18" borderId="0" xfId="103" applyNumberFormat="1" applyFont="1" applyFill="1" applyAlignment="1">
      <alignment vertical="center"/>
    </xf>
    <xf numFmtId="3" fontId="19" fillId="0" borderId="0" xfId="103" applyNumberFormat="1" applyFont="1" applyAlignment="1">
      <alignment horizontal="right"/>
    </xf>
    <xf numFmtId="0" fontId="39" fillId="11" borderId="75" xfId="0" applyFont="1" applyFill="1" applyBorder="1" applyAlignment="1">
      <alignment vertical="center"/>
    </xf>
    <xf numFmtId="0" fontId="39" fillId="15" borderId="59" xfId="0" applyFont="1" applyFill="1" applyBorder="1" applyAlignment="1">
      <alignment vertical="center"/>
    </xf>
    <xf numFmtId="0" fontId="17" fillId="5" borderId="0" xfId="217" applyFill="1" applyAlignment="1">
      <alignment horizontal="center" vertical="center"/>
    </xf>
    <xf numFmtId="0" fontId="17" fillId="0" borderId="0" xfId="217" applyAlignment="1">
      <alignment horizontal="center" vertical="center"/>
    </xf>
    <xf numFmtId="0" fontId="106" fillId="2" borderId="0" xfId="217" applyFont="1" applyFill="1" applyAlignment="1">
      <alignment horizontal="center" vertical="center"/>
    </xf>
    <xf numFmtId="0" fontId="17" fillId="5" borderId="0" xfId="217" applyFill="1"/>
    <xf numFmtId="178" fontId="95" fillId="0" borderId="291" xfId="217" applyNumberFormat="1" applyFont="1" applyBorder="1" applyAlignment="1">
      <alignment horizontal="center" vertical="center"/>
    </xf>
    <xf numFmtId="4" fontId="95" fillId="0" borderId="291" xfId="217" applyNumberFormat="1" applyFont="1" applyBorder="1" applyAlignment="1">
      <alignment horizontal="center" vertical="center"/>
    </xf>
    <xf numFmtId="179" fontId="152" fillId="2" borderId="291" xfId="217" applyNumberFormat="1" applyFont="1" applyFill="1" applyBorder="1" applyAlignment="1">
      <alignment horizontal="center" vertical="center"/>
    </xf>
    <xf numFmtId="1" fontId="95" fillId="2" borderId="291" xfId="217" applyNumberFormat="1" applyFont="1" applyFill="1" applyBorder="1" applyAlignment="1">
      <alignment horizontal="center" vertical="center"/>
    </xf>
    <xf numFmtId="169" fontId="95" fillId="0" borderId="291" xfId="217" applyNumberFormat="1" applyFont="1" applyBorder="1" applyAlignment="1">
      <alignment horizontal="center" vertical="center"/>
    </xf>
    <xf numFmtId="180" fontId="95" fillId="2" borderId="291" xfId="217" applyNumberFormat="1" applyFont="1" applyFill="1" applyBorder="1" applyAlignment="1">
      <alignment horizontal="center" vertical="center"/>
    </xf>
    <xf numFmtId="4" fontId="78" fillId="5" borderId="291" xfId="217" applyNumberFormat="1" applyFont="1" applyFill="1" applyBorder="1" applyAlignment="1">
      <alignment horizontal="right" vertical="center"/>
    </xf>
    <xf numFmtId="178" fontId="17" fillId="0" borderId="0" xfId="217" applyNumberFormat="1"/>
    <xf numFmtId="0" fontId="153" fillId="0" borderId="0" xfId="217" applyFont="1"/>
    <xf numFmtId="167" fontId="17" fillId="5" borderId="0" xfId="217" applyNumberFormat="1" applyFill="1"/>
    <xf numFmtId="4" fontId="95" fillId="0" borderId="0" xfId="217" applyNumberFormat="1" applyFont="1" applyAlignment="1">
      <alignment horizontal="right" vertical="center"/>
    </xf>
    <xf numFmtId="179" fontId="152" fillId="2" borderId="0" xfId="217" applyNumberFormat="1" applyFont="1" applyFill="1" applyAlignment="1">
      <alignment horizontal="center" vertical="center"/>
    </xf>
    <xf numFmtId="1" fontId="95" fillId="2" borderId="0" xfId="217" applyNumberFormat="1" applyFont="1" applyFill="1" applyAlignment="1">
      <alignment horizontal="center" vertical="center"/>
    </xf>
    <xf numFmtId="169" fontId="78" fillId="2" borderId="0" xfId="217" applyNumberFormat="1" applyFont="1" applyFill="1" applyAlignment="1">
      <alignment horizontal="center" vertical="center"/>
    </xf>
    <xf numFmtId="0" fontId="21" fillId="69" borderId="60" xfId="217" applyFont="1" applyFill="1" applyBorder="1" applyAlignment="1">
      <alignment horizontal="left" vertical="center" indent="1"/>
    </xf>
    <xf numFmtId="0" fontId="21" fillId="69" borderId="61" xfId="217" applyFont="1" applyFill="1" applyBorder="1" applyAlignment="1">
      <alignment horizontal="left" vertical="center" indent="1"/>
    </xf>
    <xf numFmtId="49" fontId="19" fillId="69" borderId="61" xfId="217" applyNumberFormat="1" applyFont="1" applyFill="1" applyBorder="1" applyAlignment="1">
      <alignment horizontal="center" vertical="center"/>
    </xf>
    <xf numFmtId="0" fontId="19" fillId="69" borderId="61" xfId="217" applyFont="1" applyFill="1" applyBorder="1"/>
    <xf numFmtId="4" fontId="19" fillId="69" borderId="61" xfId="217" applyNumberFormat="1" applyFont="1" applyFill="1" applyBorder="1" applyAlignment="1">
      <alignment horizontal="right" vertical="center"/>
    </xf>
    <xf numFmtId="4" fontId="17" fillId="69" borderId="62" xfId="217" applyNumberFormat="1" applyFill="1" applyBorder="1" applyAlignment="1">
      <alignment horizontal="center" vertical="center"/>
    </xf>
    <xf numFmtId="4" fontId="19" fillId="69" borderId="61" xfId="217" applyNumberFormat="1" applyFont="1" applyFill="1" applyBorder="1" applyAlignment="1">
      <alignment horizontal="center" vertical="center"/>
    </xf>
    <xf numFmtId="164" fontId="149" fillId="3" borderId="45" xfId="98" applyFont="1" applyFill="1" applyBorder="1" applyAlignment="1">
      <alignment horizontal="center"/>
    </xf>
    <xf numFmtId="0" fontId="76" fillId="5" borderId="0" xfId="103" applyFont="1" applyFill="1" applyAlignment="1">
      <alignment vertical="center"/>
    </xf>
    <xf numFmtId="14" fontId="17" fillId="5" borderId="0" xfId="103" applyNumberFormat="1" applyFill="1"/>
    <xf numFmtId="0" fontId="100" fillId="18" borderId="0" xfId="208" applyFont="1" applyFill="1" applyAlignment="1">
      <alignment horizontal="left" vertical="center" wrapText="1"/>
    </xf>
    <xf numFmtId="14" fontId="19" fillId="0" borderId="0" xfId="217" applyNumberFormat="1" applyFont="1"/>
    <xf numFmtId="14" fontId="19" fillId="5" borderId="0" xfId="103" applyNumberFormat="1" applyFont="1" applyFill="1"/>
    <xf numFmtId="14" fontId="19" fillId="5" borderId="0" xfId="103" applyNumberFormat="1" applyFont="1" applyFill="1" applyAlignment="1">
      <alignment vertical="center"/>
    </xf>
    <xf numFmtId="0" fontId="36" fillId="0" borderId="119" xfId="97" applyFont="1" applyBorder="1" applyAlignment="1">
      <alignment horizontal="left" vertical="center" wrapText="1"/>
    </xf>
    <xf numFmtId="0" fontId="19" fillId="69" borderId="22" xfId="0" applyFont="1" applyFill="1" applyBorder="1" applyAlignment="1">
      <alignment horizontal="centerContinuous" vertical="center" wrapText="1"/>
    </xf>
    <xf numFmtId="164" fontId="93" fillId="0" borderId="268" xfId="101" applyFont="1" applyFill="1" applyBorder="1" applyAlignment="1">
      <alignment horizontal="center" vertical="center"/>
    </xf>
    <xf numFmtId="0" fontId="88" fillId="16" borderId="291" xfId="217" applyFont="1" applyFill="1" applyBorder="1" applyAlignment="1">
      <alignment horizontal="center" vertical="center" wrapText="1"/>
    </xf>
    <xf numFmtId="0" fontId="78" fillId="70" borderId="291" xfId="217" applyFont="1" applyFill="1" applyBorder="1" applyAlignment="1">
      <alignment horizontal="center" vertical="center" wrapText="1"/>
    </xf>
    <xf numFmtId="0" fontId="76" fillId="0" borderId="0" xfId="103" applyFont="1" applyAlignment="1">
      <alignment vertical="center"/>
    </xf>
    <xf numFmtId="14" fontId="19" fillId="0" borderId="0" xfId="103" applyNumberFormat="1" applyFont="1"/>
    <xf numFmtId="4" fontId="68" fillId="0" borderId="292" xfId="218" applyNumberFormat="1" applyFont="1" applyBorder="1" applyAlignment="1">
      <alignment horizontal="right" vertical="center" indent="1"/>
    </xf>
    <xf numFmtId="4" fontId="17" fillId="0" borderId="293" xfId="218" applyNumberFormat="1" applyBorder="1" applyAlignment="1">
      <alignment horizontal="right" vertical="center" indent="1"/>
    </xf>
    <xf numFmtId="0" fontId="148" fillId="69" borderId="294" xfId="0" applyFont="1" applyFill="1" applyBorder="1" applyAlignment="1">
      <alignment horizontal="center" vertical="center" wrapText="1"/>
    </xf>
    <xf numFmtId="0" fontId="148" fillId="69" borderId="295" xfId="0" applyFont="1" applyFill="1" applyBorder="1" applyAlignment="1">
      <alignment horizontal="center" vertical="center" wrapText="1"/>
    </xf>
    <xf numFmtId="0" fontId="148" fillId="69" borderId="296" xfId="0" applyFont="1" applyFill="1" applyBorder="1" applyAlignment="1">
      <alignment horizontal="center" vertical="center" wrapText="1"/>
    </xf>
    <xf numFmtId="14" fontId="19" fillId="3" borderId="155" xfId="217" applyNumberFormat="1" applyFont="1" applyFill="1" applyBorder="1" applyAlignment="1">
      <alignment horizontal="center" vertical="center"/>
    </xf>
    <xf numFmtId="4" fontId="17" fillId="0" borderId="297" xfId="218" applyNumberFormat="1" applyBorder="1" applyAlignment="1">
      <alignment horizontal="right" vertical="center" indent="1"/>
    </xf>
    <xf numFmtId="14" fontId="63" fillId="3" borderId="160" xfId="217" applyNumberFormat="1" applyFont="1" applyFill="1" applyBorder="1" applyAlignment="1">
      <alignment horizontal="center" vertical="center"/>
    </xf>
    <xf numFmtId="4" fontId="68" fillId="0" borderId="298" xfId="218" applyNumberFormat="1" applyFont="1" applyBorder="1" applyAlignment="1">
      <alignment horizontal="right" vertical="center" indent="1"/>
    </xf>
    <xf numFmtId="14" fontId="63" fillId="3" borderId="299" xfId="217" applyNumberFormat="1" applyFont="1" applyFill="1" applyBorder="1" applyAlignment="1">
      <alignment horizontal="center" vertical="center"/>
    </xf>
    <xf numFmtId="4" fontId="68" fillId="0" borderId="300" xfId="218" applyNumberFormat="1" applyFont="1" applyBorder="1" applyAlignment="1">
      <alignment horizontal="right" vertical="center" indent="1"/>
    </xf>
    <xf numFmtId="4" fontId="68" fillId="0" borderId="301" xfId="218" applyNumberFormat="1" applyFont="1" applyBorder="1" applyAlignment="1">
      <alignment horizontal="right" vertical="center" indent="1"/>
    </xf>
    <xf numFmtId="4" fontId="17" fillId="0" borderId="302" xfId="218" applyNumberFormat="1" applyBorder="1" applyAlignment="1">
      <alignment horizontal="right" vertical="center" indent="1"/>
    </xf>
    <xf numFmtId="4" fontId="68" fillId="0" borderId="303" xfId="218" applyNumberFormat="1" applyFont="1" applyBorder="1" applyAlignment="1">
      <alignment horizontal="right" vertical="center" indent="1"/>
    </xf>
    <xf numFmtId="4" fontId="68" fillId="0" borderId="304" xfId="218" applyNumberFormat="1" applyFont="1" applyBorder="1" applyAlignment="1">
      <alignment horizontal="right" vertical="center" indent="1"/>
    </xf>
    <xf numFmtId="0" fontId="148" fillId="69" borderId="305" xfId="0" applyFont="1" applyFill="1" applyBorder="1" applyAlignment="1">
      <alignment horizontal="center" vertical="center" wrapText="1"/>
    </xf>
    <xf numFmtId="4" fontId="17" fillId="0" borderId="306" xfId="218" applyNumberFormat="1" applyBorder="1" applyAlignment="1">
      <alignment horizontal="right" vertical="center" indent="1"/>
    </xf>
    <xf numFmtId="4" fontId="68" fillId="0" borderId="307" xfId="218" applyNumberFormat="1" applyFont="1" applyBorder="1" applyAlignment="1">
      <alignment horizontal="right" vertical="center" indent="1"/>
    </xf>
    <xf numFmtId="4" fontId="68" fillId="0" borderId="308" xfId="218" applyNumberFormat="1" applyFont="1" applyBorder="1" applyAlignment="1">
      <alignment horizontal="right" vertical="center" indent="1"/>
    </xf>
    <xf numFmtId="0" fontId="148" fillId="69" borderId="7" xfId="0" applyFont="1" applyFill="1" applyBorder="1" applyAlignment="1">
      <alignment horizontal="center" vertical="center" wrapText="1"/>
    </xf>
    <xf numFmtId="10" fontId="1" fillId="0" borderId="0" xfId="216" applyNumberFormat="1" applyFont="1" applyAlignment="1">
      <alignment horizontal="center" vertical="center"/>
    </xf>
    <xf numFmtId="3" fontId="1" fillId="0" borderId="0" xfId="216" applyNumberFormat="1" applyFont="1" applyAlignment="1">
      <alignment horizontal="center" vertical="center"/>
    </xf>
    <xf numFmtId="0" fontId="137" fillId="0" borderId="0" xfId="0" applyFont="1" applyAlignment="1">
      <alignment horizontal="justify" vertical="center"/>
    </xf>
    <xf numFmtId="4" fontId="137" fillId="0" borderId="0" xfId="0" applyNumberFormat="1" applyFont="1" applyAlignment="1">
      <alignment horizontal="right" vertical="center"/>
    </xf>
    <xf numFmtId="10" fontId="1" fillId="0" borderId="0" xfId="0" applyNumberFormat="1" applyFont="1" applyAlignment="1">
      <alignment horizontal="center" vertical="center"/>
    </xf>
    <xf numFmtId="3" fontId="1" fillId="0" borderId="0" xfId="0" applyNumberFormat="1" applyFont="1" applyAlignment="1">
      <alignment horizontal="center" vertical="center"/>
    </xf>
    <xf numFmtId="0" fontId="135" fillId="0" borderId="0" xfId="97" applyFont="1" applyAlignment="1">
      <alignment horizontal="center"/>
    </xf>
    <xf numFmtId="0" fontId="120" fillId="0" borderId="0" xfId="180" applyAlignment="1">
      <alignment horizontal="left" vertical="top" wrapText="1"/>
    </xf>
    <xf numFmtId="0" fontId="132" fillId="0" borderId="0" xfId="97" applyFont="1" applyAlignment="1">
      <alignment horizontal="left" vertical="top" wrapText="1"/>
    </xf>
    <xf numFmtId="0" fontId="132" fillId="0" borderId="0" xfId="97" applyFont="1" applyAlignment="1">
      <alignment vertical="center" wrapText="1"/>
    </xf>
    <xf numFmtId="0" fontId="41" fillId="9" borderId="57" xfId="103" applyFont="1" applyFill="1" applyBorder="1" applyAlignment="1">
      <alignment horizontal="left" vertical="center"/>
    </xf>
    <xf numFmtId="0" fontId="41" fillId="9" borderId="58" xfId="103" applyFont="1" applyFill="1" applyBorder="1" applyAlignment="1">
      <alignment horizontal="left" vertical="center"/>
    </xf>
    <xf numFmtId="0" fontId="41" fillId="9" borderId="59" xfId="103" applyFont="1" applyFill="1" applyBorder="1" applyAlignment="1">
      <alignment horizontal="left" vertical="center"/>
    </xf>
    <xf numFmtId="4" fontId="0" fillId="0" borderId="0" xfId="102" applyNumberFormat="1" applyFont="1" applyAlignment="1">
      <alignment horizontal="right"/>
    </xf>
    <xf numFmtId="4" fontId="78" fillId="69" borderId="2" xfId="102" applyNumberFormat="1" applyFont="1" applyFill="1" applyBorder="1" applyAlignment="1">
      <alignment horizontal="center" vertical="center"/>
    </xf>
    <xf numFmtId="0" fontId="128" fillId="68" borderId="57" xfId="103" applyFont="1" applyFill="1" applyBorder="1" applyAlignment="1">
      <alignment horizontal="left" vertical="center"/>
    </xf>
    <xf numFmtId="0" fontId="128" fillId="68" borderId="58" xfId="103" applyFont="1" applyFill="1" applyBorder="1" applyAlignment="1">
      <alignment horizontal="left" vertical="center"/>
    </xf>
    <xf numFmtId="0" fontId="128" fillId="68" borderId="59" xfId="103" applyFont="1" applyFill="1" applyBorder="1" applyAlignment="1">
      <alignment horizontal="left" vertical="center"/>
    </xf>
    <xf numFmtId="0" fontId="140" fillId="0" borderId="232" xfId="220" applyFont="1" applyBorder="1" applyAlignment="1">
      <alignment horizontal="left" vertical="center" wrapText="1"/>
    </xf>
    <xf numFmtId="0" fontId="140" fillId="0" borderId="85" xfId="220" applyFont="1" applyBorder="1" applyAlignment="1">
      <alignment horizontal="left" vertical="center" wrapText="1"/>
    </xf>
    <xf numFmtId="0" fontId="140" fillId="0" borderId="233" xfId="220" applyFont="1" applyBorder="1" applyAlignment="1">
      <alignment horizontal="left" vertical="center" wrapText="1"/>
    </xf>
    <xf numFmtId="174" fontId="39" fillId="0" borderId="220" xfId="220" applyNumberFormat="1" applyFont="1" applyBorder="1" applyAlignment="1" applyProtection="1">
      <alignment horizontal="left" vertical="center"/>
      <protection locked="0"/>
    </xf>
    <xf numFmtId="174" fontId="39" fillId="0" borderId="221" xfId="220" applyNumberFormat="1" applyFont="1" applyBorder="1" applyAlignment="1" applyProtection="1">
      <alignment horizontal="left" vertical="center"/>
      <protection locked="0"/>
    </xf>
    <xf numFmtId="174" fontId="39" fillId="0" borderId="222" xfId="220" applyNumberFormat="1" applyFont="1" applyBorder="1" applyAlignment="1" applyProtection="1">
      <alignment horizontal="left" vertical="center"/>
      <protection locked="0"/>
    </xf>
    <xf numFmtId="0" fontId="88" fillId="68" borderId="251" xfId="0" applyFont="1" applyFill="1" applyBorder="1" applyAlignment="1">
      <alignment horizontal="left" vertical="center" wrapText="1"/>
    </xf>
    <xf numFmtId="0" fontId="88" fillId="68" borderId="221" xfId="0" applyFont="1" applyFill="1" applyBorder="1" applyAlignment="1">
      <alignment horizontal="left" vertical="center" wrapText="1"/>
    </xf>
    <xf numFmtId="0" fontId="88" fillId="68" borderId="222" xfId="0" applyFont="1" applyFill="1" applyBorder="1" applyAlignment="1">
      <alignment horizontal="left" vertical="center" wrapText="1"/>
    </xf>
    <xf numFmtId="0" fontId="140" fillId="0" borderId="247" xfId="220" applyFont="1" applyBorder="1" applyAlignment="1">
      <alignment horizontal="left" vertical="center" wrapText="1"/>
    </xf>
    <xf numFmtId="0" fontId="140" fillId="0" borderId="248" xfId="220" applyFont="1" applyBorder="1" applyAlignment="1">
      <alignment horizontal="left" vertical="center" wrapText="1"/>
    </xf>
    <xf numFmtId="0" fontId="140" fillId="0" borderId="249" xfId="220" applyFont="1" applyBorder="1" applyAlignment="1">
      <alignment horizontal="left" vertical="center" wrapText="1"/>
    </xf>
    <xf numFmtId="0" fontId="140" fillId="0" borderId="238" xfId="220" applyFont="1" applyBorder="1" applyAlignment="1">
      <alignment horizontal="left" vertical="center" wrapText="1"/>
    </xf>
    <xf numFmtId="0" fontId="140" fillId="0" borderId="239" xfId="220" applyFont="1" applyBorder="1" applyAlignment="1">
      <alignment horizontal="left" vertical="center" wrapText="1"/>
    </xf>
    <xf numFmtId="0" fontId="140" fillId="0" borderId="240" xfId="220" applyFont="1" applyBorder="1" applyAlignment="1">
      <alignment horizontal="left" vertical="center" wrapText="1"/>
    </xf>
    <xf numFmtId="0" fontId="82" fillId="0" borderId="232" xfId="220" applyFont="1" applyBorder="1" applyAlignment="1">
      <alignment horizontal="left" vertical="center" wrapText="1"/>
    </xf>
    <xf numFmtId="0" fontId="82" fillId="0" borderId="85" xfId="220" applyFont="1" applyBorder="1" applyAlignment="1">
      <alignment horizontal="left" vertical="center" wrapText="1"/>
    </xf>
    <xf numFmtId="0" fontId="82" fillId="0" borderId="233" xfId="220" applyFont="1" applyBorder="1" applyAlignment="1">
      <alignment horizontal="left" vertical="center" wrapText="1"/>
    </xf>
    <xf numFmtId="0" fontId="82" fillId="0" borderId="228" xfId="220" applyFont="1" applyBorder="1" applyAlignment="1">
      <alignment horizontal="left" vertical="center" wrapText="1"/>
    </xf>
    <xf numFmtId="0" fontId="82" fillId="0" borderId="229" xfId="220" applyFont="1" applyBorder="1" applyAlignment="1">
      <alignment horizontal="left" vertical="center" wrapText="1"/>
    </xf>
    <xf numFmtId="0" fontId="82" fillId="0" borderId="230" xfId="220" applyFont="1" applyBorder="1" applyAlignment="1">
      <alignment horizontal="left" vertical="center" wrapText="1"/>
    </xf>
    <xf numFmtId="0" fontId="76" fillId="5" borderId="0" xfId="103" applyFont="1" applyFill="1" applyAlignment="1">
      <alignment horizontal="center" vertical="center"/>
    </xf>
    <xf numFmtId="0" fontId="140" fillId="0" borderId="228" xfId="220" applyFont="1" applyBorder="1" applyAlignment="1">
      <alignment horizontal="left" vertical="center" wrapText="1"/>
    </xf>
    <xf numFmtId="0" fontId="140" fillId="0" borderId="229" xfId="220" applyFont="1" applyBorder="1" applyAlignment="1">
      <alignment horizontal="left" vertical="center" wrapText="1"/>
    </xf>
    <xf numFmtId="0" fontId="140" fillId="0" borderId="230" xfId="220" applyFont="1" applyBorder="1" applyAlignment="1">
      <alignment horizontal="left" vertical="center" wrapText="1"/>
    </xf>
    <xf numFmtId="0" fontId="140" fillId="0" borderId="244" xfId="220" applyFont="1" applyBorder="1" applyAlignment="1">
      <alignment horizontal="left" vertical="center" wrapText="1"/>
    </xf>
    <xf numFmtId="0" fontId="140" fillId="0" borderId="245" xfId="220" applyFont="1" applyBorder="1" applyAlignment="1">
      <alignment horizontal="left" vertical="center" wrapText="1"/>
    </xf>
    <xf numFmtId="0" fontId="140" fillId="0" borderId="246" xfId="220" applyFont="1" applyBorder="1" applyAlignment="1">
      <alignment horizontal="left" vertical="center" wrapText="1"/>
    </xf>
    <xf numFmtId="164" fontId="75" fillId="62" borderId="10" xfId="79" applyFont="1" applyFill="1" applyBorder="1" applyAlignment="1">
      <alignment horizontal="center" vertical="center" wrapText="1"/>
    </xf>
    <xf numFmtId="164" fontId="75" fillId="62" borderId="176" xfId="79" applyFont="1" applyFill="1" applyBorder="1" applyAlignment="1">
      <alignment horizontal="center" vertical="center" wrapText="1"/>
    </xf>
    <xf numFmtId="164" fontId="75" fillId="62" borderId="192" xfId="79" applyFont="1" applyFill="1" applyBorder="1" applyAlignment="1">
      <alignment horizontal="center" vertical="center" wrapText="1"/>
    </xf>
    <xf numFmtId="164" fontId="75" fillId="62" borderId="193" xfId="79" applyFont="1" applyFill="1" applyBorder="1" applyAlignment="1">
      <alignment horizontal="center" vertical="center" wrapText="1"/>
    </xf>
    <xf numFmtId="164" fontId="134" fillId="17" borderId="192" xfId="79" applyFont="1" applyFill="1" applyBorder="1" applyAlignment="1">
      <alignment horizontal="center" vertical="center" wrapText="1"/>
    </xf>
    <xf numFmtId="164" fontId="134" fillId="17" borderId="193" xfId="79" applyFont="1" applyFill="1" applyBorder="1" applyAlignment="1">
      <alignment horizontal="center" vertical="center" wrapText="1"/>
    </xf>
    <xf numFmtId="164" fontId="134" fillId="17" borderId="10" xfId="79" applyFont="1" applyFill="1" applyBorder="1" applyAlignment="1">
      <alignment horizontal="center" vertical="center" wrapText="1"/>
    </xf>
    <xf numFmtId="164" fontId="134" fillId="17" borderId="176" xfId="79" applyFont="1" applyFill="1" applyBorder="1" applyAlignment="1">
      <alignment horizontal="center" vertical="center" wrapText="1"/>
    </xf>
    <xf numFmtId="164" fontId="134" fillId="17" borderId="173" xfId="79" applyFont="1" applyFill="1" applyBorder="1" applyAlignment="1">
      <alignment horizontal="center" vertical="center" wrapText="1"/>
    </xf>
    <xf numFmtId="164" fontId="134" fillId="17" borderId="175" xfId="79" applyFont="1" applyFill="1" applyBorder="1" applyAlignment="1">
      <alignment horizontal="center" vertical="center" wrapText="1"/>
    </xf>
    <xf numFmtId="164" fontId="75" fillId="62" borderId="174" xfId="79" applyFont="1" applyFill="1" applyBorder="1" applyAlignment="1">
      <alignment horizontal="center" vertical="center" wrapText="1"/>
    </xf>
    <xf numFmtId="164" fontId="75" fillId="62" borderId="177" xfId="79" applyFont="1" applyFill="1" applyBorder="1" applyAlignment="1">
      <alignment horizontal="center" vertical="center" wrapText="1"/>
    </xf>
    <xf numFmtId="164" fontId="17" fillId="0" borderId="24" xfId="79" applyFont="1" applyBorder="1" applyAlignment="1">
      <alignment horizontal="center" vertical="center" wrapText="1"/>
    </xf>
    <xf numFmtId="164" fontId="17" fillId="0" borderId="27" xfId="79" applyFont="1" applyBorder="1" applyAlignment="1">
      <alignment horizontal="center" vertical="center" wrapText="1"/>
    </xf>
    <xf numFmtId="164" fontId="75" fillId="62" borderId="173" xfId="79" applyFont="1" applyFill="1" applyBorder="1" applyAlignment="1">
      <alignment horizontal="center" vertical="center" wrapText="1"/>
    </xf>
    <xf numFmtId="164" fontId="75" fillId="62" borderId="175" xfId="79" applyFont="1" applyFill="1" applyBorder="1" applyAlignment="1">
      <alignment horizontal="center" vertical="center" wrapText="1"/>
    </xf>
    <xf numFmtId="0" fontId="61" fillId="63" borderId="19" xfId="0" applyFont="1" applyFill="1" applyBorder="1" applyAlignment="1">
      <alignment horizontal="center" vertical="center"/>
    </xf>
    <xf numFmtId="0" fontId="61" fillId="63" borderId="21" xfId="0" applyFont="1" applyFill="1" applyBorder="1" applyAlignment="1">
      <alignment horizontal="center" vertical="center"/>
    </xf>
    <xf numFmtId="0" fontId="61" fillId="63" borderId="20" xfId="0" applyFont="1" applyFill="1" applyBorder="1" applyAlignment="1">
      <alignment horizontal="center" vertical="center"/>
    </xf>
    <xf numFmtId="0" fontId="61" fillId="63" borderId="15" xfId="0" applyFont="1" applyFill="1" applyBorder="1" applyAlignment="1">
      <alignment horizontal="center" vertical="center"/>
    </xf>
    <xf numFmtId="0" fontId="61" fillId="63" borderId="12" xfId="0" applyFont="1" applyFill="1" applyBorder="1" applyAlignment="1">
      <alignment horizontal="center" vertical="center"/>
    </xf>
    <xf numFmtId="0" fontId="61" fillId="63" borderId="29" xfId="0" applyFont="1" applyFill="1" applyBorder="1" applyAlignment="1">
      <alignment horizontal="center" vertical="center"/>
    </xf>
    <xf numFmtId="164" fontId="134" fillId="17" borderId="174" xfId="79" applyFont="1" applyFill="1" applyBorder="1" applyAlignment="1">
      <alignment horizontal="center" vertical="center" wrapText="1"/>
    </xf>
    <xf numFmtId="164" fontId="134" fillId="17" borderId="177" xfId="79" applyFont="1" applyFill="1" applyBorder="1" applyAlignment="1">
      <alignment horizontal="center" vertical="center" wrapText="1"/>
    </xf>
    <xf numFmtId="164" fontId="134" fillId="64" borderId="173" xfId="79" applyFont="1" applyFill="1" applyBorder="1" applyAlignment="1">
      <alignment horizontal="center" vertical="center" wrapText="1"/>
    </xf>
    <xf numFmtId="164" fontId="134" fillId="64" borderId="175" xfId="79" applyFont="1" applyFill="1" applyBorder="1" applyAlignment="1">
      <alignment horizontal="center" vertical="center" wrapText="1"/>
    </xf>
    <xf numFmtId="164" fontId="134" fillId="64" borderId="10" xfId="79" applyFont="1" applyFill="1" applyBorder="1" applyAlignment="1">
      <alignment horizontal="center" vertical="center" wrapText="1"/>
    </xf>
    <xf numFmtId="164" fontId="134" fillId="64" borderId="176" xfId="79" applyFont="1" applyFill="1" applyBorder="1" applyAlignment="1">
      <alignment horizontal="center" vertical="center" wrapText="1"/>
    </xf>
    <xf numFmtId="164" fontId="134" fillId="64" borderId="174" xfId="79" applyFont="1" applyFill="1" applyBorder="1" applyAlignment="1">
      <alignment horizontal="center" vertical="center" wrapText="1"/>
    </xf>
    <xf numFmtId="164" fontId="134" fillId="64" borderId="177" xfId="79" applyFont="1" applyFill="1" applyBorder="1" applyAlignment="1">
      <alignment horizontal="center" vertical="center" wrapText="1"/>
    </xf>
    <xf numFmtId="164" fontId="134" fillId="64" borderId="24" xfId="79" applyFont="1" applyFill="1" applyBorder="1" applyAlignment="1">
      <alignment horizontal="center" vertical="center" wrapText="1"/>
    </xf>
    <xf numFmtId="164" fontId="134" fillId="64" borderId="27" xfId="79" applyFont="1" applyFill="1" applyBorder="1" applyAlignment="1">
      <alignment horizontal="center" vertical="center" wrapText="1"/>
    </xf>
    <xf numFmtId="164" fontId="134" fillId="64" borderId="198" xfId="79" applyFont="1" applyFill="1" applyBorder="1" applyAlignment="1">
      <alignment horizontal="center" vertical="center" wrapText="1"/>
    </xf>
    <xf numFmtId="164" fontId="134" fillId="64" borderId="199" xfId="79" applyFont="1" applyFill="1" applyBorder="1" applyAlignment="1">
      <alignment horizontal="center" vertical="center" wrapText="1"/>
    </xf>
    <xf numFmtId="0" fontId="78" fillId="69" borderId="24" xfId="0" applyFont="1" applyFill="1" applyBorder="1" applyAlignment="1">
      <alignment horizontal="center" vertical="center" wrapText="1"/>
    </xf>
    <xf numFmtId="0" fontId="78" fillId="69" borderId="25" xfId="0" applyFont="1" applyFill="1" applyBorder="1" applyAlignment="1">
      <alignment horizontal="center" vertical="center" wrapText="1"/>
    </xf>
    <xf numFmtId="0" fontId="78" fillId="69" borderId="27" xfId="0" applyFont="1" applyFill="1" applyBorder="1" applyAlignment="1">
      <alignment horizontal="center" vertical="center" wrapText="1"/>
    </xf>
    <xf numFmtId="0" fontId="78" fillId="11" borderId="63" xfId="217" applyFont="1" applyFill="1" applyBorder="1" applyAlignment="1">
      <alignment horizontal="center" vertical="center" wrapText="1"/>
    </xf>
    <xf numFmtId="0" fontId="78" fillId="11" borderId="64" xfId="217" applyFont="1" applyFill="1" applyBorder="1" applyAlignment="1">
      <alignment horizontal="center" vertical="center" wrapText="1"/>
    </xf>
    <xf numFmtId="0" fontId="41" fillId="68" borderId="277" xfId="222" applyFont="1" applyFill="1" applyBorder="1" applyAlignment="1">
      <alignment horizontal="left"/>
    </xf>
    <xf numFmtId="0" fontId="41" fillId="68" borderId="0" xfId="222" applyFont="1" applyFill="1" applyAlignment="1">
      <alignment horizontal="left"/>
    </xf>
    <xf numFmtId="0" fontId="21" fillId="69" borderId="60" xfId="217" applyFont="1" applyFill="1" applyBorder="1" applyAlignment="1">
      <alignment horizontal="center" vertical="center"/>
    </xf>
    <xf numFmtId="0" fontId="21" fillId="69" borderId="61" xfId="217" applyFont="1" applyFill="1" applyBorder="1" applyAlignment="1">
      <alignment horizontal="center" vertical="center"/>
    </xf>
    <xf numFmtId="0" fontId="21" fillId="69" borderId="62" xfId="217" applyFont="1" applyFill="1" applyBorder="1" applyAlignment="1">
      <alignment horizontal="center" vertical="center"/>
    </xf>
    <xf numFmtId="0" fontId="78" fillId="69" borderId="214" xfId="217" applyFont="1" applyFill="1" applyBorder="1" applyAlignment="1">
      <alignment horizontal="center" vertical="center" wrapText="1"/>
    </xf>
    <xf numFmtId="0" fontId="78" fillId="69" borderId="77" xfId="217" applyFont="1" applyFill="1" applyBorder="1" applyAlignment="1">
      <alignment horizontal="center" vertical="center" wrapText="1"/>
    </xf>
    <xf numFmtId="0" fontId="78" fillId="69" borderId="78" xfId="217" applyFont="1" applyFill="1" applyBorder="1" applyAlignment="1">
      <alignment horizontal="center" vertical="center" wrapText="1"/>
    </xf>
    <xf numFmtId="0" fontId="78" fillId="70" borderId="291" xfId="217" applyFont="1" applyFill="1" applyBorder="1" applyAlignment="1">
      <alignment horizontal="center" vertical="center" wrapText="1"/>
    </xf>
    <xf numFmtId="0" fontId="78" fillId="70" borderId="291" xfId="217" applyFont="1" applyFill="1" applyBorder="1" applyAlignment="1">
      <alignment horizontal="center" vertical="center"/>
    </xf>
    <xf numFmtId="0" fontId="19" fillId="70" borderId="291" xfId="217" applyFont="1" applyFill="1" applyBorder="1" applyAlignment="1">
      <alignment horizontal="center" vertical="center"/>
    </xf>
    <xf numFmtId="0" fontId="41" fillId="68" borderId="153" xfId="225" applyFont="1" applyFill="1" applyBorder="1" applyAlignment="1">
      <alignment horizontal="left"/>
    </xf>
    <xf numFmtId="0" fontId="41" fillId="68" borderId="154" xfId="225" applyFont="1" applyFill="1" applyBorder="1" applyAlignment="1">
      <alignment horizontal="left"/>
    </xf>
    <xf numFmtId="0" fontId="19" fillId="5" borderId="0" xfId="217" applyFont="1" applyFill="1" applyAlignment="1">
      <alignment horizontal="center" vertical="center" wrapText="1"/>
    </xf>
    <xf numFmtId="0" fontId="19" fillId="5" borderId="290" xfId="217" applyFont="1" applyFill="1" applyBorder="1" applyAlignment="1">
      <alignment horizontal="center" vertical="center" wrapText="1"/>
    </xf>
    <xf numFmtId="0" fontId="88" fillId="16" borderId="291" xfId="217" applyFont="1" applyFill="1" applyBorder="1" applyAlignment="1">
      <alignment horizontal="center" vertical="center" wrapText="1"/>
    </xf>
    <xf numFmtId="0" fontId="88" fillId="16" borderId="291" xfId="217" applyFont="1" applyFill="1" applyBorder="1" applyAlignment="1">
      <alignment horizontal="center" vertical="center"/>
    </xf>
    <xf numFmtId="0" fontId="61" fillId="16" borderId="291" xfId="217" applyFont="1" applyFill="1" applyBorder="1" applyAlignment="1">
      <alignment horizontal="center" vertical="center"/>
    </xf>
    <xf numFmtId="0" fontId="84" fillId="5" borderId="49" xfId="103" applyFont="1" applyFill="1" applyBorder="1" applyAlignment="1">
      <alignment horizontal="left" vertical="center" wrapText="1" indent="1"/>
    </xf>
    <xf numFmtId="0" fontId="84" fillId="5" borderId="50" xfId="103" applyFont="1" applyFill="1" applyBorder="1" applyAlignment="1">
      <alignment horizontal="left" vertical="center" wrapText="1" indent="1"/>
    </xf>
    <xf numFmtId="0" fontId="84" fillId="5" borderId="51" xfId="103" applyFont="1" applyFill="1" applyBorder="1" applyAlignment="1">
      <alignment horizontal="left" vertical="center" wrapText="1" indent="1"/>
    </xf>
    <xf numFmtId="0" fontId="84" fillId="0" borderId="49" xfId="103" applyFont="1" applyBorder="1" applyAlignment="1">
      <alignment horizontal="left" vertical="center" wrapText="1" indent="1"/>
    </xf>
    <xf numFmtId="0" fontId="84" fillId="0" borderId="50" xfId="103" applyFont="1" applyBorder="1" applyAlignment="1">
      <alignment horizontal="left" vertical="center" wrapText="1" indent="1"/>
    </xf>
    <xf numFmtId="0" fontId="84" fillId="0" borderId="51" xfId="103" applyFont="1" applyBorder="1" applyAlignment="1">
      <alignment horizontal="left" vertical="center" wrapText="1" indent="1"/>
    </xf>
    <xf numFmtId="0" fontId="81" fillId="0" borderId="49" xfId="103" applyFont="1" applyBorder="1" applyAlignment="1">
      <alignment horizontal="left" vertical="center" wrapText="1" indent="1"/>
    </xf>
    <xf numFmtId="0" fontId="81" fillId="0" borderId="50" xfId="103" applyFont="1" applyBorder="1" applyAlignment="1">
      <alignment horizontal="left" vertical="center" wrapText="1" indent="1"/>
    </xf>
    <xf numFmtId="0" fontId="81" fillId="0" borderId="51" xfId="103" applyFont="1" applyBorder="1" applyAlignment="1">
      <alignment horizontal="left" vertical="center" wrapText="1" indent="1"/>
    </xf>
    <xf numFmtId="0" fontId="77" fillId="11" borderId="272" xfId="103" applyFont="1" applyFill="1" applyBorder="1" applyAlignment="1">
      <alignment horizontal="left" vertical="center" indent="1"/>
    </xf>
    <xf numFmtId="0" fontId="77" fillId="11" borderId="0" xfId="103" applyFont="1" applyFill="1" applyAlignment="1">
      <alignment horizontal="left" vertical="center" indent="1"/>
    </xf>
    <xf numFmtId="0" fontId="69" fillId="69" borderId="285" xfId="103" applyFont="1" applyFill="1" applyBorder="1" applyAlignment="1">
      <alignment horizontal="right" vertical="center"/>
    </xf>
    <xf numFmtId="0" fontId="69" fillId="69" borderId="286" xfId="103" applyFont="1" applyFill="1" applyBorder="1" applyAlignment="1">
      <alignment horizontal="right" vertical="center"/>
    </xf>
    <xf numFmtId="0" fontId="69" fillId="69" borderId="287" xfId="103" applyFont="1" applyFill="1" applyBorder="1" applyAlignment="1">
      <alignment horizontal="right" vertical="center"/>
    </xf>
    <xf numFmtId="0" fontId="77" fillId="6" borderId="272" xfId="103" applyFont="1" applyFill="1" applyBorder="1" applyAlignment="1">
      <alignment horizontal="left" vertical="center" indent="1"/>
    </xf>
    <xf numFmtId="0" fontId="77" fillId="6" borderId="0" xfId="103" applyFont="1" applyFill="1" applyAlignment="1">
      <alignment horizontal="left" vertical="center" indent="1"/>
    </xf>
    <xf numFmtId="3" fontId="78" fillId="0" borderId="161" xfId="0" applyNumberFormat="1" applyFont="1" applyBorder="1" applyAlignment="1">
      <alignment horizontal="center" vertical="center" wrapText="1"/>
    </xf>
    <xf numFmtId="3" fontId="78" fillId="0" borderId="159" xfId="0" applyNumberFormat="1" applyFont="1" applyBorder="1" applyAlignment="1">
      <alignment horizontal="center" vertical="center" wrapText="1"/>
    </xf>
    <xf numFmtId="0" fontId="128" fillId="68" borderId="153" xfId="206" applyFont="1" applyFill="1" applyBorder="1" applyAlignment="1">
      <alignment horizontal="left"/>
    </xf>
    <xf numFmtId="0" fontId="128" fillId="68" borderId="154" xfId="206" applyFont="1" applyFill="1" applyBorder="1" applyAlignment="1">
      <alignment horizontal="left"/>
    </xf>
    <xf numFmtId="3" fontId="78" fillId="5" borderId="10" xfId="0" applyNumberFormat="1" applyFont="1" applyFill="1" applyBorder="1" applyAlignment="1">
      <alignment horizontal="center" vertical="center" wrapText="1"/>
    </xf>
    <xf numFmtId="3" fontId="78" fillId="5" borderId="159" xfId="0" applyNumberFormat="1" applyFont="1" applyFill="1" applyBorder="1" applyAlignment="1">
      <alignment horizontal="center" vertical="center" wrapText="1"/>
    </xf>
    <xf numFmtId="167" fontId="78" fillId="0" borderId="288" xfId="0" applyNumberFormat="1" applyFont="1" applyBorder="1" applyAlignment="1">
      <alignment horizontal="center" vertical="center" wrapText="1"/>
    </xf>
    <xf numFmtId="167" fontId="78" fillId="0" borderId="289" xfId="0" applyNumberFormat="1" applyFont="1" applyBorder="1" applyAlignment="1">
      <alignment horizontal="center" vertical="center" wrapText="1"/>
    </xf>
    <xf numFmtId="0" fontId="151" fillId="69" borderId="1" xfId="103" applyFont="1" applyFill="1" applyBorder="1" applyAlignment="1">
      <alignment horizontal="right" vertical="center"/>
    </xf>
    <xf numFmtId="0" fontId="151" fillId="69" borderId="9" xfId="103" applyFont="1" applyFill="1" applyBorder="1" applyAlignment="1">
      <alignment horizontal="right" vertical="center"/>
    </xf>
    <xf numFmtId="0" fontId="151" fillId="69" borderId="14" xfId="103" applyFont="1" applyFill="1" applyBorder="1" applyAlignment="1">
      <alignment horizontal="right" vertical="center"/>
    </xf>
    <xf numFmtId="0" fontId="77" fillId="4" borderId="21" xfId="103" applyFont="1" applyFill="1" applyBorder="1" applyAlignment="1">
      <alignment horizontal="left" vertical="center" indent="1"/>
    </xf>
    <xf numFmtId="0" fontId="38" fillId="4" borderId="21" xfId="103" applyFont="1" applyFill="1" applyBorder="1" applyAlignment="1">
      <alignment horizontal="left" vertical="center" indent="1"/>
    </xf>
    <xf numFmtId="0" fontId="77" fillId="4" borderId="0" xfId="103" applyFont="1" applyFill="1" applyAlignment="1">
      <alignment horizontal="left" vertical="center" indent="1"/>
    </xf>
    <xf numFmtId="0" fontId="38" fillId="4" borderId="0" xfId="103" applyFont="1" applyFill="1" applyAlignment="1">
      <alignment horizontal="left" vertical="center" indent="1"/>
    </xf>
    <xf numFmtId="0" fontId="150" fillId="69" borderId="17" xfId="103" applyFont="1" applyFill="1" applyBorder="1" applyAlignment="1">
      <alignment horizontal="right" vertical="center"/>
    </xf>
    <xf numFmtId="0" fontId="150" fillId="69" borderId="9" xfId="103" applyFont="1" applyFill="1" applyBorder="1" applyAlignment="1">
      <alignment horizontal="right" vertical="center"/>
    </xf>
    <xf numFmtId="0" fontId="150" fillId="69" borderId="14" xfId="103" applyFont="1" applyFill="1" applyBorder="1" applyAlignment="1">
      <alignment horizontal="right" vertical="center"/>
    </xf>
    <xf numFmtId="0" fontId="88" fillId="12" borderId="215" xfId="0" applyFont="1" applyFill="1" applyBorder="1" applyAlignment="1">
      <alignment horizontal="center" vertical="center" wrapText="1"/>
    </xf>
    <xf numFmtId="0" fontId="88" fillId="12" borderId="216" xfId="0" applyFont="1" applyFill="1" applyBorder="1" applyAlignment="1">
      <alignment horizontal="center" vertical="center" wrapText="1"/>
    </xf>
    <xf numFmtId="0" fontId="128" fillId="68" borderId="129" xfId="103" applyFont="1" applyFill="1" applyBorder="1" applyAlignment="1">
      <alignment horizontal="left" vertical="center"/>
    </xf>
    <xf numFmtId="0" fontId="128" fillId="68" borderId="130" xfId="103" applyFont="1" applyFill="1" applyBorder="1" applyAlignment="1">
      <alignment horizontal="left" vertical="center"/>
    </xf>
    <xf numFmtId="0" fontId="39" fillId="69" borderId="57" xfId="0" applyFont="1" applyFill="1" applyBorder="1" applyAlignment="1">
      <alignment horizontal="center" vertical="center"/>
    </xf>
    <xf numFmtId="0" fontId="97" fillId="69" borderId="58" xfId="0" applyFont="1" applyFill="1" applyBorder="1" applyAlignment="1">
      <alignment horizontal="center" vertical="center"/>
    </xf>
    <xf numFmtId="0" fontId="97" fillId="69" borderId="59" xfId="0" applyFont="1" applyFill="1" applyBorder="1" applyAlignment="1">
      <alignment horizontal="center" vertical="center"/>
    </xf>
    <xf numFmtId="0" fontId="39" fillId="69" borderId="87" xfId="0" applyFont="1" applyFill="1" applyBorder="1" applyAlignment="1">
      <alignment horizontal="center" vertical="center"/>
    </xf>
    <xf numFmtId="0" fontId="97" fillId="69" borderId="88" xfId="0" applyFont="1" applyFill="1" applyBorder="1" applyAlignment="1">
      <alignment horizontal="center" vertical="center"/>
    </xf>
    <xf numFmtId="0" fontId="97" fillId="69" borderId="99" xfId="0" applyFont="1" applyFill="1" applyBorder="1" applyAlignment="1">
      <alignment horizontal="center" vertical="center"/>
    </xf>
    <xf numFmtId="0" fontId="104" fillId="0" borderId="169" xfId="97" applyFont="1" applyBorder="1" applyAlignment="1">
      <alignment vertical="center" wrapText="1"/>
    </xf>
    <xf numFmtId="0" fontId="104" fillId="0" borderId="170" xfId="97" applyFont="1" applyBorder="1" applyAlignment="1">
      <alignment vertical="center" wrapText="1"/>
    </xf>
    <xf numFmtId="0" fontId="104" fillId="0" borderId="167" xfId="97" applyFont="1" applyBorder="1" applyAlignment="1">
      <alignment vertical="center" wrapText="1"/>
    </xf>
    <xf numFmtId="0" fontId="104" fillId="0" borderId="168" xfId="97" applyFont="1" applyBorder="1" applyAlignment="1">
      <alignment vertical="center" wrapText="1"/>
    </xf>
    <xf numFmtId="0" fontId="104" fillId="0" borderId="166" xfId="97" applyFont="1" applyBorder="1" applyAlignment="1">
      <alignment vertical="center" wrapText="1"/>
    </xf>
    <xf numFmtId="0" fontId="104" fillId="0" borderId="126" xfId="97" applyFont="1" applyBorder="1" applyAlignment="1">
      <alignment vertical="center" wrapText="1"/>
    </xf>
    <xf numFmtId="0" fontId="104" fillId="0" borderId="73" xfId="97" applyFont="1" applyBorder="1" applyAlignment="1">
      <alignment horizontal="left" vertical="center" wrapText="1"/>
    </xf>
    <xf numFmtId="0" fontId="104" fillId="0" borderId="75" xfId="97" applyFont="1" applyBorder="1" applyAlignment="1">
      <alignment horizontal="left" vertical="center" wrapText="1"/>
    </xf>
    <xf numFmtId="0" fontId="104" fillId="0" borderId="188" xfId="97" applyFont="1" applyBorder="1" applyAlignment="1">
      <alignment vertical="center" wrapText="1"/>
    </xf>
    <xf numFmtId="0" fontId="104" fillId="0" borderId="180" xfId="97" applyFont="1" applyBorder="1" applyAlignment="1">
      <alignment vertical="center" wrapText="1"/>
    </xf>
    <xf numFmtId="0" fontId="104" fillId="0" borderId="121" xfId="97" applyFont="1" applyBorder="1" applyAlignment="1">
      <alignment vertical="center" wrapText="1"/>
    </xf>
    <xf numFmtId="0" fontId="104" fillId="0" borderId="122" xfId="97" applyFont="1" applyBorder="1" applyAlignment="1">
      <alignment vertical="center" wrapText="1"/>
    </xf>
    <xf numFmtId="0" fontId="104" fillId="0" borderId="187" xfId="97" applyFont="1" applyBorder="1" applyAlignment="1">
      <alignment vertical="center" wrapText="1"/>
    </xf>
    <xf numFmtId="0" fontId="104" fillId="0" borderId="178" xfId="97" applyFont="1" applyBorder="1" applyAlignment="1">
      <alignment vertical="center" wrapText="1"/>
    </xf>
    <xf numFmtId="4" fontId="59" fillId="0" borderId="134" xfId="102" applyNumberFormat="1" applyFont="1" applyBorder="1" applyAlignment="1">
      <alignment horizontal="left" vertical="center" wrapText="1"/>
    </xf>
    <xf numFmtId="4" fontId="59" fillId="0" borderId="135" xfId="102" applyNumberFormat="1" applyFont="1" applyBorder="1" applyAlignment="1">
      <alignment horizontal="left" vertical="center" wrapText="1"/>
    </xf>
    <xf numFmtId="4" fontId="101" fillId="69" borderId="0" xfId="102" applyNumberFormat="1" applyFont="1" applyFill="1" applyAlignment="1">
      <alignment horizontal="left" vertical="center" wrapText="1"/>
    </xf>
    <xf numFmtId="4" fontId="101" fillId="69" borderId="0" xfId="102" applyNumberFormat="1" applyFont="1" applyFill="1" applyAlignment="1">
      <alignment horizontal="left" vertical="center"/>
    </xf>
    <xf numFmtId="0" fontId="41" fillId="9" borderId="129" xfId="103" applyFont="1" applyFill="1" applyBorder="1" applyAlignment="1">
      <alignment horizontal="left" vertical="center"/>
    </xf>
    <xf numFmtId="0" fontId="41" fillId="9" borderId="130" xfId="103" applyFont="1" applyFill="1" applyBorder="1" applyAlignment="1">
      <alignment horizontal="left" vertical="center"/>
    </xf>
    <xf numFmtId="0" fontId="155" fillId="0" borderId="7" xfId="207" applyFont="1" applyBorder="1" applyAlignment="1">
      <alignment horizontal="center" vertical="center"/>
    </xf>
    <xf numFmtId="0" fontId="155" fillId="0" borderId="8" xfId="207" applyFont="1" applyBorder="1" applyAlignment="1">
      <alignment horizontal="center" vertical="center"/>
    </xf>
    <xf numFmtId="0" fontId="155" fillId="0" borderId="11" xfId="207" applyFont="1" applyBorder="1" applyAlignment="1">
      <alignment horizontal="center" vertical="center"/>
    </xf>
    <xf numFmtId="4" fontId="155" fillId="0" borderId="7" xfId="207" applyNumberFormat="1" applyFont="1" applyBorder="1" applyAlignment="1">
      <alignment horizontal="centerContinuous" vertical="center"/>
    </xf>
    <xf numFmtId="4" fontId="155" fillId="0" borderId="8" xfId="207" applyNumberFormat="1" applyFont="1" applyBorder="1" applyAlignment="1">
      <alignment horizontal="centerContinuous" vertical="center"/>
    </xf>
    <xf numFmtId="4" fontId="155" fillId="0" borderId="11" xfId="207" applyNumberFormat="1" applyFont="1" applyBorder="1" applyAlignment="1">
      <alignment horizontal="centerContinuous" vertical="center"/>
    </xf>
    <xf numFmtId="14" fontId="155" fillId="0" borderId="15" xfId="207" applyNumberFormat="1" applyFont="1" applyBorder="1" applyAlignment="1">
      <alignment horizontal="center" vertical="center"/>
    </xf>
    <xf numFmtId="14" fontId="155" fillId="0" borderId="12" xfId="207" applyNumberFormat="1" applyFont="1" applyBorder="1" applyAlignment="1">
      <alignment horizontal="center" vertical="center"/>
    </xf>
    <xf numFmtId="14" fontId="155" fillId="0" borderId="29" xfId="207" applyNumberFormat="1" applyFont="1" applyBorder="1" applyAlignment="1">
      <alignment horizontal="center" vertical="center"/>
    </xf>
    <xf numFmtId="0" fontId="17" fillId="0" borderId="0" xfId="207" applyAlignment="1"/>
    <xf numFmtId="14" fontId="17" fillId="0" borderId="173" xfId="207" applyNumberFormat="1" applyBorder="1" applyAlignment="1">
      <alignment horizontal="center" vertical="center" wrapText="1"/>
    </xf>
    <xf numFmtId="0" fontId="17" fillId="0" borderId="24" xfId="207" applyBorder="1" applyAlignment="1">
      <alignment horizontal="center" vertical="center" wrapText="1"/>
    </xf>
    <xf numFmtId="4" fontId="0" fillId="0" borderId="173" xfId="215" applyNumberFormat="1" applyFont="1" applyBorder="1" applyAlignment="1">
      <alignment horizontal="center" vertical="center" wrapText="1"/>
    </xf>
    <xf numFmtId="4" fontId="17" fillId="0" borderId="173"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4" fontId="0" fillId="0" borderId="309" xfId="215" applyNumberFormat="1" applyFont="1" applyBorder="1" applyAlignment="1">
      <alignment horizontal="center" vertical="center"/>
    </xf>
    <xf numFmtId="4" fontId="0" fillId="0" borderId="310" xfId="215" applyNumberFormat="1" applyFont="1" applyBorder="1" applyAlignment="1">
      <alignment horizontal="center" vertical="center"/>
    </xf>
    <xf numFmtId="4" fontId="0" fillId="0" borderId="311" xfId="215" applyNumberFormat="1" applyFont="1" applyBorder="1" applyAlignment="1">
      <alignment horizontal="center" vertical="center"/>
    </xf>
    <xf numFmtId="4" fontId="0" fillId="0" borderId="192" xfId="215" applyNumberFormat="1" applyFont="1" applyBorder="1" applyAlignment="1">
      <alignment horizontal="center" vertical="center" wrapText="1"/>
    </xf>
    <xf numFmtId="4" fontId="17" fillId="0" borderId="312" xfId="207" applyNumberFormat="1" applyBorder="1" applyAlignment="1">
      <alignment horizontal="center" vertical="center" wrapText="1"/>
    </xf>
    <xf numFmtId="4" fontId="17" fillId="0" borderId="310" xfId="207" applyNumberFormat="1" applyBorder="1" applyAlignment="1">
      <alignment horizontal="center" vertical="center" wrapText="1"/>
    </xf>
    <xf numFmtId="4" fontId="17" fillId="0" borderId="311" xfId="207" applyNumberFormat="1" applyBorder="1" applyAlignment="1">
      <alignment horizontal="center" vertical="center" wrapText="1"/>
    </xf>
    <xf numFmtId="4" fontId="17" fillId="0" borderId="313" xfId="207" applyNumberFormat="1" applyBorder="1" applyAlignment="1">
      <alignment horizontal="center" vertical="center" wrapText="1"/>
    </xf>
    <xf numFmtId="4" fontId="17" fillId="0" borderId="314" xfId="207" applyNumberFormat="1" applyBorder="1" applyAlignment="1">
      <alignment horizontal="center" vertical="center" wrapText="1"/>
    </xf>
    <xf numFmtId="4" fontId="17" fillId="0" borderId="10" xfId="207" applyNumberFormat="1" applyBorder="1" applyAlignment="1">
      <alignment horizontal="center" vertical="center" wrapText="1"/>
    </xf>
    <xf numFmtId="4" fontId="17" fillId="0" borderId="192" xfId="207" applyNumberFormat="1" applyBorder="1" applyAlignment="1">
      <alignment horizontal="center" vertical="center" wrapText="1"/>
    </xf>
    <xf numFmtId="2" fontId="17" fillId="0" borderId="10" xfId="207" applyNumberFormat="1" applyBorder="1" applyAlignment="1">
      <alignment horizontal="center" vertical="center" wrapText="1"/>
    </xf>
    <xf numFmtId="2" fontId="17" fillId="0" borderId="314" xfId="207" applyNumberFormat="1" applyBorder="1" applyAlignment="1">
      <alignment horizontal="center" vertical="center" wrapText="1"/>
    </xf>
    <xf numFmtId="14" fontId="17" fillId="0" borderId="19" xfId="207" applyNumberFormat="1" applyBorder="1" applyAlignment="1">
      <alignment horizontal="center" vertical="center" wrapText="1"/>
    </xf>
    <xf numFmtId="4" fontId="17" fillId="0" borderId="174" xfId="207" applyNumberFormat="1" applyBorder="1" applyAlignment="1">
      <alignment horizontal="center" vertical="center" wrapText="1"/>
    </xf>
    <xf numFmtId="14" fontId="17" fillId="0" borderId="198" xfId="207" applyNumberFormat="1" applyBorder="1" applyAlignment="1">
      <alignment horizontal="center" vertical="center" wrapText="1"/>
    </xf>
    <xf numFmtId="49" fontId="17" fillId="0" borderId="10" xfId="207" applyNumberFormat="1" applyBorder="1" applyAlignment="1">
      <alignment horizontal="center" vertical="center" wrapText="1"/>
    </xf>
    <xf numFmtId="3" fontId="17" fillId="0" borderId="10" xfId="207" applyNumberFormat="1" applyBorder="1" applyAlignment="1">
      <alignment horizontal="center" vertical="center" wrapText="1"/>
    </xf>
    <xf numFmtId="4" fontId="17" fillId="0" borderId="21" xfId="207" applyNumberFormat="1" applyBorder="1" applyAlignment="1">
      <alignment horizontal="center" vertical="center" wrapText="1"/>
    </xf>
    <xf numFmtId="10" fontId="17" fillId="0" borderId="192" xfId="207" applyNumberFormat="1" applyBorder="1" applyAlignment="1">
      <alignment horizontal="center" vertical="center" wrapText="1"/>
    </xf>
    <xf numFmtId="14" fontId="17" fillId="0" borderId="175" xfId="207" applyNumberFormat="1" applyBorder="1" applyAlignment="1">
      <alignment horizontal="center" vertical="center" wrapText="1"/>
    </xf>
    <xf numFmtId="0" fontId="17" fillId="0" borderId="27" xfId="207" applyBorder="1" applyAlignment="1">
      <alignment horizontal="center" vertical="center" wrapText="1"/>
    </xf>
    <xf numFmtId="4" fontId="0" fillId="0" borderId="175" xfId="215" applyNumberFormat="1" applyFont="1" applyBorder="1" applyAlignment="1">
      <alignment horizontal="center" vertical="center" wrapText="1"/>
    </xf>
    <xf numFmtId="4" fontId="0" fillId="0" borderId="176" xfId="215" applyNumberFormat="1" applyFont="1" applyBorder="1" applyAlignment="1">
      <alignment horizontal="center" vertical="center" wrapText="1"/>
    </xf>
    <xf numFmtId="4" fontId="0" fillId="0" borderId="315" xfId="215" applyNumberFormat="1" applyFont="1" applyBorder="1" applyAlignment="1">
      <alignment horizontal="center" vertical="center" wrapText="1"/>
    </xf>
    <xf numFmtId="4" fontId="0" fillId="0" borderId="193" xfId="215" applyNumberFormat="1" applyFont="1" applyBorder="1" applyAlignment="1">
      <alignment horizontal="center" vertical="center" wrapText="1"/>
    </xf>
    <xf numFmtId="4" fontId="17" fillId="0" borderId="316" xfId="207" applyNumberFormat="1" applyBorder="1" applyAlignment="1">
      <alignment horizontal="center" vertical="center"/>
    </xf>
    <xf numFmtId="4" fontId="17" fillId="0" borderId="315" xfId="207" applyNumberFormat="1" applyBorder="1" applyAlignment="1">
      <alignment horizontal="center" vertical="center"/>
    </xf>
    <xf numFmtId="4" fontId="17" fillId="0" borderId="317" xfId="207" applyNumberFormat="1" applyBorder="1" applyAlignment="1">
      <alignment horizontal="center" vertical="center"/>
    </xf>
    <xf numFmtId="4" fontId="17" fillId="0" borderId="176" xfId="207" applyNumberFormat="1" applyBorder="1" applyAlignment="1">
      <alignment horizontal="center" vertical="center" wrapText="1"/>
    </xf>
    <xf numFmtId="4" fontId="17" fillId="0" borderId="193" xfId="207" applyNumberFormat="1" applyBorder="1" applyAlignment="1">
      <alignment horizontal="center" vertical="center" wrapText="1"/>
    </xf>
    <xf numFmtId="2" fontId="17" fillId="0" borderId="176" xfId="207" applyNumberFormat="1" applyBorder="1" applyAlignment="1">
      <alignment horizontal="center" vertical="center" wrapText="1"/>
    </xf>
    <xf numFmtId="2" fontId="17" fillId="0" borderId="317" xfId="207" applyNumberFormat="1" applyBorder="1" applyAlignment="1">
      <alignment horizontal="center" vertical="center" wrapText="1"/>
    </xf>
    <xf numFmtId="14" fontId="17" fillId="0" borderId="15" xfId="207" applyNumberFormat="1" applyBorder="1" applyAlignment="1">
      <alignment horizontal="center" vertical="center" wrapText="1"/>
    </xf>
    <xf numFmtId="4" fontId="17" fillId="0" borderId="177" xfId="207" applyNumberFormat="1" applyBorder="1" applyAlignment="1">
      <alignment horizontal="center" vertical="center" wrapText="1"/>
    </xf>
    <xf numFmtId="14" fontId="17" fillId="0" borderId="199" xfId="207" applyNumberFormat="1" applyBorder="1" applyAlignment="1">
      <alignment horizontal="center" vertical="center" wrapText="1"/>
    </xf>
    <xf numFmtId="49" fontId="17" fillId="0" borderId="176" xfId="207" applyNumberFormat="1" applyBorder="1" applyAlignment="1">
      <alignment horizontal="center" vertical="center" wrapText="1"/>
    </xf>
    <xf numFmtId="3" fontId="17" fillId="0" borderId="176" xfId="207" applyNumberFormat="1" applyBorder="1" applyAlignment="1">
      <alignment horizontal="center" vertical="center" wrapText="1"/>
    </xf>
    <xf numFmtId="4" fontId="17" fillId="0" borderId="12" xfId="207" applyNumberFormat="1" applyBorder="1" applyAlignment="1">
      <alignment horizontal="center" vertical="center" wrapText="1"/>
    </xf>
    <xf numFmtId="10" fontId="17" fillId="0" borderId="193" xfId="207" applyNumberFormat="1" applyBorder="1" applyAlignment="1">
      <alignment horizontal="center" vertical="center" wrapText="1"/>
    </xf>
    <xf numFmtId="14" fontId="17" fillId="0" borderId="0" xfId="207" applyNumberFormat="1" applyAlignment="1"/>
    <xf numFmtId="4" fontId="0" fillId="0" borderId="0" xfId="215" applyNumberFormat="1" applyFont="1" applyAlignment="1"/>
    <xf numFmtId="4" fontId="17" fillId="0" borderId="0" xfId="207" applyNumberFormat="1" applyAlignment="1"/>
    <xf numFmtId="49" fontId="17" fillId="0" borderId="0" xfId="207" applyNumberFormat="1" applyAlignment="1"/>
    <xf numFmtId="3" fontId="17" fillId="0" borderId="0" xfId="207" applyNumberFormat="1" applyAlignment="1"/>
  </cellXfs>
  <cellStyles count="228">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2" xfId="96" xr:uid="{00000000-0005-0000-0000-000004000000}"/>
    <cellStyle name="Comma 3" xfId="98" xr:uid="{00000000-0005-0000-0000-000005000000}"/>
    <cellStyle name="Comma 3 2" xfId="221" xr:uid="{8ED990B3-C04B-4985-81C5-04A9279D36D3}"/>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2" xfId="49" xr:uid="{00000000-0005-0000-0000-000036000000}"/>
    <cellStyle name="Normal 2 11" xfId="99" xr:uid="{00000000-0005-0000-0000-000037000000}"/>
    <cellStyle name="Normal 2 11 2" xfId="223" xr:uid="{3BEEC2D6-BED4-434C-9E3D-4358DBCD389E}"/>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5" xfId="225" xr:uid="{AFD131B0-FF3D-4FA0-B8BE-7B53C9626C15}"/>
    <cellStyle name="Normal 6" xfId="216" xr:uid="{3FE45E9B-24E0-424A-A04B-EBDD9151CF3B}"/>
    <cellStyle name="Normal 8" xfId="15" xr:uid="{00000000-0005-0000-0000-00003C000000}"/>
    <cellStyle name="Normal 8 2" xfId="40" xr:uid="{00000000-0005-0000-0000-00003D000000}"/>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 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94">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0" formatCode="General"/>
      <fill>
        <patternFill patternType="none">
          <fgColor indexed="64"/>
          <bgColor indexed="65"/>
        </patternFill>
      </fill>
      <alignment horizontal="justify"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7F0FD"/>
      <color rgb="FF00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246075</xdr:colOff>
      <xdr:row>8</xdr:row>
      <xdr:rowOff>3176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923408" y="1664759"/>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124264</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4</xdr:col>
      <xdr:colOff>105223</xdr:colOff>
      <xdr:row>4</xdr:row>
      <xdr:rowOff>126440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6</xdr:col>
      <xdr:colOff>999502</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5</xdr:col>
      <xdr:colOff>149785</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9</xdr:col>
      <xdr:colOff>354043</xdr:colOff>
      <xdr:row>5</xdr:row>
      <xdr:rowOff>104694</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1342039</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2008218</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103218</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522318</xdr:colOff>
      <xdr:row>5</xdr:row>
      <xdr:rowOff>50719</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3</xdr:col>
      <xdr:colOff>514350</xdr:colOff>
      <xdr:row>2</xdr:row>
      <xdr:rowOff>9525</xdr:rowOff>
    </xdr:from>
    <xdr:to>
      <xdr:col>5</xdr:col>
      <xdr:colOff>1274793</xdr:colOff>
      <xdr:row>5</xdr:row>
      <xdr:rowOff>123744</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3657600" y="390525"/>
          <a:ext cx="3903693" cy="65714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296334</xdr:colOff>
      <xdr:row>6</xdr:row>
      <xdr:rowOff>9626</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1684369</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164157</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1035609</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1038353</xdr:colOff>
      <xdr:row>5</xdr:row>
      <xdr:rowOff>82550</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79</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258006</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8</xdr:col>
      <xdr:colOff>0</xdr:colOff>
      <xdr:row>1</xdr:row>
      <xdr:rowOff>0</xdr:rowOff>
    </xdr:from>
    <xdr:to>
      <xdr:col>11</xdr:col>
      <xdr:colOff>907551</xdr:colOff>
      <xdr:row>5</xdr:row>
      <xdr:rowOff>9444</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126472</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354043</xdr:colOff>
      <xdr:row>5</xdr:row>
      <xdr:rowOff>9443</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1073711</xdr:colOff>
      <xdr:row>5</xdr:row>
      <xdr:rowOff>9445</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30256</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733793</xdr:colOff>
      <xdr:row>6</xdr:row>
      <xdr:rowOff>25587</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7</xdr:col>
      <xdr:colOff>336176</xdr:colOff>
      <xdr:row>1</xdr:row>
      <xdr:rowOff>89647</xdr:rowOff>
    </xdr:from>
    <xdr:to>
      <xdr:col>10</xdr:col>
      <xdr:colOff>1462118</xdr:colOff>
      <xdr:row>6</xdr:row>
      <xdr:rowOff>12059</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1_FONDS%20SOUS%20GESTION\00%20-%20FCT\FCT%20Euro%20truck%20Lease%202021\04%20-%20Gestion\02%20-%20Management%20Report\2023\2023%2010%2027\FCT%20EuroTruckLease%20-%20Compartment%20FABS2021%20-%20Investor%20Report%20PD%2027%2010%202023.xlsx" TargetMode="External"/><Relationship Id="rId1" Type="http://schemas.openxmlformats.org/officeDocument/2006/relationships/externalLinkPath" Target="/1_FONDS%20SOUS%20GESTION/00%20-%20FCT/FCT%20Euro%20truck%20Lease%202021/04%20-%20Gestion/02%20-%20Management%20Report/2023/2023%2010%2027/FCT%20EuroTruckLease%20-%20Compartment%20FABS2021%20-%20Investor%20Report%20PD%2027%2010%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XX- Key Figures"/>
      <sheetName val="Database"/>
      <sheetName val="Email"/>
      <sheetName val="Pilote"/>
      <sheetName val="Subscription Form A"/>
      <sheetName val="Subscription Form A1"/>
      <sheetName val="Subscription Form A2"/>
      <sheetName val="07 bis- Reference Swap Profiles"/>
      <sheetName val="0. Monthly triggers"/>
      <sheetName val="00- Cover"/>
      <sheetName val="Output Contrôles"/>
      <sheetName val="01- Eligibility Criteria"/>
      <sheetName val="02- Overall Portfolio"/>
      <sheetName val="03- Borrowing Base"/>
      <sheetName val="04- Notes"/>
      <sheetName val="05- Reserves"/>
      <sheetName val="06- Swaps "/>
      <sheetName val="07- Swap Profiles"/>
      <sheetName val="08- Issuer Reserves Account"/>
      <sheetName val="09 - Ratings &amp; Triggers"/>
      <sheetName val="10 -Events"/>
      <sheetName val="11- EUR Collections"/>
      <sheetName val="12- GBP Collections"/>
      <sheetName val="13- FCT Operating Expenses"/>
      <sheetName val="14- Credit Facility follow-up"/>
      <sheetName val="15- CF Interest Payment Amount"/>
      <sheetName val="16- CF Principal Payment Amount"/>
      <sheetName val="17- Priorities of Payments "/>
      <sheetName val="18- Notes Interest"/>
      <sheetName val="19- EUR Notes Details"/>
      <sheetName val="Historical Data"/>
      <sheetName val="20- GBP Notes Details"/>
      <sheetName val="Output"/>
      <sheetName val="21- Soft balance sheet"/>
      <sheetName val="22- EUR BB LT Eligible"/>
      <sheetName val="23- EUR ST &amp; WIP Eligible"/>
      <sheetName val="24- UK LT Eligible"/>
      <sheetName val="25- UK ST &amp; WIP Eligible"/>
      <sheetName val="26- Calendar"/>
      <sheetName val="IR_ANNEX12 (EUR)"/>
      <sheetName val="IR_ANNEX12 (GBP)"/>
      <sheetName val="IR_ANNEX13 (EUR)"/>
      <sheetName val="IR_ANNEX13 (GBP)"/>
      <sheetName val="Cleared Notes - Notif"/>
      <sheetName val="Uncleared Notes - Notif"/>
      <sheetName val="Fraikin Netting "/>
      <sheetName val="Historical table"/>
      <sheetName val="Sheet1"/>
      <sheetName val="Subscription Form D"/>
      <sheetName val="Input "/>
      <sheetName val="SSI"/>
      <sheetName val="Instructions"/>
      <sheetName val="OD compta"/>
    </sheetNames>
    <sheetDataSet>
      <sheetData sheetId="0"/>
      <sheetData sheetId="1"/>
      <sheetData sheetId="2"/>
      <sheetData sheetId="3">
        <row r="12">
          <cell r="D12" t="str">
            <v>Y:\1_FONDS SOUS GESTION\00 - FCT\FCT Euro truck Lease 2021\04 - Gestion\02 - Management Report\2022\2023 10 27\Subscription Form</v>
          </cell>
        </row>
        <row r="17">
          <cell r="D17">
            <v>11</v>
          </cell>
        </row>
        <row r="18">
          <cell r="D18" t="str">
            <v xml:space="preserve">Bank of America Europe DAC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8</v>
    <v>1</v>
  </rv>
</rvData>
</file>

<file path=xl/richData/rdrichvaluestructure.xml><?xml version="1.0" encoding="utf-8"?>
<rvStructures xmlns="http://schemas.microsoft.com/office/spreadsheetml/2017/richdata" count="1">
  <s t="_error">
    <k n="errorType" t="i"/>
    <k n="propagated" t="b"/>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50:F74" totalsRowCount="1" headerRowDxfId="393" dataDxfId="392">
  <tableColumns count="5">
    <tableColumn id="1" xr3:uid="{5F97FF0A-E181-455E-B99F-7E053CA0B170}" name="Bucket Principal Outstanding Balance" totalsRowLabel="Total" dataDxfId="391" totalsRowDxfId="390"/>
    <tableColumn id="2" xr3:uid="{FE81D53F-6306-4248-879D-7090DC6B6E04}" name="Principal Outstanding Balance" totalsRowFunction="sum" dataDxfId="389" totalsRowDxfId="388"/>
    <tableColumn id="3" xr3:uid="{C63709B2-AA07-4A17-BF3A-3C6320C5FEE4}" name="% of Total (Amount)" totalsRowFunction="sum" dataDxfId="387" totalsRowDxfId="386"/>
    <tableColumn id="4" xr3:uid="{17C27ADA-A71F-40D5-AED4-96FB6BE39FC7}" name="Nb of Loans" totalsRowFunction="sum" dataDxfId="385" totalsRowDxfId="384"/>
    <tableColumn id="5" xr3:uid="{4BA6EA27-E263-4C61-8F9E-C440E6A9DF0D}" name="% of Total (Number)" totalsRowFunction="custom" dataDxfId="383" totalsRowDxfId="382">
      <totalsRowFormula>SUBTOTAL(109,PrincipalOutstandingBalance[% of Total (Amount)])</totalsRow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5230E5E-A6AC-4DCA-96D1-29304B7319D9}" name="CurrentLoanToValueGuarantee" displayName="CurrentLoanToValueGuarantee" ref="B277:F294" totalsRowCount="1" headerRowDxfId="285" dataDxfId="284">
  <tableColumns count="5">
    <tableColumn id="1" xr3:uid="{BD31A77D-0F03-421C-9594-BF91E49F159D}" name="Bucket Current Loan-to-Value" totalsRowLabel="Total" dataDxfId="283" totalsRowDxfId="282"/>
    <tableColumn id="2" xr3:uid="{B27E3DEF-A11C-491F-B586-FB2AA1E6B9D8}" name="Principal Outstanding Balance" totalsRowFunction="sum" dataDxfId="281" totalsRowDxfId="280"/>
    <tableColumn id="3" xr3:uid="{45BE9FF3-EAE7-48CB-B565-7D12F8EDB77A}" name="% of Total (Amount)" totalsRowFunction="sum" dataDxfId="279" totalsRowDxfId="278"/>
    <tableColumn id="4" xr3:uid="{69CBD58D-9697-4820-8D32-8AE840F5DC76}" name="Nb of Loans" totalsRowFunction="sum" dataDxfId="277" totalsRowDxfId="276"/>
    <tableColumn id="5" xr3:uid="{094CFC6F-3AA0-4753-965E-CEC0F5B3193D}" name="% of Total (Number)" totalsRowFunction="custom" dataDxfId="275" totalsRowDxfId="274">
      <totalsRowFormula>SUBTOTAL(109,CurrentLoanToValueGuarantee[% of Total (Amount)])</totalsRow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44CAAEC-9F2B-4500-B3C5-B1D4A784C45B}" name="OriginalLoanToValue17" displayName="OriginalLoanToValue17" ref="B302:F319" totalsRowCount="1" headerRowDxfId="273" dataDxfId="272">
  <tableColumns count="5">
    <tableColumn id="1" xr3:uid="{63597820-AC5B-4C63-92F7-1A1C6C23DA29}" name="Bucket Original Loan-to-Value" totalsRowLabel="Total" dataDxfId="271" totalsRowDxfId="270"/>
    <tableColumn id="2" xr3:uid="{BAD71A84-E0D3-4C93-9B4F-1AB486B0F90C}" name="Principal Outstanding Balance" totalsRowFunction="sum" dataDxfId="269" totalsRowDxfId="268"/>
    <tableColumn id="3" xr3:uid="{FA39ACB1-0396-4EB6-8E5B-826088094D26}" name="% of Total (Amount)" totalsRowFunction="sum" dataDxfId="267" totalsRowDxfId="266"/>
    <tableColumn id="4" xr3:uid="{C040D6AF-9069-48A3-AE09-5C48A23CA7F6}" name="Nb of Loans" totalsRowFunction="sum" dataDxfId="265" totalsRowDxfId="264"/>
    <tableColumn id="5" xr3:uid="{08D91D0D-316C-46C1-82A5-A1B000FE42C9}" name="% of Total (Number)" totalsRowFunction="custom" dataDxfId="263" totalsRowDxfId="262">
      <totalsRowFormula>SUBTOTAL(109,OriginalLoanToValue17[% of Total (Amount)])</totalsRow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824EDF5-4FD3-48CD-A06D-E03F34C6C7BC}" name="OriginalLoanToValueMort" displayName="OriginalLoanToValueMort" ref="B327:F344" totalsRowCount="1" headerRowDxfId="261" dataDxfId="260">
  <tableColumns count="5">
    <tableColumn id="1" xr3:uid="{40E18D49-A84E-4B53-9BA1-340B38A555C6}" name="Bucket Original Loan-to-Value" totalsRowLabel="Total" dataDxfId="259" totalsRowDxfId="258"/>
    <tableColumn id="2" xr3:uid="{C35C70B4-E31B-4B61-BFF3-919C5A63C9CE}" name="Principal Outstanding Balance" totalsRowFunction="sum" dataDxfId="257" totalsRowDxfId="256"/>
    <tableColumn id="3" xr3:uid="{EAC04B05-19E4-4B4B-AA12-B2EF3D27C3C6}" name="% of Total (Amount)" totalsRowFunction="sum" dataDxfId="255" totalsRowDxfId="254"/>
    <tableColumn id="4" xr3:uid="{6345B32C-E0AE-4D64-8A5E-608F5175A19C}" name="Nb of Loans" totalsRowFunction="sum" dataDxfId="253" totalsRowDxfId="252"/>
    <tableColumn id="5" xr3:uid="{06580B3C-D97B-4B2E-8047-91E130598B4B}" name="% of Total (Number)" totalsRowFunction="custom" dataDxfId="251" totalsRowDxfId="250">
      <totalsRowFormula>SUBTOTAL(109,OriginalLoanToValueMort[% of Total (Amount)])</totalsRow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733C10B-1DB0-4681-B1EB-E2FEF094EFF6}" name="OriginalLoanToValueMortGuaranteed" displayName="OriginalLoanToValueMortGuaranteed" ref="B352:F369" totalsRowCount="1" headerRowDxfId="249" dataDxfId="248">
  <tableColumns count="5">
    <tableColumn id="1" xr3:uid="{1C836482-8908-4227-8EAC-3758E4E5D885}" name="Bucket Original Loan-to-Value" totalsRowLabel="Total" dataDxfId="247" totalsRowDxfId="246"/>
    <tableColumn id="2" xr3:uid="{EBCAF188-6413-48BD-A816-2650B3A78020}" name="Principal Outstanding Balance" totalsRowFunction="sum" dataDxfId="245" totalsRowDxfId="244"/>
    <tableColumn id="3" xr3:uid="{F9010A98-F718-4F04-AAB1-24EC8E1E54FC}" name="% of Total (Amount)" totalsRowFunction="sum" dataDxfId="243" totalsRowDxfId="242"/>
    <tableColumn id="4" xr3:uid="{472F36BD-18ED-4130-A584-05524DC8FE34}" name="Nb of Loans" totalsRowFunction="sum" dataDxfId="241" totalsRowDxfId="240"/>
    <tableColumn id="5" xr3:uid="{93F8B60E-6B97-4375-9EFB-EEE74F33338F}" name="% of Total (Number)" totalsRowFunction="custom" dataDxfId="239" totalsRowDxfId="238">
      <totalsRowFormula>SUBTOTAL(109,OriginalLoanToValueMortGuaranteed[% of Total (Amount)])</totalsRow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67D558D-E5A4-4C51-B3BB-2016C88B6B80}" name="IndexedLoanToValue1720" displayName="IndexedLoanToValue1720" ref="B377:F394" totalsRowCount="1" headerRowDxfId="237" dataDxfId="236">
  <tableColumns count="5">
    <tableColumn id="1" xr3:uid="{6198D071-B3C1-4531-BD15-F9F77DE2BB16}" name="Bucket Indexed Loan-to-Value" totalsRowLabel="Total" dataDxfId="235" totalsRowDxfId="234"/>
    <tableColumn id="2" xr3:uid="{CE21DFD2-DE83-4376-BD73-A324DE98272D}" name="Principal Outstanding Balance" totalsRowFunction="sum" dataDxfId="233" totalsRowDxfId="232"/>
    <tableColumn id="3" xr3:uid="{5DD3650F-D3C1-4123-89CA-3A54CFE775C6}" name="% of Total (Amount)" totalsRowFunction="sum" dataDxfId="231" totalsRowDxfId="230"/>
    <tableColumn id="4" xr3:uid="{3508BD01-B543-4D4F-B792-5EA83DB1E92F}" name="Nb of Loans" totalsRowFunction="sum" dataDxfId="229" totalsRowDxfId="228"/>
    <tableColumn id="5" xr3:uid="{2223CB87-60B4-4D49-ABF7-877383C1C37B}" name="% of Total (Number)" totalsRowFunction="custom" dataDxfId="227" totalsRowDxfId="226">
      <totalsRowFormula>SUBTOTAL(109,IndexedLoanToValue1720[% of Total (Amount)])</totalsRow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6BEC36A-AAFC-48C7-9104-B7915DB4C838}" name="IndexedLoanToValueMort" displayName="IndexedLoanToValueMort" ref="B402:F419" totalsRowCount="1" headerRowDxfId="225" dataDxfId="224">
  <tableColumns count="5">
    <tableColumn id="1" xr3:uid="{C5FDF210-AC22-4BCB-9CCE-CEBFD513BD83}" name="Bucket Indexed Loan-to-Value" totalsRowLabel="Total" dataDxfId="223" totalsRowDxfId="222"/>
    <tableColumn id="2" xr3:uid="{0E2762FB-E0EC-41B7-9221-5031F1EFD6D7}" name="Principal Outstanding Balance" totalsRowFunction="sum" dataDxfId="221" totalsRowDxfId="220"/>
    <tableColumn id="3" xr3:uid="{16C8CFE8-2F65-4031-B8E3-9187CD49B139}" name="% of Total (Amount)" totalsRowFunction="sum" dataDxfId="219" totalsRowDxfId="218"/>
    <tableColumn id="4" xr3:uid="{3792B1FC-FF03-41E4-AE9E-0237C34F3700}" name="Nb of Loans" totalsRowFunction="sum" dataDxfId="217" totalsRowDxfId="216"/>
    <tableColumn id="5" xr3:uid="{25950704-C993-450A-9F21-0A72D105F128}" name="% of Total (Number)" totalsRowFunction="custom" dataDxfId="215" totalsRowDxfId="214">
      <totalsRowFormula>SUBTOTAL(109,IndexedLoanToValueMort[% of Total (Amount)])</totalsRow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C344FC5-530B-4FC6-98B9-E3BC6D02F9C9}" name="IndexedLoanToValueGuaranteed" displayName="IndexedLoanToValueGuaranteed" ref="B427:F444" totalsRowCount="1" headerRowDxfId="213" dataDxfId="212">
  <tableColumns count="5">
    <tableColumn id="1" xr3:uid="{63F72A8E-B584-40B7-B502-0372835F486D}" name="Bucket Indexed Loan-to-Value" totalsRowLabel="Total" dataDxfId="211" totalsRowDxfId="210"/>
    <tableColumn id="2" xr3:uid="{A4AF39D6-B8EF-4037-9042-706DE6AD70AA}" name="Principal Outstanding Balance" totalsRowFunction="sum" dataDxfId="209" totalsRowDxfId="208"/>
    <tableColumn id="3" xr3:uid="{7BE9E59A-6D6E-49A6-BFE1-1B4BCE93DF43}" name="% of Total (Amount)" totalsRowFunction="sum" dataDxfId="207" totalsRowDxfId="206"/>
    <tableColumn id="4" xr3:uid="{931F07AB-110F-41E5-BDF9-5F9FF0F555C5}" name="Nb of Loans" totalsRowFunction="sum" dataDxfId="205" totalsRowDxfId="204"/>
    <tableColumn id="5" xr3:uid="{332A4BB6-A61E-4F46-B412-83BFC2887F8A}" name="% of Total (Number)" totalsRowFunction="custom" dataDxfId="203" totalsRowDxfId="202">
      <totalsRowFormula>SUBTOTAL(109,IndexedLoanToValueGuaranteed[% of Total (Amount)])</totalsRow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452:F462" totalsRowCount="1" headerRowDxfId="201" dataDxfId="200">
  <tableColumns count="5">
    <tableColumn id="1" xr3:uid="{B369E1C6-B67A-44F1-8718-C8814428F789}" name="Property Type" totalsRowLabel="Total" dataDxfId="199" totalsRowDxfId="198"/>
    <tableColumn id="2" xr3:uid="{DA7E6C47-3475-4A4A-8D80-83CD365B1945}" name="Principal Outstanding Balance" totalsRowFunction="sum" dataDxfId="197" totalsRowDxfId="196"/>
    <tableColumn id="3" xr3:uid="{D814BC89-2385-4B32-8DF9-474B367B05F6}" name="% of Total (Amount)" totalsRowFunction="sum" dataDxfId="195" totalsRowDxfId="194"/>
    <tableColumn id="4" xr3:uid="{FF0C2557-7929-48F2-A4D2-1F092EA558E7}" name="Nb of Loans" totalsRowFunction="sum" dataDxfId="193" totalsRowDxfId="192"/>
    <tableColumn id="5" xr3:uid="{F98AFA8A-2D0B-4F85-AA88-7ECE40345BF2}" name="% of Total (Number)" totalsRowFunction="custom" dataDxfId="191" totalsRowDxfId="190">
      <totalsRowFormula>SUBTOTAL(109,PropertyType[% of Total (Amount)])</totalsRow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3B6240B-DA63-47FD-A48E-B1FC0C49630D}" name="AccountStatus" displayName="AccountStatus" ref="B470:F486" totalsRowCount="1" headerRowDxfId="189" dataDxfId="188">
  <tableColumns count="5">
    <tableColumn id="1" xr3:uid="{375A4ECD-2CFA-4AC7-942A-70AA1A947563}" name="Account Status" totalsRowLabel="Total" dataDxfId="187" totalsRowDxfId="186"/>
    <tableColumn id="2" xr3:uid="{B9F473B4-9BE6-43B1-856D-A0FCA36DBB81}" name="Principal Outstanding Balance" totalsRowFunction="sum" dataDxfId="185" totalsRowDxfId="184"/>
    <tableColumn id="3" xr3:uid="{9581F417-09C8-44DC-BC43-767C40F7387D}" name="% of Total (Amount)" totalsRowFunction="sum" dataDxfId="183" totalsRowDxfId="182"/>
    <tableColumn id="4" xr3:uid="{BC118542-8BF7-454F-9363-7BF8B0EA9292}" name="Nb of Loans" totalsRowFunction="sum" dataDxfId="181" totalsRowDxfId="180"/>
    <tableColumn id="5" xr3:uid="{D1FB1A25-4355-4921-8533-1715B1E03436}" name="% of Total (Number)" totalsRowFunction="custom" dataDxfId="179" totalsRowDxfId="178">
      <totalsRowFormula>SUBTOTAL(109,AccountStatus[% of Total (Amount)])</totalsRow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7249BED-0556-4DF0-8BBB-8B3DAE2D5F82}" name="PaymentFrequency" displayName="PaymentFrequency" ref="B494:F500" totalsRowCount="1" headerRowDxfId="177" dataDxfId="176">
  <tableColumns count="5">
    <tableColumn id="1" xr3:uid="{13D1F7E8-8D4D-45CB-A9BD-27439FCF0A27}" name="Payment Frequency" totalsRowLabel="Total" dataDxfId="175" totalsRowDxfId="174"/>
    <tableColumn id="2" xr3:uid="{7833ABCE-45A6-4D79-804D-4AB25BB9F01F}" name="Principal Outstanding Balance" totalsRowFunction="sum" dataDxfId="173" totalsRowDxfId="172"/>
    <tableColumn id="3" xr3:uid="{57439B74-63E1-48A9-ADEA-780ED497A495}" name="% of Total (Amount)" totalsRowFunction="sum" dataDxfId="171" totalsRowDxfId="170"/>
    <tableColumn id="4" xr3:uid="{D63C2EF8-FAEC-482C-9432-B64C14137973}" name="Nb of Loans" totalsRowFunction="sum" dataDxfId="169" totalsRowDxfId="168"/>
    <tableColumn id="5" xr3:uid="{186CEF7F-C212-4385-A3EA-7C8FBCE0EC94}" name="% of Total (Number)" totalsRowFunction="custom" dataDxfId="167" totalsRowDxfId="166">
      <totalsRowFormula>SUBTOTAL(109,PaymentFrequency[% of Total (Amount)])</totalsRow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82:F106" totalsRowCount="1" headerRowDxfId="381" dataDxfId="380">
  <tableColumns count="5">
    <tableColumn id="1" xr3:uid="{2D70ACD1-0114-4279-A5B6-B0C81DBB8CED}" name="Bucket Principal Original Balance" totalsRowLabel="Total" dataDxfId="379" totalsRowDxfId="378"/>
    <tableColumn id="2" xr3:uid="{E800588E-1293-427C-8DCD-F9F6B515A083}" name="Principal Outstanding Balance" totalsRowFunction="sum" dataDxfId="377" totalsRowDxfId="376"/>
    <tableColumn id="3" xr3:uid="{5B22C866-B5B4-4B26-9801-C0AE380FCF81}" name="% of Total (Amount)" totalsRowFunction="sum" dataDxfId="375" totalsRowDxfId="374"/>
    <tableColumn id="4" xr3:uid="{27886BAA-A11D-4994-87AA-050132F6C922}" name="Nb of Loans" totalsRowFunction="sum" dataDxfId="373" totalsRowDxfId="372"/>
    <tableColumn id="5" xr3:uid="{7C0324CC-801E-42F0-BD7F-02A8485294C0}" name="% of Total (Number)" totalsRowFunction="custom" dataDxfId="371" totalsRowDxfId="370">
      <totalsRowFormula>SUBTOTAL(109,PrincipalOOriginalBalance6[% of Total (Amount)])</totalsRow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2F0C6E2-3610-4D84-A72A-C2CAC16DCE23}" name="EmploymentType" displayName="EmploymentType" ref="B508:F518" totalsRowCount="1" headerRowDxfId="165" dataDxfId="164">
  <tableColumns count="5">
    <tableColumn id="1" xr3:uid="{A0B585AA-A97C-41B0-AF9A-A3C4CFC449C9}" name="Employment Type" totalsRowLabel="Total" dataDxfId="163" totalsRowDxfId="162"/>
    <tableColumn id="2" xr3:uid="{50CE7506-E873-4682-A571-3EE23B63C08C}" name="Principal Outstanding Balance" totalsRowFunction="sum" dataDxfId="161" totalsRowDxfId="160"/>
    <tableColumn id="3" xr3:uid="{A22682CB-26C0-4CCC-89F4-96179D31B17D}" name="% of Total (Amount)" totalsRowFunction="sum" dataDxfId="159" totalsRowDxfId="158"/>
    <tableColumn id="4" xr3:uid="{76A6918F-81D0-4E19-A884-AFA156F1F983}" name="Nb of Loans" totalsRowFunction="sum" dataDxfId="157" totalsRowDxfId="156"/>
    <tableColumn id="5" xr3:uid="{7EB604A3-809B-4208-B706-40EFE4592024}" name="% of Total (Number)" totalsRowFunction="custom" dataDxfId="155" totalsRowDxfId="154">
      <totalsRowFormula>SUBTOTAL(109,EmploymentType[% of Total (Amount)])</totalsRowFormula>
    </tableColumn>
  </tableColumns>
  <tableStyleInfo name="TableStyleLight8" showFirstColumn="0" showLastColumn="0" showRowStripes="1" showColumnStripes="1"/>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E780D9F-3DC6-4C3D-BDC6-F7CBDFA91543}" name="Instalment" displayName="Instalment" ref="B526:F544" totalsRowCount="1" headerRowDxfId="153" dataDxfId="152">
  <tableColumns count="5">
    <tableColumn id="1" xr3:uid="{5B5050CE-45F5-4D4D-B2C2-269AAC0730EC}" name="Bucket Instalment" totalsRowLabel="Total" dataDxfId="151" totalsRowDxfId="150"/>
    <tableColumn id="2" xr3:uid="{BBB676C3-F663-41E1-A250-468A0EBB9367}" name="Principal Outstanding Balance" totalsRowFunction="sum" dataDxfId="149" totalsRowDxfId="148"/>
    <tableColumn id="3" xr3:uid="{F0A4DD4A-A4CC-4C79-BB6B-7808A40A42F1}" name="% of Total (Amount)" totalsRowFunction="sum" dataDxfId="147" totalsRowDxfId="146"/>
    <tableColumn id="4" xr3:uid="{B7D2BD18-8E2B-42F5-96A1-7DE801152A74}" name="Nb of Loans" totalsRowFunction="sum" dataDxfId="145" totalsRowDxfId="144"/>
    <tableColumn id="5" xr3:uid="{A69FDE58-1030-41A5-8B78-23FD2538A5AB}" name="% of Total (Number)" totalsRowFunction="custom" dataDxfId="143" totalsRowDxfId="142">
      <totalsRowFormula>SUBTOTAL(109,Instalment[% of Total (Amount)])</totalsRowFormula>
    </tableColumn>
  </tableColumns>
  <tableStyleInfo name="TableStyleLight8" showFirstColumn="0" showLastColumn="0" showRowStripes="1" showColumnStripes="1"/>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38FDD96-96A5-421F-B958-15956E3E9A09}" name="PropertyRegion" displayName="PropertyRegion" ref="B552:F566" totalsRowCount="1" headerRowDxfId="141" dataDxfId="140">
  <tableColumns count="5">
    <tableColumn id="1" xr3:uid="{C2AEB96C-8DEB-4BCB-BB5D-297B22B459C4}" name="Property Region" totalsRowLabel="Total" dataDxfId="139" totalsRowDxfId="138"/>
    <tableColumn id="2" xr3:uid="{BB307F7A-B3EF-40E7-9227-4B28FA8C60BD}" name="Principal Outstanding Balance" totalsRowFunction="sum" dataDxfId="137" totalsRowDxfId="136"/>
    <tableColumn id="3" xr3:uid="{5A0923F4-74A4-4435-A923-FAD1E973F7FC}" name="% of Total (Amount)" totalsRowFunction="sum" dataDxfId="135" totalsRowDxfId="134"/>
    <tableColumn id="4" xr3:uid="{7D08E1AD-9802-49BD-B195-AD27B712B811}" name="Nb of Loans" totalsRowFunction="sum" dataDxfId="133" totalsRowDxfId="132"/>
    <tableColumn id="5" xr3:uid="{BAAC4CBE-88FE-484D-AFC5-4A01A5F6D63A}" name="% of Total (Number)" totalsRowFunction="custom" dataDxfId="131" totalsRowDxfId="130">
      <totalsRowFormula>SUBTOTAL(109,PropertyRegion[% of Total (Amount)])</totalsRowFormula>
    </tableColumn>
  </tableColumns>
  <tableStyleInfo name="TableStyleLight8" showFirstColumn="0" showLastColumn="0" showRowStripes="1" showColumnStripes="1"/>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4E8EC7D-E6AC-42FD-9DB4-75522BAFD4BC}" name="GuaranteeProvider" displayName="GuaranteeProvider" ref="B574:F579" totalsRowCount="1" headerRowDxfId="129" dataDxfId="128">
  <tableColumns count="5">
    <tableColumn id="1" xr3:uid="{C82E545B-8365-440A-9C71-5DC0E3D6EC77}" name="Guarantee Provider" totalsRowLabel="Total" dataDxfId="127" totalsRowDxfId="126"/>
    <tableColumn id="2" xr3:uid="{D500F9A8-14A8-4FB1-94E5-82D563C28EFD}" name="Principal Outstanding Balance" totalsRowFunction="sum" dataDxfId="125" totalsRowDxfId="124"/>
    <tableColumn id="3" xr3:uid="{5221BF57-1750-462D-9014-979D5AB3FD7A}" name="% of Total (Amount)" totalsRowFunction="sum" dataDxfId="123" totalsRowDxfId="122"/>
    <tableColumn id="4" xr3:uid="{923E0B58-2797-47A3-B87E-5516322755A4}" name="Nb of Loans" totalsRowFunction="sum" dataDxfId="121" totalsRowDxfId="120"/>
    <tableColumn id="5" xr3:uid="{3ED0FD14-EF1B-4964-BC6E-05BDABA4A10A}" name="% of Total (Number)" totalsRowFunction="custom" dataDxfId="119" totalsRowDxfId="118">
      <totalsRowFormula>SUBTOTAL(109,GuaranteeProvider[% of Total (Amount)])</totalsRowFormula>
    </tableColumn>
  </tableColumns>
  <tableStyleInfo name="TableStyleLight8" showFirstColumn="0" showLastColumn="0" showRowStripes="1" showColumnStripes="1"/>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4B9EA30-DBB7-45B5-879B-52F3F1FB968F}" name="Purpose" displayName="Purpose" ref="B583:F597" totalsRowCount="1" headerRowDxfId="117" dataDxfId="116">
  <tableColumns count="5">
    <tableColumn id="1" xr3:uid="{302C16EB-DC8D-4065-98BF-2898A2106B94}" name="Breakdown by Purpose" totalsRowLabel="Total" dataDxfId="115" totalsRowDxfId="114"/>
    <tableColumn id="2" xr3:uid="{218026A7-1F9F-4632-BA6E-6D64C7F948E1}" name="Principal Outstanding Balance" totalsRowFunction="sum" dataDxfId="113" totalsRowDxfId="112"/>
    <tableColumn id="3" xr3:uid="{0829658E-F173-4D7D-9046-4A40AEE1ECC6}" name="% of Total (Amount)" totalsRowFunction="sum" dataDxfId="111" totalsRowDxfId="110"/>
    <tableColumn id="4" xr3:uid="{4474F190-B239-4EF6-A9EE-C2F3E7E15952}" name="Nb of Loans" totalsRowFunction="sum" dataDxfId="109" totalsRowDxfId="108"/>
    <tableColumn id="5" xr3:uid="{031C4820-1FCD-4B8B-BC3D-2FAE627BC61C}" name="% of Total (Number)" totalsRowFunction="custom" dataDxfId="107" totalsRowDxfId="106">
      <totalsRowFormula>SUBTOTAL(109,Purpose[% of Total (Amount)])</totalsRowFormula>
    </tableColumn>
  </tableColumns>
  <tableStyleInfo name="TableStyleLight8" showFirstColumn="0" showLastColumn="0" showRowStripes="1" showColumnStripes="1"/>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601:F622" totalsRowCount="1" headerRowDxfId="105" dataDxfId="104">
  <tableColumns count="5">
    <tableColumn id="1" xr3:uid="{E3D93EED-83ED-4279-A444-368A1A6030F5}" name="Top 20 Borrowers" totalsRowLabel="Total" dataDxfId="103" totalsRowDxfId="102"/>
    <tableColumn id="2" xr3:uid="{598CFA9F-FA7E-4BF2-B840-104F356D6AFB}" name="Principal Outstanding Balance" totalsRowFunction="sum" dataDxfId="101" totalsRowDxfId="100"/>
    <tableColumn id="3" xr3:uid="{9A37EBB4-F320-448C-B3D3-E39B4A6E967E}" name="% of Total (Amount)" totalsRowFunction="sum" dataDxfId="99" totalsRowDxfId="98"/>
    <tableColumn id="4" xr3:uid="{59D9B018-6D0D-47DA-AD1A-2A8BDD4F981E}" name="Nb of Loans" totalsRowFunction="sum" dataDxfId="97" totalsRowDxfId="96"/>
    <tableColumn id="5" xr3:uid="{4EC58449-0B5D-42FC-A94F-77D1605BFE94}" name="% of Total (Number)" totalsRowFunction="custom" dataDxfId="95" totalsRowDxfId="94">
      <totalsRowFormula>SUBTOTAL(109,Top20Deb[% of Total (Amount)])</totalsRowFormula>
    </tableColumn>
  </tableColumns>
  <tableStyleInfo name="TableStyleLight8" showFirstColumn="0" showLastColumn="0" showRowStripes="1" showColumnStripes="1"/>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EA64D14-A53F-4E90-A9A4-988B6302CF35}" name="OccupancyType" displayName="OccupancyType" ref="B626:F632" totalsRowCount="1" headerRowDxfId="93" dataDxfId="92">
  <tableColumns count="5">
    <tableColumn id="1" xr3:uid="{79AD4049-2AE2-45AA-A38D-472FB8C409FF}" name="Occupancy Type" totalsRowLabel="Total" dataDxfId="91" totalsRowDxfId="90"/>
    <tableColumn id="2" xr3:uid="{88B975A4-6232-439B-88A9-1279E00E1C3A}" name="Principal Outstanding Balance" totalsRowFunction="sum" dataDxfId="89" totalsRowDxfId="88"/>
    <tableColumn id="3" xr3:uid="{957DCC6F-C7FC-4F6C-B0DC-1FDEE82A60B2}" name="% of Total (Amount)" totalsRowFunction="sum" dataDxfId="87" totalsRowDxfId="86"/>
    <tableColumn id="4" xr3:uid="{E55F66E8-9CBF-4FFC-A56C-37C2517F64D5}" name="Nb of Loans" totalsRowFunction="sum" dataDxfId="85" totalsRowDxfId="84"/>
    <tableColumn id="5" xr3:uid="{CDD799A1-5F83-4679-A00B-475D20A15F55}" name="% of Total (Number)" totalsRowFunction="custom" dataDxfId="83" totalsRowDxfId="82">
      <totalsRowFormula>SUBTOTAL(109,OccupancyType[% of Total (Amount)])</totalsRowFormula>
    </tableColumn>
  </tableColumns>
  <tableStyleInfo name="TableStyleLight8" showFirstColumn="0" showLastColumn="0" showRowStripes="1" showColumnStripes="1"/>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145C75F-6B88-4885-99E4-DEDFD4BD5913}" name="OriginalTermToMaturity" displayName="OriginalTermToMaturity" ref="B636:F652" totalsRowCount="1" headerRowDxfId="81" dataDxfId="80">
  <tableColumns count="5">
    <tableColumn id="1" xr3:uid="{7FD54D88-8AD1-49D9-B1D3-E946CA7E91D0}" name="Bucket Original Term to Maturity (in Months)" totalsRowLabel="Total" dataDxfId="79" totalsRowDxfId="78"/>
    <tableColumn id="2" xr3:uid="{DBC41B6D-1183-4591-A17E-8C1EB8CC9675}" name="Principal Outstanding Balance" totalsRowFunction="sum" dataDxfId="77" totalsRowDxfId="76"/>
    <tableColumn id="3" xr3:uid="{C27B8D00-FB02-4285-BBA5-31D143E184D2}" name="% of Total (Amount)" totalsRowFunction="sum" dataDxfId="75" totalsRowDxfId="74"/>
    <tableColumn id="4" xr3:uid="{79FAFCAD-39B7-4AE7-8572-6DCA97C478EE}" name="Nb of Loans" totalsRowFunction="sum" dataDxfId="73" totalsRowDxfId="72"/>
    <tableColumn id="5" xr3:uid="{42EFE35F-84C8-496B-841E-D8C2DDE5A59F}" name="% of Total (Number)" totalsRowFunction="custom" dataDxfId="71" totalsRowDxfId="70">
      <totalsRowFormula>SUBTOTAL(109,OriginalTermToMaturity[% of Total (Amount)])</totalsRow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114:F130" totalsRowCount="1" headerRowDxfId="369" dataDxfId="368">
  <tableColumns count="5">
    <tableColumn id="1" xr3:uid="{697458D8-F796-410F-86E3-AC2BEBA49D37}" name="Bucket Seasoning (in months)" totalsRowLabel="Total" dataDxfId="367" totalsRowDxfId="366"/>
    <tableColumn id="2" xr3:uid="{D7D2DF2A-9979-4AB4-8EA0-2FCDA499E98E}" name="Principal Outstanding Balance" totalsRowFunction="sum" dataDxfId="365" totalsRowDxfId="364"/>
    <tableColumn id="3" xr3:uid="{23CD5F0A-D158-416D-A052-81137AEAC260}" name="% of Total (Amount)" totalsRowFunction="sum" dataDxfId="363" totalsRowDxfId="362"/>
    <tableColumn id="4" xr3:uid="{53909829-892C-42EC-BB8E-5A5DE5171117}" name="Nb of Loans" totalsRowFunction="sum" dataDxfId="361" totalsRowDxfId="360"/>
    <tableColumn id="5" xr3:uid="{B7424B8C-211F-4B86-84D8-076436BA659B}" name="% of Total (Number)" totalsRowFunction="custom" dataDxfId="359" totalsRowDxfId="358">
      <totalsRowFormula>SUBTOTAL(109,Seasonning[% of Total (Amount)])</totalsRow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138:F154" totalsRowCount="1" headerRowDxfId="357" dataDxfId="356">
  <tableColumns count="5">
    <tableColumn id="1" xr3:uid="{462AAF5D-A3C5-4213-AA4F-7BA258E9F440}" name="Bucket Remaining Term to Maturity  (in months)" totalsRowLabel="Total" dataDxfId="355" totalsRowDxfId="354"/>
    <tableColumn id="2" xr3:uid="{DBF2B9E9-494D-4A6B-A995-B6757DA60FCE}" name="Principal Outstanding Balance" totalsRowFunction="sum" dataDxfId="353" totalsRowDxfId="352"/>
    <tableColumn id="3" xr3:uid="{57605ECF-7CEF-442E-ADF7-E6046A8265B7}" name="% of Total (Amount)" totalsRowFunction="sum" dataDxfId="351" totalsRowDxfId="350"/>
    <tableColumn id="4" xr3:uid="{D6CA75B7-924B-4A83-9EA9-BAA62064D4EC}" name="Nb of Loans" totalsRowFunction="sum" dataDxfId="349" totalsRowDxfId="348"/>
    <tableColumn id="5" xr3:uid="{1DFB4D39-F2FE-4164-B855-412BAA0F687A}" name="% of Total (Number)" totalsRowFunction="custom" dataDxfId="347" totalsRowDxfId="346">
      <totalsRowFormula>SUBTOTAL(109,RemainingTermToMaturity[% of Total (Amount)])</totalsRow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62:F172" totalsRowCount="1" headerRowDxfId="345" dataDxfId="344">
  <tableColumns count="5">
    <tableColumn id="1" xr3:uid="{9D96EA68-46C8-40A9-A066-84CD24576FAE}" name="Year of Origination" totalsRowLabel="Total" dataDxfId="343" totalsRowDxfId="342"/>
    <tableColumn id="2" xr3:uid="{FFFB8F08-A51A-482A-B7AE-0B05A0B76C14}" name="Principal Outstanding Balance" totalsRowFunction="sum" dataDxfId="341" totalsRowDxfId="340"/>
    <tableColumn id="3" xr3:uid="{881B5394-B19E-4096-8139-0273B6E6AD87}" name="% of Total (Amount)" totalsRowFunction="sum" dataDxfId="339" totalsRowDxfId="338"/>
    <tableColumn id="4" xr3:uid="{D013C588-C7B2-4D64-8D20-AA16F09216C8}" name="Nb of Loans" totalsRowFunction="sum" dataDxfId="337" totalsRowDxfId="336"/>
    <tableColumn id="5" xr3:uid="{41D4BDFC-D728-4B65-945A-07EC026F1E03}" name="% of Total (Number)" totalsRowFunction="custom" dataDxfId="335" totalsRowDxfId="334">
      <totalsRowFormula>SUBTOTAL(109,OriginationYear[% of Total (Amount)])</totalsRow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80:F197" totalsRowCount="1" headerRowDxfId="333" dataDxfId="332">
  <tableColumns count="5">
    <tableColumn id="1" xr3:uid="{506A1148-B701-465D-BB53-30A4D4F919EC}" name="Bucket Interest Rate" totalsRowLabel="Total" dataDxfId="331" totalsRowDxfId="330"/>
    <tableColumn id="2" xr3:uid="{D185CB07-DFEF-48C6-848C-554E10BD6736}" name="Principal Outstanding Balance" totalsRowFunction="sum" dataDxfId="329" totalsRowDxfId="328"/>
    <tableColumn id="3" xr3:uid="{53431B9F-F733-4FE2-9A55-27CB35E3EC88}" name="% of Total (Amount)" totalsRowFunction="sum" dataDxfId="327" totalsRowDxfId="326"/>
    <tableColumn id="4" xr3:uid="{0A8543C3-CDA1-4E21-9C77-ECC01D10B7C8}" name="Nb of Loans" totalsRowFunction="sum" dataDxfId="325" totalsRowDxfId="324"/>
    <tableColumn id="5" xr3:uid="{4BC7EDB8-87BA-420A-ADEB-7869DC9EC0BE}" name="% of Total (Number)" totalsRowFunction="custom" dataDxfId="323" totalsRowDxfId="322">
      <totalsRowFormula>SUBTOTAL(109,InterestRate[% of Total (Amount)])</totalsRow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205:F219" totalsRowCount="1" headerRowDxfId="321" dataDxfId="320">
  <tableColumns count="5">
    <tableColumn id="1" xr3:uid="{1C723A5F-BBB5-41C7-8254-0892ED5EF25B}" name="Interest Rate Type" totalsRowLabel="Total" dataDxfId="319" totalsRowDxfId="318"/>
    <tableColumn id="2" xr3:uid="{4311D5AD-3DA5-40F7-AAF5-6DCECA539FFE}" name="Principal Outstanding Balance" totalsRowFunction="sum" dataDxfId="317" totalsRowDxfId="316"/>
    <tableColumn id="3" xr3:uid="{2A00E4F9-D3D7-4A4C-9F85-75E84956C89E}" name="% of Total (Amount)" totalsRowFunction="sum" dataDxfId="315" totalsRowDxfId="314"/>
    <tableColumn id="4" xr3:uid="{78DDCE14-E9E8-47FD-9EBD-302A71D1B8B6}" name="Nb of Loans" totalsRowFunction="sum" dataDxfId="313" totalsRowDxfId="312"/>
    <tableColumn id="5" xr3:uid="{4931395C-AEF2-4D58-B130-A02B21E7FB35}" name="% of Total (Number)" totalsRowFunction="custom" dataDxfId="311" totalsRowDxfId="310">
      <totalsRowFormula>SUBTOTAL(109,InterestRateType[% of Total (Amount)])</totalsRow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227:F244" totalsRowCount="1" headerRowDxfId="309" dataDxfId="308">
  <tableColumns count="5">
    <tableColumn id="1" xr3:uid="{D4D4D080-2928-4994-806F-C44571B045D3}" name="Bucket Current Loan-to-Value" totalsRowLabel="Total" dataDxfId="307" totalsRowDxfId="306"/>
    <tableColumn id="2" xr3:uid="{5C20BD2B-73EE-4159-9B16-44CFD34EBDF4}" name="Principal Outstanding Balance" totalsRowFunction="sum" dataDxfId="305" totalsRowDxfId="304"/>
    <tableColumn id="3" xr3:uid="{40EFBCEE-715E-40F5-952F-17AD798672CB}" name="% of Total (Amount)" totalsRowFunction="sum" dataDxfId="303" totalsRowDxfId="302"/>
    <tableColumn id="4" xr3:uid="{FC363D7B-F7E9-46AA-B54D-A40C6423A6B3}" name="Nb of Loans" totalsRowFunction="sum" dataDxfId="301" totalsRowDxfId="300"/>
    <tableColumn id="5" xr3:uid="{54F75B27-E58A-44D0-B1D2-DE16F703AFF6}" name="% of Total (Number)" totalsRowFunction="custom" dataDxfId="299" totalsRowDxfId="298">
      <totalsRowFormula>SUBTOTAL(109,CurrentLoanToValue[% of Total (Amount)])</totalsRow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52:F269" totalsRowCount="1" headerRowDxfId="297" dataDxfId="296">
  <tableColumns count="5">
    <tableColumn id="1" xr3:uid="{8EC506AD-9214-4756-87B2-D94D0DCAE89F}" name="Bucket Current Loan-to-Value" totalsRowLabel="Total" dataDxfId="295" totalsRowDxfId="294"/>
    <tableColumn id="2" xr3:uid="{6A8F3901-469B-4215-922C-9A3FB60F343A}" name="Principal Outstanding Balance" totalsRowFunction="sum" dataDxfId="293" totalsRowDxfId="292"/>
    <tableColumn id="3" xr3:uid="{EBF53F69-33DB-4CD1-9D2E-998B201EEF3D}" name="% of Total (Amount)" totalsRowFunction="sum" dataDxfId="291" totalsRowDxfId="290"/>
    <tableColumn id="4" xr3:uid="{7F393BCD-2728-43FC-B6A3-9DB360A6D681}" name="Nb of Loans" totalsRowFunction="sum" dataDxfId="289" totalsRowDxfId="288"/>
    <tableColumn id="5" xr3:uid="{638C4A53-29B4-4097-BBC9-21A983D90C88}" name="% of Total (Number)" totalsRowFunction="custom" dataDxfId="287" totalsRowDxfId="286">
      <totalsRowFormula>SUBTOTAL(109,CurrentLoanToValueMortgage[% of Total (Amount)])</totalsRowFormula>
    </tableColumn>
  </tableColumns>
  <tableStyleInfo name="TableStyleLight8"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ctFrenchPrimeCash2023@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imitri.bellaiche@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2" Type="http://schemas.openxmlformats.org/officeDocument/2006/relationships/drawing" Target="../drawings/drawing13.xml"/><Relationship Id="rId16" Type="http://schemas.openxmlformats.org/officeDocument/2006/relationships/table" Target="../tables/table14.xml"/><Relationship Id="rId20" Type="http://schemas.openxmlformats.org/officeDocument/2006/relationships/table" Target="../tables/table18.xml"/><Relationship Id="rId29" Type="http://schemas.openxmlformats.org/officeDocument/2006/relationships/table" Target="../tables/table27.xml"/><Relationship Id="rId1" Type="http://schemas.openxmlformats.org/officeDocument/2006/relationships/printerSettings" Target="../printerSettings/printerSettings13.bin"/><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B2:L44"/>
  <sheetViews>
    <sheetView showGridLines="0" view="pageBreakPreview" zoomScale="90" zoomScaleNormal="100" zoomScaleSheetLayoutView="90" workbookViewId="0">
      <selection activeCell="F22" sqref="F22"/>
    </sheetView>
  </sheetViews>
  <sheetFormatPr defaultColWidth="11.453125" defaultRowHeight="14.5" x14ac:dyDescent="0.35"/>
  <cols>
    <col min="1" max="1" width="2.1796875" style="8" customWidth="1"/>
    <col min="2" max="2" width="7.453125" style="8" customWidth="1"/>
    <col min="3" max="3" width="53.7265625" style="8" customWidth="1"/>
    <col min="4" max="4" width="1.81640625" style="8" customWidth="1"/>
    <col min="5" max="5" width="2.453125" style="8" customWidth="1"/>
    <col min="6" max="6" width="38.54296875" style="8" customWidth="1"/>
    <col min="7" max="7" width="4.54296875" style="8" customWidth="1"/>
    <col min="8" max="8" width="6.81640625" style="8" customWidth="1"/>
    <col min="9" max="9" width="6.26953125" style="8" customWidth="1"/>
    <col min="10" max="10" width="6.1796875" style="8" customWidth="1"/>
    <col min="11" max="11" width="8.26953125" style="8" customWidth="1"/>
    <col min="12" max="16384" width="11.453125" style="8"/>
  </cols>
  <sheetData>
    <row r="2" spans="2:8" x14ac:dyDescent="0.35">
      <c r="B2" s="13"/>
      <c r="C2" s="13"/>
      <c r="D2" s="13"/>
      <c r="E2" s="13"/>
      <c r="F2" s="13"/>
      <c r="G2" s="13"/>
      <c r="H2" s="13"/>
    </row>
    <row r="3" spans="2:8" x14ac:dyDescent="0.35">
      <c r="B3" s="13"/>
      <c r="C3" s="13"/>
      <c r="D3" s="13"/>
      <c r="F3" s="13"/>
      <c r="G3" s="13"/>
      <c r="H3" s="13"/>
    </row>
    <row r="4" spans="2:8" x14ac:dyDescent="0.35">
      <c r="B4" s="13"/>
      <c r="C4" s="13"/>
      <c r="D4" s="13"/>
      <c r="E4" s="13"/>
      <c r="F4"/>
      <c r="G4" s="13"/>
      <c r="H4" s="13"/>
    </row>
    <row r="5" spans="2:8" x14ac:dyDescent="0.35">
      <c r="B5" s="13"/>
      <c r="C5" s="13"/>
      <c r="D5" s="13"/>
      <c r="E5" s="13"/>
      <c r="F5" s="13"/>
      <c r="G5" s="13"/>
      <c r="H5" s="14"/>
    </row>
    <row r="6" spans="2:8" x14ac:dyDescent="0.35">
      <c r="B6" s="13"/>
      <c r="C6" s="13"/>
      <c r="D6" s="13"/>
      <c r="F6" s="13"/>
      <c r="G6" s="13"/>
      <c r="H6" s="14"/>
    </row>
    <row r="7" spans="2:8" x14ac:dyDescent="0.35">
      <c r="B7" s="13"/>
      <c r="C7" s="13"/>
      <c r="D7" s="13"/>
      <c r="E7" s="13"/>
      <c r="F7" s="13"/>
      <c r="G7" s="13"/>
      <c r="H7" s="14"/>
    </row>
    <row r="8" spans="2:8" ht="31.5" customHeight="1" x14ac:dyDescent="0.85">
      <c r="B8" s="15"/>
      <c r="C8" s="872" t="s">
        <v>1199</v>
      </c>
      <c r="D8" s="872"/>
      <c r="E8" s="872"/>
      <c r="F8" s="872"/>
      <c r="G8" s="15"/>
      <c r="H8" s="14"/>
    </row>
    <row r="9" spans="2:8" ht="31.5" customHeight="1" x14ac:dyDescent="0.85">
      <c r="B9" s="15"/>
      <c r="C9" s="15"/>
      <c r="D9" s="15"/>
      <c r="E9" s="15"/>
      <c r="F9" s="15"/>
      <c r="G9" s="15"/>
      <c r="H9" s="14"/>
    </row>
    <row r="10" spans="2:8" ht="31.5" customHeight="1" x14ac:dyDescent="0.85">
      <c r="B10" s="15"/>
      <c r="C10" s="15"/>
      <c r="D10" s="15"/>
      <c r="E10" s="15"/>
      <c r="F10" s="15"/>
      <c r="G10" s="15"/>
      <c r="H10" s="14"/>
    </row>
    <row r="11" spans="2:8" ht="15" customHeight="1" x14ac:dyDescent="0.85">
      <c r="B11" s="15"/>
      <c r="C11" s="15"/>
      <c r="D11" s="15"/>
      <c r="E11" s="15"/>
      <c r="F11" s="15"/>
      <c r="G11" s="15"/>
      <c r="H11" s="14"/>
    </row>
    <row r="12" spans="2:8" ht="30.5" x14ac:dyDescent="0.85">
      <c r="B12" s="16"/>
      <c r="C12" s="16"/>
      <c r="D12" s="16"/>
      <c r="E12" s="16"/>
      <c r="F12" s="17"/>
      <c r="G12" s="16"/>
      <c r="H12" s="18"/>
    </row>
    <row r="13" spans="2:8" ht="12.75" customHeight="1" x14ac:dyDescent="0.85">
      <c r="C13" s="839" t="s">
        <v>90</v>
      </c>
      <c r="D13" s="16"/>
      <c r="E13" s="16"/>
      <c r="F13" s="442"/>
      <c r="G13" s="19"/>
    </row>
    <row r="14" spans="2:8" ht="12.75" customHeight="1" x14ac:dyDescent="0.85">
      <c r="C14" s="839" t="s">
        <v>91</v>
      </c>
      <c r="D14" s="16"/>
      <c r="E14" s="16"/>
      <c r="F14" s="442"/>
      <c r="G14" s="19"/>
    </row>
    <row r="15" spans="2:8" ht="12.75" customHeight="1" x14ac:dyDescent="0.85">
      <c r="C15" s="839" t="s">
        <v>1117</v>
      </c>
      <c r="D15" s="16"/>
      <c r="E15" s="16"/>
      <c r="F15" s="442"/>
      <c r="G15" s="19"/>
    </row>
    <row r="16" spans="2:8" ht="12.75" customHeight="1" x14ac:dyDescent="0.85">
      <c r="C16" s="839" t="s">
        <v>94</v>
      </c>
      <c r="D16" s="16"/>
      <c r="E16" s="16"/>
      <c r="F16" s="442"/>
      <c r="G16" s="19"/>
    </row>
    <row r="17" spans="3:8" ht="12.75" customHeight="1" x14ac:dyDescent="0.85">
      <c r="C17" s="839" t="s">
        <v>87</v>
      </c>
      <c r="D17" s="16"/>
      <c r="E17" s="16"/>
      <c r="F17" s="442"/>
      <c r="G17" s="19"/>
    </row>
    <row r="18" spans="3:8" ht="12.75" customHeight="1" x14ac:dyDescent="0.85">
      <c r="C18" s="839" t="s">
        <v>179</v>
      </c>
      <c r="D18" s="16"/>
      <c r="E18" s="16"/>
      <c r="F18" s="442"/>
      <c r="G18" s="19"/>
    </row>
    <row r="19" spans="3:8" ht="15.5" x14ac:dyDescent="0.35">
      <c r="C19" s="22"/>
      <c r="D19" s="21"/>
      <c r="E19" s="23"/>
      <c r="F19" s="21"/>
      <c r="G19" s="20"/>
      <c r="H19" s="20"/>
    </row>
    <row r="20" spans="3:8" ht="24.75" customHeight="1" x14ac:dyDescent="0.35">
      <c r="C20" s="428" t="s">
        <v>93</v>
      </c>
      <c r="D20" s="204"/>
      <c r="E20" s="205"/>
      <c r="F20" s="21"/>
      <c r="G20" s="20"/>
      <c r="H20" s="20"/>
    </row>
    <row r="21" spans="3:8" ht="22.5" customHeight="1" x14ac:dyDescent="0.35">
      <c r="C21" s="420"/>
      <c r="D21" s="421"/>
      <c r="E21" s="420"/>
      <c r="F21" s="420"/>
      <c r="G21" s="20"/>
      <c r="H21" s="20"/>
    </row>
    <row r="22" spans="3:8" ht="15.5" x14ac:dyDescent="0.35">
      <c r="C22" s="420"/>
      <c r="D22" s="422"/>
      <c r="E22" s="420"/>
      <c r="F22" s="420"/>
      <c r="G22" s="20"/>
      <c r="H22" s="20"/>
    </row>
    <row r="23" spans="3:8" ht="15.5" x14ac:dyDescent="0.35">
      <c r="C23" s="420"/>
      <c r="D23" s="422"/>
      <c r="E23" s="420"/>
      <c r="F23" s="420"/>
      <c r="G23" s="20"/>
      <c r="H23" s="20"/>
    </row>
    <row r="24" spans="3:8" ht="15.5" x14ac:dyDescent="0.35">
      <c r="C24" s="420"/>
      <c r="D24" s="422"/>
      <c r="E24" s="420"/>
      <c r="F24" s="420"/>
      <c r="G24" s="20"/>
      <c r="H24" s="20"/>
    </row>
    <row r="25" spans="3:8" ht="15.5" x14ac:dyDescent="0.35">
      <c r="C25" s="420"/>
      <c r="D25" s="422"/>
      <c r="E25" s="420"/>
      <c r="F25" s="423"/>
      <c r="G25" s="20"/>
      <c r="H25" s="20"/>
    </row>
    <row r="26" spans="3:8" ht="15.5" x14ac:dyDescent="0.35">
      <c r="C26" s="420"/>
      <c r="D26" s="422"/>
      <c r="E26" s="420"/>
      <c r="F26" s="423"/>
      <c r="G26" s="20"/>
      <c r="H26" s="20"/>
    </row>
    <row r="27" spans="3:8" ht="17.25" customHeight="1" x14ac:dyDescent="0.35">
      <c r="C27" s="420"/>
      <c r="D27" s="20"/>
      <c r="E27" s="25"/>
      <c r="F27" s="25"/>
      <c r="G27" s="20"/>
      <c r="H27" s="20"/>
    </row>
    <row r="28" spans="3:8" ht="15.5" x14ac:dyDescent="0.35">
      <c r="G28" s="26"/>
      <c r="H28" s="20"/>
    </row>
    <row r="29" spans="3:8" ht="15.5" x14ac:dyDescent="0.35">
      <c r="C29" s="24"/>
      <c r="D29" s="20"/>
      <c r="E29" s="25"/>
      <c r="F29" s="25"/>
      <c r="G29" s="26"/>
      <c r="H29" s="20"/>
    </row>
    <row r="30" spans="3:8" ht="24.75" customHeight="1" x14ac:dyDescent="0.35">
      <c r="C30" s="428" t="s">
        <v>21</v>
      </c>
      <c r="D30" s="204"/>
      <c r="E30" s="205"/>
      <c r="F30" s="21"/>
      <c r="G30" s="20"/>
      <c r="H30" s="20"/>
    </row>
    <row r="31" spans="3:8" ht="15.5" x14ac:dyDescent="0.35">
      <c r="C31" s="723" t="s">
        <v>273</v>
      </c>
      <c r="D31" s="20"/>
      <c r="E31" s="27"/>
      <c r="F31" s="28" t="s">
        <v>104</v>
      </c>
      <c r="G31" s="26"/>
      <c r="H31" s="20"/>
    </row>
    <row r="32" spans="3:8" ht="15.5" x14ac:dyDescent="0.35">
      <c r="C32" s="724" t="s">
        <v>1168</v>
      </c>
      <c r="D32" s="20"/>
      <c r="E32" s="27"/>
      <c r="F32" s="28" t="s">
        <v>1167</v>
      </c>
      <c r="G32" s="26"/>
      <c r="H32" s="20"/>
    </row>
    <row r="33" spans="3:12" ht="15.5" x14ac:dyDescent="0.35">
      <c r="C33" s="724" t="s">
        <v>274</v>
      </c>
      <c r="D33" s="20"/>
      <c r="E33" s="27"/>
      <c r="F33" s="28" t="s">
        <v>172</v>
      </c>
      <c r="G33" s="26"/>
      <c r="H33" s="20"/>
    </row>
    <row r="34" spans="3:12" ht="15.5" x14ac:dyDescent="0.35">
      <c r="C34" s="725" t="s">
        <v>275</v>
      </c>
      <c r="D34" s="20"/>
      <c r="E34" s="207"/>
      <c r="F34" s="208" t="s">
        <v>105</v>
      </c>
      <c r="G34" s="26"/>
      <c r="H34" s="20"/>
    </row>
    <row r="35" spans="3:12" ht="15.5" x14ac:dyDescent="0.35">
      <c r="C35" s="726" t="s">
        <v>274</v>
      </c>
      <c r="D35" s="20"/>
      <c r="E35" s="207"/>
      <c r="F35" s="208" t="s">
        <v>106</v>
      </c>
      <c r="G35" s="26"/>
      <c r="H35" s="20"/>
    </row>
    <row r="36" spans="3:12" ht="15.75" customHeight="1" x14ac:dyDescent="0.35">
      <c r="C36" s="725" t="s">
        <v>274</v>
      </c>
      <c r="D36" s="20"/>
      <c r="E36" s="202"/>
      <c r="F36" s="203" t="s">
        <v>109</v>
      </c>
      <c r="G36" s="29"/>
      <c r="H36" s="20"/>
    </row>
    <row r="37" spans="3:12" ht="15.5" x14ac:dyDescent="0.35">
      <c r="C37" s="29"/>
      <c r="D37" s="29"/>
      <c r="E37" s="29"/>
      <c r="F37" s="29"/>
      <c r="G37" s="29"/>
      <c r="H37" s="20"/>
    </row>
    <row r="38" spans="3:12" ht="15.5" x14ac:dyDescent="0.35">
      <c r="C38" s="20"/>
      <c r="D38" s="20"/>
      <c r="E38" s="29"/>
      <c r="F38" s="29"/>
      <c r="G38" s="29"/>
      <c r="H38" s="20"/>
    </row>
    <row r="39" spans="3:12" ht="15.5" x14ac:dyDescent="0.35">
      <c r="C39" s="428" t="s">
        <v>222</v>
      </c>
      <c r="E39" s="26"/>
      <c r="F39" s="26"/>
      <c r="G39" s="26"/>
      <c r="H39" s="20"/>
    </row>
    <row r="40" spans="3:12" ht="15.5" x14ac:dyDescent="0.35">
      <c r="C40" s="429" t="s">
        <v>5</v>
      </c>
      <c r="D40" s="30" t="s">
        <v>6</v>
      </c>
      <c r="E40" s="526" t="s">
        <v>278</v>
      </c>
      <c r="G40" s="430"/>
      <c r="H40" s="20"/>
    </row>
    <row r="41" spans="3:12" ht="24" customHeight="1" x14ac:dyDescent="0.35">
      <c r="C41" s="429" t="s">
        <v>7</v>
      </c>
      <c r="D41" s="30" t="s">
        <v>6</v>
      </c>
      <c r="E41" s="875" t="s">
        <v>1237</v>
      </c>
      <c r="F41" s="875"/>
      <c r="G41" s="875"/>
      <c r="H41" s="875"/>
      <c r="I41" s="875"/>
      <c r="J41" s="875"/>
      <c r="K41" s="875"/>
      <c r="L41" s="875"/>
    </row>
    <row r="42" spans="3:12" ht="15.5" x14ac:dyDescent="0.35">
      <c r="C42" s="20"/>
      <c r="D42" s="431"/>
      <c r="E42" s="873" t="s">
        <v>277</v>
      </c>
      <c r="F42" s="874"/>
      <c r="G42" s="874"/>
      <c r="H42" s="20"/>
    </row>
    <row r="43" spans="3:12" ht="15.5" x14ac:dyDescent="0.35">
      <c r="C43" s="20"/>
      <c r="D43" s="431"/>
      <c r="E43" s="873" t="s">
        <v>276</v>
      </c>
      <c r="F43" s="874"/>
      <c r="G43" s="874"/>
      <c r="H43" s="20"/>
    </row>
    <row r="44" spans="3:12" ht="15.5" x14ac:dyDescent="0.35">
      <c r="C44" s="20"/>
      <c r="D44" s="431"/>
      <c r="E44" s="873" t="s">
        <v>1166</v>
      </c>
      <c r="F44" s="874"/>
      <c r="G44" s="874"/>
      <c r="H44" s="20"/>
    </row>
  </sheetData>
  <mergeCells count="5">
    <mergeCell ref="C8:F8"/>
    <mergeCell ref="E42:G42"/>
    <mergeCell ref="E43:G43"/>
    <mergeCell ref="E44:G44"/>
    <mergeCell ref="E41:L41"/>
  </mergeCells>
  <hyperlinks>
    <hyperlink ref="E42" r:id="rId1" xr:uid="{DE9DB5DA-1FD4-4370-8FAB-1B681B229AC1}"/>
    <hyperlink ref="E43" r:id="rId2" xr:uid="{1649A6B6-FCBB-4C0E-9556-40F12A7302CE}"/>
    <hyperlink ref="E40" r:id="rId3" xr:uid="{C84B16EE-AF88-483F-B3BE-F94C888DE3B9}"/>
    <hyperlink ref="E44" r:id="rId4" xr:uid="{2D591AC7-023E-491D-A3DF-CBD9ABC06A2E}"/>
  </hyperlinks>
  <pageMargins left="0.7" right="0.7" top="0.75" bottom="0.75" header="0.3" footer="0.3"/>
  <pageSetup paperSize="9" scale="53"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24"/>
  <sheetViews>
    <sheetView showGridLines="0" view="pageBreakPreview" zoomScaleNormal="25" zoomScaleSheetLayoutView="100" workbookViewId="0">
      <selection activeCell="K28" sqref="K28"/>
    </sheetView>
  </sheetViews>
  <sheetFormatPr defaultColWidth="21.453125" defaultRowHeight="12.5" x14ac:dyDescent="0.25"/>
  <cols>
    <col min="1" max="1" width="6.1796875" style="546" customWidth="1"/>
    <col min="2" max="2" width="25.81640625" style="546" customWidth="1"/>
    <col min="3" max="3" width="28.1796875" style="546" customWidth="1"/>
    <col min="4" max="4" width="25" style="546" customWidth="1"/>
    <col min="5" max="5" width="18.81640625" style="546" customWidth="1"/>
    <col min="6" max="6" width="21.54296875" style="546" bestFit="1" customWidth="1"/>
    <col min="7" max="7" width="15.453125" style="546" customWidth="1"/>
    <col min="8" max="8" width="25" style="546" bestFit="1" customWidth="1"/>
    <col min="9" max="9" width="19" style="546" customWidth="1"/>
    <col min="10" max="10" width="7.453125" style="546" customWidth="1"/>
    <col min="11" max="16384" width="21.453125" style="546"/>
  </cols>
  <sheetData>
    <row r="3" spans="2:9" ht="15" customHeight="1" x14ac:dyDescent="0.25">
      <c r="B3" s="112"/>
      <c r="C3" s="112"/>
      <c r="D3" s="112"/>
      <c r="E3" s="112"/>
      <c r="F3" s="112"/>
      <c r="G3" s="112"/>
    </row>
    <row r="4" spans="2:9" ht="15" customHeight="1" x14ac:dyDescent="0.25">
      <c r="B4" s="112"/>
      <c r="C4" s="112"/>
      <c r="D4" s="794"/>
      <c r="H4" s="165" t="s">
        <v>134</v>
      </c>
      <c r="I4" s="165">
        <f>'00 - Cover'!$F$16</f>
        <v>0</v>
      </c>
    </row>
    <row r="5" spans="2:9" ht="15" customHeight="1" x14ac:dyDescent="0.25">
      <c r="B5" s="112"/>
      <c r="C5" s="112"/>
      <c r="D5" s="794"/>
      <c r="H5" s="165" t="s">
        <v>1117</v>
      </c>
      <c r="I5" s="165">
        <f>'00 - Cover'!$F$15</f>
        <v>0</v>
      </c>
    </row>
    <row r="6" spans="2:9" ht="12.75" customHeight="1" x14ac:dyDescent="0.25">
      <c r="B6" s="112"/>
      <c r="C6" s="112"/>
      <c r="D6" s="794"/>
      <c r="H6" s="165" t="s">
        <v>94</v>
      </c>
      <c r="I6" s="165">
        <f>'00 - Cover'!$F$16</f>
        <v>0</v>
      </c>
    </row>
    <row r="7" spans="2:9" ht="13" x14ac:dyDescent="0.25">
      <c r="B7" s="112"/>
      <c r="C7" s="112"/>
      <c r="D7" s="112"/>
      <c r="E7" s="112"/>
      <c r="F7" s="112"/>
      <c r="G7" s="112"/>
      <c r="H7" s="165" t="s">
        <v>87</v>
      </c>
      <c r="I7" s="165">
        <f>'00 - Cover'!$F$17</f>
        <v>0</v>
      </c>
    </row>
    <row r="10" spans="2:9" ht="15.5" x14ac:dyDescent="0.35">
      <c r="B10" s="962" t="s">
        <v>1248</v>
      </c>
      <c r="C10" s="963"/>
      <c r="D10" s="963"/>
      <c r="E10" s="963"/>
      <c r="F10" s="963"/>
      <c r="G10" s="963"/>
      <c r="H10" s="963"/>
      <c r="I10" s="963"/>
    </row>
    <row r="11" spans="2:9" x14ac:dyDescent="0.25">
      <c r="B11" s="807"/>
      <c r="C11" s="808"/>
      <c r="D11" s="809"/>
      <c r="E11" s="809"/>
      <c r="F11" s="809"/>
      <c r="G11" s="810"/>
      <c r="H11" s="810"/>
      <c r="I11" s="810"/>
    </row>
    <row r="12" spans="2:9" x14ac:dyDescent="0.25">
      <c r="B12" s="807"/>
      <c r="C12" s="808"/>
      <c r="D12" s="809"/>
      <c r="E12" s="809"/>
      <c r="F12" s="809"/>
      <c r="G12" s="810"/>
      <c r="H12" s="964"/>
      <c r="I12" s="810"/>
    </row>
    <row r="13" spans="2:9" x14ac:dyDescent="0.25">
      <c r="B13" s="807"/>
      <c r="C13" s="808"/>
      <c r="D13" s="809"/>
      <c r="E13" s="809"/>
      <c r="F13" s="809"/>
      <c r="G13" s="810"/>
      <c r="H13" s="965"/>
      <c r="I13" s="810"/>
    </row>
    <row r="14" spans="2:9" ht="15.5" x14ac:dyDescent="0.3">
      <c r="B14" s="825" t="s">
        <v>1156</v>
      </c>
      <c r="C14" s="826"/>
      <c r="D14" s="826"/>
      <c r="E14" s="827"/>
      <c r="F14" s="828"/>
      <c r="G14" s="829"/>
      <c r="H14" s="831"/>
      <c r="I14" s="830"/>
    </row>
    <row r="15" spans="2:9" x14ac:dyDescent="0.25">
      <c r="B15" s="966" t="s">
        <v>1242</v>
      </c>
      <c r="C15" s="966" t="s">
        <v>1243</v>
      </c>
      <c r="D15" s="967" t="s">
        <v>1244</v>
      </c>
      <c r="E15" s="967"/>
      <c r="F15" s="967"/>
      <c r="G15" s="967" t="s">
        <v>1249</v>
      </c>
      <c r="H15" s="966" t="s">
        <v>1245</v>
      </c>
      <c r="I15" s="966" t="s">
        <v>1331</v>
      </c>
    </row>
    <row r="16" spans="2:9" ht="20.25" customHeight="1" x14ac:dyDescent="0.25">
      <c r="B16" s="966"/>
      <c r="C16" s="966"/>
      <c r="D16" s="842" t="s">
        <v>1246</v>
      </c>
      <c r="E16" s="842" t="s">
        <v>1247</v>
      </c>
      <c r="F16" s="842" t="s">
        <v>178</v>
      </c>
      <c r="G16" s="968"/>
      <c r="H16" s="966"/>
      <c r="I16" s="966"/>
    </row>
    <row r="17" spans="2:60" x14ac:dyDescent="0.25">
      <c r="B17" s="811"/>
      <c r="C17" s="812"/>
      <c r="D17" s="813"/>
      <c r="E17" s="813"/>
      <c r="F17" s="814">
        <f>IFERROR(E17-D17,"N/A")</f>
        <v>0</v>
      </c>
      <c r="G17" s="815"/>
      <c r="H17" s="816"/>
      <c r="I17" s="817"/>
      <c r="K17" s="818"/>
      <c r="L17" s="818"/>
      <c r="M17" s="818"/>
      <c r="N17" s="818"/>
      <c r="O17" s="818"/>
      <c r="P17" s="818"/>
      <c r="Q17" s="818"/>
      <c r="R17" s="818"/>
      <c r="S17" s="818"/>
      <c r="T17" s="818"/>
      <c r="U17" s="818"/>
      <c r="V17" s="818"/>
      <c r="W17" s="818"/>
      <c r="X17" s="818"/>
      <c r="Y17" s="818"/>
      <c r="Z17" s="818"/>
      <c r="AA17" s="818"/>
      <c r="AB17" s="818"/>
      <c r="AC17" s="818"/>
      <c r="AD17" s="818"/>
      <c r="AE17" s="818"/>
      <c r="AF17" s="818"/>
      <c r="AG17" s="818"/>
      <c r="AH17" s="818"/>
      <c r="AI17" s="818"/>
      <c r="AJ17" s="818"/>
      <c r="AK17" s="818"/>
      <c r="AL17" s="818"/>
      <c r="AM17" s="818"/>
      <c r="AN17" s="818"/>
      <c r="AO17" s="818"/>
      <c r="AP17" s="818"/>
      <c r="AQ17" s="818"/>
      <c r="AR17" s="818"/>
      <c r="AS17" s="818"/>
      <c r="AT17" s="818"/>
      <c r="AU17" s="818"/>
      <c r="AV17" s="818"/>
      <c r="AW17" s="818"/>
      <c r="AX17" s="818"/>
      <c r="AY17" s="818"/>
      <c r="AZ17" s="818"/>
      <c r="BA17" s="818"/>
      <c r="BB17" s="818"/>
      <c r="BC17" s="818"/>
      <c r="BD17" s="818"/>
      <c r="BE17" s="818"/>
      <c r="BF17" s="818"/>
      <c r="BG17" s="818"/>
      <c r="BH17" s="818"/>
    </row>
    <row r="18" spans="2:60" x14ac:dyDescent="0.25">
      <c r="B18" s="810"/>
      <c r="C18" s="819"/>
      <c r="D18" s="810"/>
      <c r="E18" s="810"/>
      <c r="F18" s="810"/>
      <c r="G18" s="810"/>
      <c r="H18" s="810"/>
      <c r="I18" s="810"/>
    </row>
    <row r="19" spans="2:60" x14ac:dyDescent="0.25">
      <c r="B19" s="810"/>
      <c r="C19" s="819"/>
      <c r="D19" s="810"/>
      <c r="E19" s="810"/>
      <c r="F19" s="810"/>
      <c r="G19" s="810"/>
      <c r="H19" s="810"/>
      <c r="I19" s="810"/>
    </row>
    <row r="20" spans="2:60" ht="15.5" x14ac:dyDescent="0.3">
      <c r="B20" s="825" t="s">
        <v>1178</v>
      </c>
      <c r="C20" s="826"/>
      <c r="D20" s="826"/>
      <c r="E20" s="827"/>
      <c r="F20" s="828"/>
      <c r="G20" s="829"/>
      <c r="H20" s="831"/>
      <c r="I20" s="830"/>
    </row>
    <row r="21" spans="2:60" ht="14.25" customHeight="1" x14ac:dyDescent="0.25">
      <c r="B21" s="959" t="s">
        <v>1242</v>
      </c>
      <c r="C21" s="959" t="s">
        <v>1243</v>
      </c>
      <c r="D21" s="960" t="s">
        <v>1244</v>
      </c>
      <c r="E21" s="960"/>
      <c r="F21" s="960"/>
      <c r="G21" s="960" t="s">
        <v>1249</v>
      </c>
      <c r="H21" s="959" t="s">
        <v>1245</v>
      </c>
      <c r="I21" s="959" t="s">
        <v>1332</v>
      </c>
    </row>
    <row r="22" spans="2:60" ht="14.25" customHeight="1" x14ac:dyDescent="0.25">
      <c r="B22" s="959"/>
      <c r="C22" s="959"/>
      <c r="D22" s="843" t="s">
        <v>1246</v>
      </c>
      <c r="E22" s="843" t="s">
        <v>1247</v>
      </c>
      <c r="F22" s="843" t="s">
        <v>178</v>
      </c>
      <c r="G22" s="961"/>
      <c r="H22" s="959"/>
      <c r="I22" s="959"/>
    </row>
    <row r="23" spans="2:60" x14ac:dyDescent="0.25">
      <c r="B23" s="811"/>
      <c r="C23" s="812"/>
      <c r="D23" s="813"/>
      <c r="E23" s="813"/>
      <c r="F23" s="814">
        <f>IFERROR(E23-D23,"N/A")</f>
        <v>0</v>
      </c>
      <c r="G23" s="815"/>
      <c r="H23" s="816"/>
      <c r="I23" s="817"/>
    </row>
    <row r="24" spans="2:60" x14ac:dyDescent="0.25">
      <c r="B24" s="820"/>
      <c r="C24" s="821"/>
      <c r="D24" s="822"/>
      <c r="E24" s="822"/>
      <c r="F24" s="823"/>
      <c r="G24" s="824"/>
    </row>
  </sheetData>
  <mergeCells count="14">
    <mergeCell ref="B10:I10"/>
    <mergeCell ref="H12:H13"/>
    <mergeCell ref="B15:B16"/>
    <mergeCell ref="C15:C16"/>
    <mergeCell ref="D15:F15"/>
    <mergeCell ref="G15:G16"/>
    <mergeCell ref="H15:H16"/>
    <mergeCell ref="I15:I16"/>
    <mergeCell ref="I21:I22"/>
    <mergeCell ref="B21:B22"/>
    <mergeCell ref="C21:C22"/>
    <mergeCell ref="D21:F21"/>
    <mergeCell ref="G21:G22"/>
    <mergeCell ref="H21:H22"/>
  </mergeCells>
  <pageMargins left="0.7" right="0.7" top="0.75" bottom="0.75" header="0.3" footer="0.3"/>
  <pageSetup scale="1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B2:P59"/>
  <sheetViews>
    <sheetView showGridLines="0" view="pageBreakPreview" zoomScaleNormal="40" zoomScaleSheetLayoutView="100" workbookViewId="0">
      <selection activeCell="L19" sqref="L19"/>
    </sheetView>
  </sheetViews>
  <sheetFormatPr defaultColWidth="9.1796875" defaultRowHeight="12.5" x14ac:dyDescent="0.25"/>
  <cols>
    <col min="1" max="1" width="9.1796875" style="546"/>
    <col min="2" max="2" width="1.81640625" style="546" customWidth="1"/>
    <col min="3" max="3" width="5.81640625" style="546" customWidth="1"/>
    <col min="4" max="4" width="9.1796875" style="546"/>
    <col min="5" max="7" width="32.54296875" style="546" customWidth="1"/>
    <col min="8" max="8" width="16.54296875" style="546" bestFit="1" customWidth="1"/>
    <col min="9" max="9" width="18.453125" style="546" customWidth="1"/>
    <col min="10" max="10" width="9.1796875" style="546"/>
    <col min="11" max="11" width="13.54296875" style="546" bestFit="1" customWidth="1"/>
    <col min="12" max="12" width="11.81640625" style="546" bestFit="1" customWidth="1"/>
    <col min="13" max="13" width="16.54296875" style="546" bestFit="1" customWidth="1"/>
    <col min="14" max="14" width="11.453125" style="546" bestFit="1" customWidth="1"/>
    <col min="15" max="15" width="13.453125" style="546" customWidth="1"/>
    <col min="16" max="16" width="13" style="546" customWidth="1"/>
    <col min="17" max="17" width="11.81640625" style="546" bestFit="1" customWidth="1"/>
    <col min="18" max="16384" width="9.1796875" style="546"/>
  </cols>
  <sheetData>
    <row r="2" spans="2:13" ht="13" x14ac:dyDescent="0.25">
      <c r="H2" s="165" t="s">
        <v>134</v>
      </c>
      <c r="I2" s="165">
        <f>'00 - Cover'!$F$16</f>
        <v>0</v>
      </c>
    </row>
    <row r="3" spans="2:13" ht="13" x14ac:dyDescent="0.25">
      <c r="H3" s="165" t="s">
        <v>1117</v>
      </c>
      <c r="I3" s="165">
        <f>'00 - Cover'!$F$15</f>
        <v>0</v>
      </c>
    </row>
    <row r="4" spans="2:13" ht="13" x14ac:dyDescent="0.25">
      <c r="H4" s="165" t="s">
        <v>94</v>
      </c>
      <c r="I4" s="165">
        <f>'00 - Cover'!$F$16</f>
        <v>0</v>
      </c>
    </row>
    <row r="5" spans="2:13" ht="13" x14ac:dyDescent="0.3">
      <c r="H5" s="165" t="s">
        <v>87</v>
      </c>
      <c r="I5" s="836">
        <f>'00 - Cover'!$F$17</f>
        <v>0</v>
      </c>
    </row>
    <row r="7" spans="2:13" ht="15.5" x14ac:dyDescent="0.35">
      <c r="B7" s="771"/>
      <c r="C7" s="772" t="s">
        <v>1202</v>
      </c>
      <c r="D7" s="772"/>
      <c r="E7" s="772"/>
      <c r="F7" s="772"/>
      <c r="G7" s="772"/>
      <c r="H7" s="772"/>
      <c r="I7" s="772"/>
      <c r="J7" s="772"/>
      <c r="K7" s="772"/>
    </row>
    <row r="10" spans="2:13" ht="15.5" x14ac:dyDescent="0.35">
      <c r="B10" s="682"/>
      <c r="C10" s="978" t="s">
        <v>238</v>
      </c>
      <c r="D10" s="978"/>
      <c r="E10" s="978"/>
      <c r="F10" s="978"/>
      <c r="G10" s="978"/>
      <c r="H10" s="683"/>
      <c r="I10" s="683"/>
      <c r="J10" s="684"/>
      <c r="K10" s="685"/>
    </row>
    <row r="11" spans="2:13" ht="14.5" x14ac:dyDescent="0.35">
      <c r="B11" s="686"/>
      <c r="C11" s="979"/>
      <c r="D11" s="979"/>
      <c r="E11" s="979"/>
      <c r="F11" s="979"/>
      <c r="G11" s="979"/>
      <c r="H11" s="791" t="s">
        <v>8</v>
      </c>
      <c r="I11" s="687" t="s">
        <v>244</v>
      </c>
      <c r="J11" s="688"/>
      <c r="K11" s="685"/>
    </row>
    <row r="12" spans="2:13" ht="14.5" x14ac:dyDescent="0.35">
      <c r="B12" s="689"/>
      <c r="C12" s="690"/>
      <c r="D12" s="980" t="s">
        <v>1181</v>
      </c>
      <c r="E12" s="981"/>
      <c r="F12" s="981"/>
      <c r="G12" s="982"/>
      <c r="H12" s="691"/>
      <c r="I12" s="499"/>
      <c r="J12" s="692"/>
      <c r="K12" s="685"/>
      <c r="L12" s="693"/>
    </row>
    <row r="13" spans="2:13" ht="30" customHeight="1" x14ac:dyDescent="0.35">
      <c r="B13" s="689"/>
      <c r="C13" s="690"/>
      <c r="D13" s="694" t="s">
        <v>9</v>
      </c>
      <c r="E13" s="975" t="s">
        <v>1205</v>
      </c>
      <c r="F13" s="976"/>
      <c r="G13" s="977"/>
      <c r="H13" s="695"/>
      <c r="I13" s="696"/>
      <c r="J13" s="692"/>
      <c r="K13" s="685"/>
      <c r="L13" s="693"/>
      <c r="M13" s="693"/>
    </row>
    <row r="14" spans="2:13" ht="35.15" customHeight="1" x14ac:dyDescent="0.35">
      <c r="B14" s="689"/>
      <c r="C14" s="690"/>
      <c r="D14" s="694" t="s">
        <v>9</v>
      </c>
      <c r="E14" s="975" t="s">
        <v>1206</v>
      </c>
      <c r="F14" s="976"/>
      <c r="G14" s="977"/>
      <c r="H14" s="695"/>
      <c r="I14" s="696"/>
      <c r="J14" s="692"/>
      <c r="K14" s="685"/>
      <c r="L14" s="693"/>
      <c r="M14" s="693"/>
    </row>
    <row r="15" spans="2:13" ht="26.15" customHeight="1" x14ac:dyDescent="0.35">
      <c r="B15" s="689"/>
      <c r="C15" s="690"/>
      <c r="D15" s="694" t="s">
        <v>9</v>
      </c>
      <c r="E15" s="975" t="s">
        <v>1207</v>
      </c>
      <c r="F15" s="976"/>
      <c r="G15" s="977"/>
      <c r="H15" s="695"/>
      <c r="I15" s="696"/>
      <c r="J15" s="692"/>
      <c r="K15" s="685"/>
      <c r="L15" s="693"/>
      <c r="M15" s="693"/>
    </row>
    <row r="16" spans="2:13" ht="26.25" customHeight="1" x14ac:dyDescent="0.35">
      <c r="B16" s="689"/>
      <c r="C16" s="690"/>
      <c r="D16" s="694" t="s">
        <v>9</v>
      </c>
      <c r="E16" s="975" t="s">
        <v>1208</v>
      </c>
      <c r="F16" s="976"/>
      <c r="G16" s="977"/>
      <c r="H16" s="695"/>
      <c r="I16" s="696"/>
      <c r="J16" s="692"/>
      <c r="K16" s="685"/>
      <c r="L16" s="693"/>
      <c r="M16" s="693"/>
    </row>
    <row r="17" spans="2:13" ht="26.25" customHeight="1" x14ac:dyDescent="0.35">
      <c r="B17" s="689"/>
      <c r="C17" s="690"/>
      <c r="D17" s="694" t="s">
        <v>9</v>
      </c>
      <c r="E17" s="975" t="s">
        <v>1209</v>
      </c>
      <c r="F17" s="976"/>
      <c r="G17" s="977"/>
      <c r="H17" s="695"/>
      <c r="I17" s="696"/>
      <c r="J17" s="692"/>
      <c r="K17" s="685"/>
      <c r="L17" s="693"/>
      <c r="M17" s="693"/>
    </row>
    <row r="18" spans="2:13" ht="26.25" customHeight="1" x14ac:dyDescent="0.35">
      <c r="B18" s="689"/>
      <c r="C18" s="690"/>
      <c r="D18" s="694" t="s">
        <v>9</v>
      </c>
      <c r="E18" s="975" t="s">
        <v>1210</v>
      </c>
      <c r="F18" s="976"/>
      <c r="G18" s="977"/>
      <c r="H18" s="695"/>
      <c r="I18" s="696"/>
      <c r="J18" s="692"/>
      <c r="K18" s="685"/>
      <c r="L18" s="693"/>
      <c r="M18" s="693"/>
    </row>
    <row r="19" spans="2:13" ht="26.25" customHeight="1" x14ac:dyDescent="0.35">
      <c r="B19" s="689"/>
      <c r="C19" s="690"/>
      <c r="D19" s="694" t="s">
        <v>9</v>
      </c>
      <c r="E19" s="975" t="s">
        <v>1211</v>
      </c>
      <c r="F19" s="976"/>
      <c r="G19" s="977"/>
      <c r="H19" s="695"/>
      <c r="I19" s="696"/>
      <c r="J19" s="692"/>
      <c r="K19" s="685"/>
      <c r="L19" s="693"/>
      <c r="M19" s="693"/>
    </row>
    <row r="20" spans="2:13" ht="14.5" x14ac:dyDescent="0.35">
      <c r="B20" s="689"/>
      <c r="C20" s="690"/>
      <c r="D20" s="697" t="s">
        <v>18</v>
      </c>
      <c r="E20" s="969" t="s">
        <v>1212</v>
      </c>
      <c r="F20" s="970"/>
      <c r="G20" s="971"/>
      <c r="H20" s="225"/>
      <c r="I20" s="696"/>
      <c r="J20" s="698"/>
      <c r="K20" s="685"/>
      <c r="L20" s="693"/>
      <c r="M20" s="693"/>
    </row>
    <row r="21" spans="2:13" ht="14.5" x14ac:dyDescent="0.35">
      <c r="B21" s="689"/>
      <c r="C21" s="690"/>
      <c r="D21" s="697" t="s">
        <v>18</v>
      </c>
      <c r="E21" s="969" t="s">
        <v>1213</v>
      </c>
      <c r="F21" s="970"/>
      <c r="G21" s="971"/>
      <c r="H21" s="225"/>
      <c r="I21" s="696"/>
      <c r="J21" s="698"/>
      <c r="K21" s="685"/>
      <c r="L21" s="693"/>
      <c r="M21" s="693"/>
    </row>
    <row r="22" spans="2:13" ht="33.65" customHeight="1" x14ac:dyDescent="0.35">
      <c r="B22" s="689"/>
      <c r="C22" s="690"/>
      <c r="D22" s="697" t="s">
        <v>18</v>
      </c>
      <c r="E22" s="969" t="s">
        <v>1214</v>
      </c>
      <c r="F22" s="970"/>
      <c r="G22" s="971"/>
      <c r="H22" s="225"/>
      <c r="I22" s="696"/>
      <c r="J22" s="698"/>
      <c r="K22" s="685"/>
      <c r="L22" s="693"/>
      <c r="M22" s="693"/>
    </row>
    <row r="23" spans="2:13" ht="33.65" customHeight="1" x14ac:dyDescent="0.35">
      <c r="B23" s="689"/>
      <c r="C23" s="690"/>
      <c r="D23" s="697" t="s">
        <v>18</v>
      </c>
      <c r="E23" s="972" t="s">
        <v>1215</v>
      </c>
      <c r="F23" s="973"/>
      <c r="G23" s="974"/>
      <c r="H23" s="225"/>
      <c r="I23" s="696"/>
      <c r="J23" s="698"/>
      <c r="K23" s="685"/>
      <c r="L23" s="693"/>
      <c r="M23" s="693"/>
    </row>
    <row r="24" spans="2:13" ht="47.15" customHeight="1" x14ac:dyDescent="0.35">
      <c r="B24" s="689"/>
      <c r="C24" s="690"/>
      <c r="D24" s="697" t="s">
        <v>18</v>
      </c>
      <c r="E24" s="972" t="s">
        <v>1216</v>
      </c>
      <c r="F24" s="973"/>
      <c r="G24" s="974"/>
      <c r="H24" s="225"/>
      <c r="I24" s="696"/>
      <c r="J24" s="698"/>
      <c r="K24" s="685"/>
      <c r="L24" s="693"/>
      <c r="M24" s="693"/>
    </row>
    <row r="25" spans="2:13" ht="14.5" x14ac:dyDescent="0.35">
      <c r="B25" s="689"/>
      <c r="C25" s="690"/>
      <c r="D25" s="980"/>
      <c r="E25" s="981"/>
      <c r="F25" s="981"/>
      <c r="G25" s="982"/>
      <c r="H25" s="691"/>
      <c r="I25" s="499">
        <f>I24</f>
        <v>0</v>
      </c>
      <c r="J25" s="698"/>
      <c r="K25" s="700"/>
      <c r="L25" s="693"/>
    </row>
    <row r="26" spans="2:13" ht="14.5" x14ac:dyDescent="0.35">
      <c r="B26" s="701"/>
      <c r="C26" s="702"/>
      <c r="D26" s="702"/>
      <c r="E26" s="702"/>
      <c r="F26" s="702"/>
      <c r="G26" s="702"/>
      <c r="H26" s="702"/>
      <c r="I26" s="703"/>
      <c r="J26" s="704"/>
      <c r="K26" s="685"/>
      <c r="L26" s="693"/>
      <c r="M26" s="693"/>
    </row>
    <row r="27" spans="2:13" ht="14.5" x14ac:dyDescent="0.35">
      <c r="K27" s="685"/>
      <c r="L27" s="693"/>
      <c r="M27" s="693"/>
    </row>
    <row r="28" spans="2:13" ht="14.5" x14ac:dyDescent="0.35">
      <c r="K28" s="685"/>
      <c r="L28" s="693"/>
      <c r="M28" s="693"/>
    </row>
    <row r="29" spans="2:13" ht="15.5" x14ac:dyDescent="0.35">
      <c r="B29" s="705"/>
      <c r="C29" s="983" t="s">
        <v>1159</v>
      </c>
      <c r="D29" s="983"/>
      <c r="E29" s="983"/>
      <c r="F29" s="983"/>
      <c r="G29" s="983"/>
      <c r="H29" s="706"/>
      <c r="I29" s="706"/>
      <c r="J29" s="707"/>
      <c r="K29" s="685"/>
      <c r="L29" s="693"/>
      <c r="M29" s="693"/>
    </row>
    <row r="30" spans="2:13" ht="14.5" x14ac:dyDescent="0.35">
      <c r="B30" s="708"/>
      <c r="C30" s="984"/>
      <c r="D30" s="984"/>
      <c r="E30" s="984"/>
      <c r="F30" s="984"/>
      <c r="G30" s="984"/>
      <c r="H30" s="791" t="s">
        <v>8</v>
      </c>
      <c r="I30" s="687" t="s">
        <v>244</v>
      </c>
      <c r="J30" s="709"/>
      <c r="K30" s="685"/>
      <c r="L30" s="693"/>
      <c r="M30" s="693"/>
    </row>
    <row r="31" spans="2:13" ht="14.5" x14ac:dyDescent="0.35">
      <c r="B31" s="710"/>
      <c r="C31" s="711"/>
      <c r="D31" s="980" t="s">
        <v>1181</v>
      </c>
      <c r="E31" s="981"/>
      <c r="F31" s="981"/>
      <c r="G31" s="982"/>
      <c r="H31" s="691"/>
      <c r="I31" s="499"/>
      <c r="J31" s="712"/>
      <c r="K31" s="685"/>
      <c r="L31" s="693"/>
    </row>
    <row r="32" spans="2:13" ht="33.65" customHeight="1" x14ac:dyDescent="0.35">
      <c r="B32" s="710"/>
      <c r="C32" s="711"/>
      <c r="D32" s="694" t="s">
        <v>9</v>
      </c>
      <c r="E32" s="975" t="s">
        <v>1217</v>
      </c>
      <c r="F32" s="976"/>
      <c r="G32" s="977"/>
      <c r="H32" s="695"/>
      <c r="I32" s="696"/>
      <c r="J32" s="712"/>
      <c r="K32" s="685"/>
      <c r="L32" s="693"/>
      <c r="M32" s="693"/>
    </row>
    <row r="33" spans="2:13" ht="27" customHeight="1" x14ac:dyDescent="0.35">
      <c r="B33" s="710"/>
      <c r="C33" s="711"/>
      <c r="D33" s="694" t="s">
        <v>9</v>
      </c>
      <c r="E33" s="975" t="s">
        <v>1218</v>
      </c>
      <c r="F33" s="976"/>
      <c r="G33" s="977"/>
      <c r="H33" s="695"/>
      <c r="I33" s="696"/>
      <c r="J33" s="712"/>
      <c r="K33" s="685"/>
      <c r="L33" s="693"/>
      <c r="M33" s="693"/>
    </row>
    <row r="34" spans="2:13" ht="34.5" customHeight="1" x14ac:dyDescent="0.35">
      <c r="B34" s="710"/>
      <c r="C34" s="711"/>
      <c r="D34" s="697" t="s">
        <v>18</v>
      </c>
      <c r="E34" s="969" t="s">
        <v>1219</v>
      </c>
      <c r="F34" s="970"/>
      <c r="G34" s="971"/>
      <c r="H34" s="225"/>
      <c r="I34" s="696"/>
      <c r="J34" s="713"/>
      <c r="K34" s="685"/>
      <c r="L34" s="693"/>
      <c r="M34" s="693"/>
    </row>
    <row r="35" spans="2:13" ht="14.5" x14ac:dyDescent="0.35">
      <c r="B35" s="710"/>
      <c r="C35" s="711"/>
      <c r="D35" s="980"/>
      <c r="E35" s="981"/>
      <c r="F35" s="981"/>
      <c r="G35" s="982"/>
      <c r="H35" s="691"/>
      <c r="I35" s="499"/>
      <c r="J35" s="713"/>
      <c r="K35" s="700"/>
      <c r="L35" s="693"/>
    </row>
    <row r="36" spans="2:13" ht="14.5" x14ac:dyDescent="0.35">
      <c r="B36" s="714"/>
      <c r="C36" s="715"/>
      <c r="D36" s="715"/>
      <c r="E36" s="715"/>
      <c r="F36" s="715"/>
      <c r="G36" s="715"/>
      <c r="H36" s="715"/>
      <c r="I36" s="716"/>
      <c r="J36" s="717"/>
      <c r="K36" s="685"/>
      <c r="L36" s="693"/>
      <c r="M36" s="693"/>
    </row>
    <row r="37" spans="2:13" ht="14.5" x14ac:dyDescent="0.35">
      <c r="K37" s="685"/>
      <c r="L37" s="693"/>
      <c r="M37" s="693"/>
    </row>
    <row r="38" spans="2:13" ht="14.5" x14ac:dyDescent="0.35">
      <c r="K38" s="685"/>
      <c r="L38" s="693"/>
      <c r="M38" s="693"/>
    </row>
    <row r="39" spans="2:13" ht="14.5" x14ac:dyDescent="0.35">
      <c r="K39" s="685"/>
      <c r="L39" s="693"/>
      <c r="M39" s="693"/>
    </row>
    <row r="40" spans="2:13" ht="15.5" x14ac:dyDescent="0.35">
      <c r="B40" s="682"/>
      <c r="C40" s="978" t="s">
        <v>1158</v>
      </c>
      <c r="D40" s="978"/>
      <c r="E40" s="978"/>
      <c r="F40" s="978"/>
      <c r="G40" s="978"/>
      <c r="H40" s="683"/>
      <c r="I40" s="683"/>
      <c r="J40" s="684"/>
      <c r="K40" s="685"/>
      <c r="L40" s="693"/>
      <c r="M40" s="693"/>
    </row>
    <row r="41" spans="2:13" ht="14.5" x14ac:dyDescent="0.35">
      <c r="B41" s="686"/>
      <c r="C41" s="979"/>
      <c r="D41" s="979"/>
      <c r="E41" s="979"/>
      <c r="F41" s="979"/>
      <c r="G41" s="979"/>
      <c r="H41" s="791" t="s">
        <v>8</v>
      </c>
      <c r="I41" s="687" t="s">
        <v>244</v>
      </c>
      <c r="J41" s="688"/>
      <c r="K41" s="685"/>
      <c r="L41" s="693"/>
      <c r="M41" s="693"/>
    </row>
    <row r="42" spans="2:13" ht="14.5" x14ac:dyDescent="0.35">
      <c r="B42" s="689"/>
      <c r="C42" s="690"/>
      <c r="D42" s="980" t="s">
        <v>1181</v>
      </c>
      <c r="E42" s="981"/>
      <c r="F42" s="981"/>
      <c r="G42" s="982"/>
      <c r="H42" s="691"/>
      <c r="I42" s="499"/>
      <c r="J42" s="692"/>
      <c r="K42" s="685"/>
      <c r="L42" s="693"/>
    </row>
    <row r="43" spans="2:13" ht="57.65" customHeight="1" x14ac:dyDescent="0.35">
      <c r="B43" s="689"/>
      <c r="C43" s="690"/>
      <c r="D43" s="694" t="s">
        <v>9</v>
      </c>
      <c r="E43" s="975" t="s">
        <v>1220</v>
      </c>
      <c r="F43" s="976"/>
      <c r="G43" s="977"/>
      <c r="H43" s="695"/>
      <c r="I43" s="696"/>
      <c r="J43" s="692"/>
      <c r="K43" s="685"/>
      <c r="M43" s="693"/>
    </row>
    <row r="44" spans="2:13" ht="23.15" customHeight="1" x14ac:dyDescent="0.35">
      <c r="B44" s="689"/>
      <c r="C44" s="690"/>
      <c r="D44" s="694" t="s">
        <v>9</v>
      </c>
      <c r="E44" s="975" t="s">
        <v>1221</v>
      </c>
      <c r="F44" s="976"/>
      <c r="G44" s="977"/>
      <c r="H44" s="695"/>
      <c r="I44" s="696"/>
      <c r="J44" s="692"/>
      <c r="K44" s="685"/>
      <c r="M44" s="693"/>
    </row>
    <row r="45" spans="2:13" ht="27.65" customHeight="1" x14ac:dyDescent="0.35">
      <c r="B45" s="689"/>
      <c r="C45" s="690"/>
      <c r="D45" s="694" t="s">
        <v>9</v>
      </c>
      <c r="E45" s="975" t="s">
        <v>1222</v>
      </c>
      <c r="F45" s="976"/>
      <c r="G45" s="977"/>
      <c r="H45" s="695"/>
      <c r="I45" s="696"/>
      <c r="J45" s="698"/>
      <c r="K45" s="685"/>
      <c r="M45" s="693"/>
    </row>
    <row r="46" spans="2:13" ht="32.5" customHeight="1" x14ac:dyDescent="0.35">
      <c r="B46" s="689"/>
      <c r="C46" s="690"/>
      <c r="D46" s="697" t="s">
        <v>18</v>
      </c>
      <c r="E46" s="972" t="s">
        <v>1223</v>
      </c>
      <c r="F46" s="973"/>
      <c r="G46" s="974"/>
      <c r="H46" s="225"/>
      <c r="I46" s="696"/>
      <c r="J46" s="698"/>
      <c r="K46" s="685"/>
      <c r="M46" s="693"/>
    </row>
    <row r="47" spans="2:13" ht="14.5" x14ac:dyDescent="0.35">
      <c r="B47" s="689"/>
      <c r="C47" s="690"/>
      <c r="D47" s="980"/>
      <c r="E47" s="981"/>
      <c r="F47" s="981"/>
      <c r="G47" s="982"/>
      <c r="H47" s="691"/>
      <c r="I47" s="499"/>
      <c r="J47" s="698"/>
      <c r="K47" s="700"/>
    </row>
    <row r="48" spans="2:13" ht="14.5" x14ac:dyDescent="0.35">
      <c r="B48" s="701"/>
      <c r="C48" s="702"/>
      <c r="D48" s="702"/>
      <c r="E48" s="702"/>
      <c r="F48" s="702"/>
      <c r="G48" s="702"/>
      <c r="H48" s="702"/>
      <c r="I48" s="703"/>
      <c r="J48" s="704"/>
      <c r="K48" s="685"/>
      <c r="M48" s="693"/>
    </row>
    <row r="49" spans="2:16" ht="14.5" x14ac:dyDescent="0.35">
      <c r="K49" s="685"/>
      <c r="M49" s="693"/>
    </row>
    <row r="50" spans="2:16" ht="14.5" x14ac:dyDescent="0.35">
      <c r="K50" s="685"/>
      <c r="M50" s="693"/>
    </row>
    <row r="51" spans="2:16" ht="15.5" x14ac:dyDescent="0.35">
      <c r="B51" s="705"/>
      <c r="C51" s="983" t="s">
        <v>239</v>
      </c>
      <c r="D51" s="983"/>
      <c r="E51" s="983"/>
      <c r="F51" s="983"/>
      <c r="G51" s="983"/>
      <c r="H51" s="706"/>
      <c r="I51" s="706"/>
      <c r="J51" s="707"/>
      <c r="K51" s="685"/>
      <c r="M51" s="693"/>
    </row>
    <row r="52" spans="2:16" ht="14.5" x14ac:dyDescent="0.35">
      <c r="B52" s="708"/>
      <c r="C52" s="984"/>
      <c r="D52" s="984"/>
      <c r="E52" s="984"/>
      <c r="F52" s="984"/>
      <c r="G52" s="984"/>
      <c r="H52" s="791" t="s">
        <v>8</v>
      </c>
      <c r="I52" s="687" t="s">
        <v>244</v>
      </c>
      <c r="J52" s="709"/>
      <c r="K52" s="685"/>
      <c r="M52" s="693"/>
    </row>
    <row r="53" spans="2:16" ht="14.5" x14ac:dyDescent="0.35">
      <c r="B53" s="710"/>
      <c r="C53" s="711"/>
      <c r="D53" s="980" t="s">
        <v>1181</v>
      </c>
      <c r="E53" s="981"/>
      <c r="F53" s="981"/>
      <c r="G53" s="982"/>
      <c r="H53" s="691"/>
      <c r="I53" s="499"/>
      <c r="J53" s="712"/>
      <c r="K53" s="685"/>
    </row>
    <row r="54" spans="2:16" ht="42" customHeight="1" x14ac:dyDescent="0.35">
      <c r="B54" s="710"/>
      <c r="C54" s="711"/>
      <c r="D54" s="694" t="s">
        <v>9</v>
      </c>
      <c r="E54" s="975" t="s">
        <v>1224</v>
      </c>
      <c r="F54" s="976"/>
      <c r="G54" s="977"/>
      <c r="H54" s="695"/>
      <c r="I54" s="696"/>
      <c r="J54" s="712"/>
      <c r="K54" s="685"/>
      <c r="M54" s="693"/>
    </row>
    <row r="55" spans="2:16" ht="44.15" customHeight="1" x14ac:dyDescent="0.35">
      <c r="B55" s="710"/>
      <c r="C55" s="711"/>
      <c r="D55" s="694" t="s">
        <v>9</v>
      </c>
      <c r="E55" s="975" t="s">
        <v>1225</v>
      </c>
      <c r="F55" s="976"/>
      <c r="G55" s="977"/>
      <c r="H55" s="695"/>
      <c r="I55" s="696"/>
      <c r="J55" s="713"/>
      <c r="K55" s="685"/>
      <c r="M55" s="693"/>
    </row>
    <row r="56" spans="2:16" ht="34" customHeight="1" x14ac:dyDescent="0.35">
      <c r="B56" s="710"/>
      <c r="C56" s="711"/>
      <c r="D56" s="697" t="s">
        <v>18</v>
      </c>
      <c r="E56" s="972" t="s">
        <v>1226</v>
      </c>
      <c r="F56" s="973"/>
      <c r="G56" s="974"/>
      <c r="H56" s="225"/>
      <c r="I56" s="696"/>
      <c r="J56" s="713"/>
      <c r="K56" s="685"/>
      <c r="M56" s="693"/>
      <c r="P56" s="699"/>
    </row>
    <row r="57" spans="2:16" ht="33.65" customHeight="1" x14ac:dyDescent="0.35">
      <c r="B57" s="710"/>
      <c r="C57" s="711"/>
      <c r="D57" s="697" t="s">
        <v>18</v>
      </c>
      <c r="E57" s="972" t="s">
        <v>1227</v>
      </c>
      <c r="F57" s="973"/>
      <c r="G57" s="974"/>
      <c r="H57" s="225"/>
      <c r="I57" s="696"/>
      <c r="J57" s="713"/>
      <c r="K57" s="700"/>
      <c r="M57" s="693"/>
      <c r="P57" s="699"/>
    </row>
    <row r="58" spans="2:16" ht="14.5" x14ac:dyDescent="0.35">
      <c r="B58" s="710"/>
      <c r="C58" s="711"/>
      <c r="D58" s="980"/>
      <c r="E58" s="981"/>
      <c r="F58" s="981"/>
      <c r="G58" s="982"/>
      <c r="H58" s="691"/>
      <c r="I58" s="499">
        <f>I57</f>
        <v>0</v>
      </c>
      <c r="J58" s="713"/>
      <c r="K58" s="700"/>
    </row>
    <row r="59" spans="2:16" ht="13" x14ac:dyDescent="0.25">
      <c r="B59" s="714"/>
      <c r="C59" s="715"/>
      <c r="D59" s="715"/>
      <c r="E59" s="715"/>
      <c r="F59" s="715"/>
      <c r="G59" s="715"/>
      <c r="H59" s="715"/>
      <c r="I59" s="716"/>
      <c r="J59" s="717"/>
    </row>
  </sheetData>
  <mergeCells count="35">
    <mergeCell ref="E43:G43"/>
    <mergeCell ref="D58:G58"/>
    <mergeCell ref="E45:G45"/>
    <mergeCell ref="E46:G46"/>
    <mergeCell ref="D47:G47"/>
    <mergeCell ref="C51:G52"/>
    <mergeCell ref="D53:G53"/>
    <mergeCell ref="E54:G54"/>
    <mergeCell ref="E55:G55"/>
    <mergeCell ref="E56:G56"/>
    <mergeCell ref="E57:G57"/>
    <mergeCell ref="C10:G11"/>
    <mergeCell ref="D12:G12"/>
    <mergeCell ref="E13:G13"/>
    <mergeCell ref="E14:G14"/>
    <mergeCell ref="E44:G44"/>
    <mergeCell ref="E32:G32"/>
    <mergeCell ref="E33:G33"/>
    <mergeCell ref="E34:G34"/>
    <mergeCell ref="E20:G20"/>
    <mergeCell ref="E24:G24"/>
    <mergeCell ref="D25:G25"/>
    <mergeCell ref="C29:G30"/>
    <mergeCell ref="D31:G31"/>
    <mergeCell ref="D35:G35"/>
    <mergeCell ref="C40:G41"/>
    <mergeCell ref="D42:G42"/>
    <mergeCell ref="E21:G21"/>
    <mergeCell ref="E22:G22"/>
    <mergeCell ref="E23:G23"/>
    <mergeCell ref="E15:G15"/>
    <mergeCell ref="E19:G19"/>
    <mergeCell ref="E16:G16"/>
    <mergeCell ref="E17:G17"/>
    <mergeCell ref="E18:G18"/>
  </mergeCells>
  <pageMargins left="0.7" right="0.7" top="0.75" bottom="0.75" header="0.3" footer="0.3"/>
  <pageSetup scale="3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63"/>
  <sheetViews>
    <sheetView showGridLines="0" view="pageBreakPreview" topLeftCell="C14" zoomScale="90" zoomScaleNormal="100" zoomScaleSheetLayoutView="90" workbookViewId="0">
      <selection activeCell="C48" sqref="C48"/>
    </sheetView>
  </sheetViews>
  <sheetFormatPr defaultColWidth="11.54296875" defaultRowHeight="12.5" x14ac:dyDescent="0.25"/>
  <cols>
    <col min="1" max="1" width="3" customWidth="1"/>
    <col min="2" max="2" width="2.54296875" customWidth="1"/>
    <col min="3" max="3" width="103.453125" customWidth="1"/>
    <col min="4" max="4" width="15.54296875" style="1" bestFit="1" customWidth="1"/>
    <col min="5" max="6" width="28.1796875" style="1" customWidth="1"/>
    <col min="7" max="7" width="19.81640625" style="1" bestFit="1" customWidth="1"/>
    <col min="8" max="8" width="19.81640625" customWidth="1"/>
    <col min="9" max="9" width="66.26953125" style="1" bestFit="1" customWidth="1"/>
    <col min="10" max="10" width="24.7265625" bestFit="1" customWidth="1"/>
    <col min="11" max="11" width="12.453125" customWidth="1"/>
    <col min="12" max="12" width="2.54296875" customWidth="1"/>
    <col min="13" max="13" width="31.26953125" customWidth="1"/>
    <col min="14" max="14" width="12.81640625" bestFit="1" customWidth="1"/>
  </cols>
  <sheetData>
    <row r="2" spans="3:16" x14ac:dyDescent="0.25">
      <c r="J2" s="1"/>
      <c r="K2" s="1"/>
      <c r="L2" s="1"/>
      <c r="M2" s="1"/>
    </row>
    <row r="3" spans="3:16" ht="14.5" x14ac:dyDescent="0.25">
      <c r="I3"/>
      <c r="J3" s="441"/>
      <c r="K3" s="165"/>
    </row>
    <row r="4" spans="3:16" ht="13" x14ac:dyDescent="0.25">
      <c r="I4" s="835" t="s">
        <v>92</v>
      </c>
      <c r="J4" s="165" t="s">
        <v>1201</v>
      </c>
      <c r="K4" s="165"/>
      <c r="P4" s="255"/>
    </row>
    <row r="5" spans="3:16" ht="13" x14ac:dyDescent="0.25">
      <c r="I5" s="835" t="s">
        <v>87</v>
      </c>
      <c r="J5" s="165">
        <f>'00 - Cover'!F17</f>
        <v>0</v>
      </c>
      <c r="K5" s="165"/>
      <c r="P5" s="255"/>
    </row>
    <row r="6" spans="3:16" ht="13" x14ac:dyDescent="0.3">
      <c r="I6" s="835" t="s">
        <v>178</v>
      </c>
      <c r="J6" s="804" t="e">
        <f>J5-J4</f>
        <v>#VALUE!</v>
      </c>
      <c r="K6" s="1"/>
      <c r="L6" s="1"/>
      <c r="M6" s="1"/>
      <c r="P6" s="255"/>
    </row>
    <row r="7" spans="3:16" x14ac:dyDescent="0.25">
      <c r="D7" s="506"/>
      <c r="K7" s="1"/>
      <c r="L7" s="1"/>
      <c r="M7" s="1"/>
      <c r="P7" s="255"/>
    </row>
    <row r="8" spans="3:16" x14ac:dyDescent="0.25">
      <c r="P8" s="255"/>
    </row>
    <row r="9" spans="3:16" ht="18" customHeight="1" x14ac:dyDescent="0.25">
      <c r="P9" s="255"/>
    </row>
    <row r="10" spans="3:16" ht="18" customHeight="1" x14ac:dyDescent="0.3">
      <c r="I10" s="334"/>
      <c r="J10" s="333"/>
      <c r="P10" s="255"/>
    </row>
    <row r="11" spans="3:16" ht="14" x14ac:dyDescent="0.3">
      <c r="C11" s="987" t="s">
        <v>220</v>
      </c>
      <c r="D11" s="988"/>
      <c r="E11" s="988"/>
      <c r="F11" s="988"/>
      <c r="G11" s="988"/>
      <c r="H11" s="988"/>
      <c r="I11" s="988"/>
      <c r="J11" s="988"/>
      <c r="K11" s="988"/>
      <c r="P11" s="255"/>
    </row>
    <row r="12" spans="3:16" ht="13" x14ac:dyDescent="0.25">
      <c r="C12" s="123"/>
      <c r="D12" s="123"/>
      <c r="E12" s="297"/>
      <c r="F12" s="123"/>
      <c r="G12" s="123"/>
      <c r="H12" s="123"/>
      <c r="I12" s="123"/>
      <c r="J12" s="123"/>
      <c r="K12" s="123"/>
      <c r="P12" s="255"/>
    </row>
    <row r="13" spans="3:16" ht="13.5" thickBot="1" x14ac:dyDescent="0.3">
      <c r="C13" s="123"/>
      <c r="D13" s="123"/>
      <c r="E13" s="297"/>
      <c r="F13" s="123"/>
      <c r="G13" s="123"/>
      <c r="H13" s="123"/>
      <c r="I13" s="123"/>
      <c r="J13" s="123"/>
      <c r="K13" s="123"/>
      <c r="P13" s="255"/>
    </row>
    <row r="14" spans="3:16" ht="13.5" thickBot="1" x14ac:dyDescent="0.3">
      <c r="C14" s="735" t="s">
        <v>110</v>
      </c>
      <c r="D14" s="736" t="s">
        <v>111</v>
      </c>
      <c r="E14" s="736" t="s">
        <v>112</v>
      </c>
      <c r="F14" s="737" t="s">
        <v>113</v>
      </c>
      <c r="G14" s="738" t="s">
        <v>114</v>
      </c>
      <c r="H14" s="737" t="s">
        <v>115</v>
      </c>
      <c r="I14" s="739" t="s">
        <v>116</v>
      </c>
      <c r="J14" s="740" t="s">
        <v>117</v>
      </c>
      <c r="K14" s="740" t="s">
        <v>118</v>
      </c>
      <c r="M14" s="255"/>
      <c r="P14" s="255"/>
    </row>
    <row r="15" spans="3:16" ht="13" x14ac:dyDescent="0.25">
      <c r="C15" s="298" t="s">
        <v>119</v>
      </c>
      <c r="D15" s="989" t="s">
        <v>1229</v>
      </c>
      <c r="E15" s="299"/>
      <c r="F15" s="300"/>
      <c r="G15" s="301"/>
      <c r="H15" s="302"/>
      <c r="I15" s="741"/>
      <c r="J15" s="304"/>
      <c r="K15" s="304"/>
      <c r="P15" s="255"/>
    </row>
    <row r="16" spans="3:16" ht="13" x14ac:dyDescent="0.25">
      <c r="C16" s="305" t="s">
        <v>157</v>
      </c>
      <c r="D16" s="990"/>
      <c r="E16" s="306"/>
      <c r="F16" s="300">
        <v>1</v>
      </c>
      <c r="G16" s="301">
        <f>(E16*(1+H16))-E16</f>
        <v>0</v>
      </c>
      <c r="H16" s="326">
        <v>0</v>
      </c>
      <c r="I16" s="741" t="s">
        <v>170</v>
      </c>
      <c r="J16" s="304">
        <f>ROUND((E16+G16),2)*0</f>
        <v>0</v>
      </c>
      <c r="K16" s="304"/>
      <c r="M16" s="3"/>
      <c r="P16" s="255"/>
    </row>
    <row r="17" spans="3:16" ht="13" x14ac:dyDescent="0.25">
      <c r="C17" s="308" t="s">
        <v>120</v>
      </c>
      <c r="D17" s="990"/>
      <c r="E17" s="309"/>
      <c r="F17" s="310"/>
      <c r="G17" s="311"/>
      <c r="H17" s="331"/>
      <c r="I17" s="742"/>
      <c r="J17" s="313"/>
      <c r="K17" s="313"/>
      <c r="M17" s="3"/>
      <c r="P17" s="255"/>
    </row>
    <row r="18" spans="3:16" ht="13" x14ac:dyDescent="0.25">
      <c r="C18" s="307" t="s">
        <v>158</v>
      </c>
      <c r="D18" s="990"/>
      <c r="E18" s="299"/>
      <c r="F18" s="300">
        <v>1</v>
      </c>
      <c r="G18" s="301">
        <f t="shared" ref="G18:G22" si="0">(E18*(1+H18))-E18</f>
        <v>0</v>
      </c>
      <c r="H18" s="326">
        <v>0</v>
      </c>
      <c r="I18" s="741" t="s">
        <v>229</v>
      </c>
      <c r="J18" s="304" t="e">
        <f>ROUND((E18+G18)*J6/365,2)+N18</f>
        <v>#VALUE!</v>
      </c>
      <c r="K18" s="304"/>
      <c r="M18" s="3"/>
      <c r="P18" s="255"/>
    </row>
    <row r="19" spans="3:16" ht="13" x14ac:dyDescent="0.25">
      <c r="C19" s="307" t="s">
        <v>159</v>
      </c>
      <c r="D19" s="990"/>
      <c r="E19" s="299"/>
      <c r="F19" s="300">
        <v>1</v>
      </c>
      <c r="G19" s="301">
        <f t="shared" si="0"/>
        <v>0</v>
      </c>
      <c r="H19" s="326">
        <v>0</v>
      </c>
      <c r="I19" s="741" t="s">
        <v>230</v>
      </c>
      <c r="J19" s="304">
        <f>ROUND((E19+G19),2)*0</f>
        <v>0</v>
      </c>
      <c r="K19" s="304"/>
      <c r="M19" s="3"/>
      <c r="P19" s="255"/>
    </row>
    <row r="20" spans="3:16" ht="13" x14ac:dyDescent="0.25">
      <c r="C20" s="307" t="s">
        <v>160</v>
      </c>
      <c r="D20" s="990"/>
      <c r="E20" s="299"/>
      <c r="F20" s="300">
        <v>1</v>
      </c>
      <c r="G20" s="301">
        <f t="shared" si="0"/>
        <v>0</v>
      </c>
      <c r="H20" s="326">
        <v>0</v>
      </c>
      <c r="I20" s="741" t="s">
        <v>231</v>
      </c>
      <c r="J20" s="304">
        <f t="shared" ref="J20:J28" si="1">ROUND((E20+G20),2)*0</f>
        <v>0</v>
      </c>
      <c r="K20" s="304"/>
      <c r="M20" s="3"/>
      <c r="P20" s="255"/>
    </row>
    <row r="21" spans="3:16" ht="13" x14ac:dyDescent="0.25">
      <c r="C21" s="307" t="s">
        <v>161</v>
      </c>
      <c r="D21" s="990"/>
      <c r="E21" s="299"/>
      <c r="F21" s="300">
        <v>1</v>
      </c>
      <c r="G21" s="301">
        <f t="shared" si="0"/>
        <v>0</v>
      </c>
      <c r="H21" s="326">
        <v>0</v>
      </c>
      <c r="I21" s="741" t="s">
        <v>232</v>
      </c>
      <c r="J21" s="304">
        <f>ROUND((E21+G21),2)*0</f>
        <v>0</v>
      </c>
      <c r="K21" s="304"/>
      <c r="M21" s="3"/>
      <c r="P21" s="255"/>
    </row>
    <row r="22" spans="3:16" ht="13" x14ac:dyDescent="0.25">
      <c r="C22" s="307" t="s">
        <v>162</v>
      </c>
      <c r="D22" s="990"/>
      <c r="E22" s="299"/>
      <c r="F22" s="300">
        <v>1</v>
      </c>
      <c r="G22" s="301">
        <f t="shared" si="0"/>
        <v>0</v>
      </c>
      <c r="H22" s="326">
        <v>0</v>
      </c>
      <c r="I22" s="741" t="s">
        <v>167</v>
      </c>
      <c r="J22" s="304">
        <f t="shared" si="1"/>
        <v>0</v>
      </c>
      <c r="K22" s="304"/>
      <c r="M22" s="3"/>
      <c r="P22" s="255"/>
    </row>
    <row r="23" spans="3:16" ht="13" x14ac:dyDescent="0.25">
      <c r="C23" s="307" t="s">
        <v>163</v>
      </c>
      <c r="D23" s="990"/>
      <c r="E23" s="299"/>
      <c r="F23" s="300">
        <v>1</v>
      </c>
      <c r="G23" s="301">
        <f t="shared" ref="G23:G29" si="2">(E23*(1+H23))-E23</f>
        <v>0</v>
      </c>
      <c r="H23" s="326">
        <v>0</v>
      </c>
      <c r="I23" s="741" t="s">
        <v>233</v>
      </c>
      <c r="J23" s="304">
        <f t="shared" si="1"/>
        <v>0</v>
      </c>
      <c r="K23" s="304"/>
      <c r="P23" s="255"/>
    </row>
    <row r="24" spans="3:16" ht="13" x14ac:dyDescent="0.25">
      <c r="C24" s="307" t="s">
        <v>175</v>
      </c>
      <c r="D24" s="990"/>
      <c r="E24" s="299"/>
      <c r="F24" s="300">
        <v>1</v>
      </c>
      <c r="G24" s="301">
        <f t="shared" si="2"/>
        <v>0</v>
      </c>
      <c r="H24" s="326">
        <v>0</v>
      </c>
      <c r="I24" s="741" t="s">
        <v>234</v>
      </c>
      <c r="J24" s="304">
        <f t="shared" si="1"/>
        <v>0</v>
      </c>
      <c r="K24" s="304"/>
      <c r="P24" s="255"/>
    </row>
    <row r="25" spans="3:16" ht="13" x14ac:dyDescent="0.25">
      <c r="C25" s="307" t="s">
        <v>176</v>
      </c>
      <c r="D25" s="990"/>
      <c r="E25" s="299"/>
      <c r="F25" s="300">
        <v>1</v>
      </c>
      <c r="G25" s="301"/>
      <c r="H25" s="326"/>
      <c r="I25" s="741" t="s">
        <v>234</v>
      </c>
      <c r="J25" s="304">
        <f t="shared" si="1"/>
        <v>0</v>
      </c>
      <c r="K25" s="304"/>
      <c r="P25" s="255"/>
    </row>
    <row r="26" spans="3:16" ht="13" x14ac:dyDescent="0.25">
      <c r="C26" s="307" t="s">
        <v>177</v>
      </c>
      <c r="D26" s="990"/>
      <c r="E26" s="299"/>
      <c r="F26" s="300">
        <v>1</v>
      </c>
      <c r="G26" s="301"/>
      <c r="H26" s="326"/>
      <c r="I26" s="741" t="s">
        <v>234</v>
      </c>
      <c r="J26" s="304">
        <f t="shared" si="1"/>
        <v>0</v>
      </c>
      <c r="K26" s="304"/>
      <c r="P26" s="255"/>
    </row>
    <row r="27" spans="3:16" ht="13" x14ac:dyDescent="0.25">
      <c r="C27" s="307" t="s">
        <v>164</v>
      </c>
      <c r="D27" s="990"/>
      <c r="E27" s="299"/>
      <c r="F27" s="300">
        <v>1</v>
      </c>
      <c r="G27" s="301">
        <f t="shared" si="2"/>
        <v>0</v>
      </c>
      <c r="H27" s="326">
        <v>0</v>
      </c>
      <c r="I27" s="741" t="s">
        <v>235</v>
      </c>
      <c r="J27" s="304">
        <f t="shared" si="1"/>
        <v>0</v>
      </c>
      <c r="K27" s="304"/>
      <c r="P27" s="255"/>
    </row>
    <row r="28" spans="3:16" ht="13" x14ac:dyDescent="0.25">
      <c r="C28" s="307" t="s">
        <v>165</v>
      </c>
      <c r="D28" s="990"/>
      <c r="E28" s="299"/>
      <c r="F28" s="300">
        <v>1</v>
      </c>
      <c r="G28" s="301">
        <f t="shared" si="2"/>
        <v>0</v>
      </c>
      <c r="H28" s="326">
        <v>0</v>
      </c>
      <c r="I28" s="741" t="s">
        <v>235</v>
      </c>
      <c r="J28" s="304">
        <f t="shared" si="1"/>
        <v>0</v>
      </c>
      <c r="K28" s="304"/>
      <c r="P28" s="255"/>
    </row>
    <row r="29" spans="3:16" ht="13" x14ac:dyDescent="0.25">
      <c r="C29" s="307" t="s">
        <v>166</v>
      </c>
      <c r="D29" s="990"/>
      <c r="E29" s="299"/>
      <c r="F29" s="300">
        <v>1</v>
      </c>
      <c r="G29" s="301">
        <f t="shared" si="2"/>
        <v>0</v>
      </c>
      <c r="H29" s="326">
        <v>0</v>
      </c>
      <c r="I29" s="741" t="s">
        <v>236</v>
      </c>
      <c r="J29" s="304">
        <f>ROUND((E29+G29),2)*0</f>
        <v>0</v>
      </c>
      <c r="K29" s="304"/>
      <c r="P29" s="255"/>
    </row>
    <row r="30" spans="3:16" ht="13" x14ac:dyDescent="0.25">
      <c r="C30" s="308" t="s">
        <v>121</v>
      </c>
      <c r="D30" s="990"/>
      <c r="E30" s="309"/>
      <c r="F30" s="310"/>
      <c r="G30" s="311"/>
      <c r="H30" s="331"/>
      <c r="I30" s="312"/>
      <c r="J30" s="313"/>
      <c r="K30" s="313"/>
      <c r="P30" s="255"/>
    </row>
    <row r="31" spans="3:16" ht="13" x14ac:dyDescent="0.25">
      <c r="C31" s="314" t="s">
        <v>168</v>
      </c>
      <c r="D31" s="990"/>
      <c r="E31" s="332"/>
      <c r="F31" s="315">
        <v>7.9999999999999996E-6</v>
      </c>
      <c r="G31" s="301"/>
      <c r="H31" s="326"/>
      <c r="I31" s="303"/>
      <c r="J31" s="304">
        <f>+E31*F31</f>
        <v>0</v>
      </c>
      <c r="K31" s="304"/>
      <c r="P31" s="255"/>
    </row>
    <row r="32" spans="3:16" ht="13" x14ac:dyDescent="0.25">
      <c r="C32" s="316" t="s">
        <v>122</v>
      </c>
      <c r="D32" s="985" t="s">
        <v>1230</v>
      </c>
      <c r="E32" s="309"/>
      <c r="F32" s="310"/>
      <c r="G32" s="311"/>
      <c r="H32" s="331"/>
      <c r="I32" s="312"/>
      <c r="J32" s="313"/>
      <c r="K32" s="313"/>
      <c r="P32" s="255"/>
    </row>
    <row r="33" spans="3:16" ht="12.75" customHeight="1" x14ac:dyDescent="0.25">
      <c r="C33" s="317" t="s">
        <v>1191</v>
      </c>
      <c r="D33" s="986"/>
      <c r="E33" s="318"/>
      <c r="F33" s="300">
        <v>1</v>
      </c>
      <c r="G33" s="301">
        <f>(E33*(1+H33))-E33</f>
        <v>0</v>
      </c>
      <c r="H33" s="326">
        <v>0.2</v>
      </c>
      <c r="I33" s="303" t="s">
        <v>170</v>
      </c>
      <c r="J33" s="304">
        <f>ROUND((E33+G33),2)*0</f>
        <v>0</v>
      </c>
      <c r="K33" s="304"/>
      <c r="P33" s="255"/>
    </row>
    <row r="34" spans="3:16" ht="13" x14ac:dyDescent="0.25">
      <c r="C34" s="317" t="s">
        <v>169</v>
      </c>
      <c r="D34" s="986"/>
      <c r="E34" s="318"/>
      <c r="F34" s="300">
        <v>1</v>
      </c>
      <c r="G34" s="301">
        <f>(E34*(1+H34))-E34</f>
        <v>0</v>
      </c>
      <c r="H34" s="300">
        <v>0.2</v>
      </c>
      <c r="I34" s="303" t="s">
        <v>1195</v>
      </c>
      <c r="J34" s="304" t="e">
        <f>ROUND((E34+G34)*J6/365,2)</f>
        <v>#VALUE!</v>
      </c>
      <c r="K34" s="304"/>
      <c r="P34" s="255"/>
    </row>
    <row r="35" spans="3:16" ht="13" x14ac:dyDescent="0.25">
      <c r="C35" s="317" t="s">
        <v>1231</v>
      </c>
      <c r="D35" s="986"/>
      <c r="E35" s="318"/>
      <c r="F35" s="300"/>
      <c r="G35" s="301"/>
      <c r="H35" s="300"/>
      <c r="I35" s="303"/>
      <c r="J35" s="304"/>
      <c r="K35" s="304"/>
      <c r="P35" s="255"/>
    </row>
    <row r="36" spans="3:16" ht="13" x14ac:dyDescent="0.25">
      <c r="C36" s="317" t="s">
        <v>1192</v>
      </c>
      <c r="D36" s="986"/>
      <c r="E36" s="318"/>
      <c r="F36" s="300">
        <v>1</v>
      </c>
      <c r="G36" s="301">
        <f>(E36*(1+H36))-E36</f>
        <v>0</v>
      </c>
      <c r="H36" s="300">
        <v>0.2</v>
      </c>
      <c r="I36" s="303" t="s">
        <v>1196</v>
      </c>
      <c r="J36" s="304" t="e">
        <f>ROUND((E36+G36)*J6/365,2)</f>
        <v>#VALUE!</v>
      </c>
      <c r="K36" s="304"/>
    </row>
    <row r="37" spans="3:16" ht="13" x14ac:dyDescent="0.25">
      <c r="C37" s="317" t="s">
        <v>1193</v>
      </c>
      <c r="D37" s="986"/>
      <c r="E37" s="318"/>
      <c r="F37" s="300">
        <v>1</v>
      </c>
      <c r="G37" s="301">
        <f>(E37*(1+H37))-E37</f>
        <v>0</v>
      </c>
      <c r="H37" s="300">
        <v>0.2</v>
      </c>
      <c r="I37" s="303" t="s">
        <v>1197</v>
      </c>
      <c r="J37" s="304">
        <f>ROUND((E37+G37),2)*0</f>
        <v>0</v>
      </c>
      <c r="K37" s="304"/>
    </row>
    <row r="38" spans="3:16" ht="13" x14ac:dyDescent="0.25">
      <c r="C38" s="317" t="s">
        <v>1194</v>
      </c>
      <c r="D38" s="452"/>
      <c r="E38" s="318"/>
      <c r="F38" s="300">
        <v>1</v>
      </c>
      <c r="G38" s="301">
        <f>(E38*(1+H38))-E38</f>
        <v>0</v>
      </c>
      <c r="H38" s="300">
        <v>0.2</v>
      </c>
      <c r="I38" s="303" t="s">
        <v>1198</v>
      </c>
      <c r="J38" s="304">
        <f>G38+E38</f>
        <v>0</v>
      </c>
      <c r="K38" s="304"/>
    </row>
    <row r="39" spans="3:16" ht="13" x14ac:dyDescent="0.25">
      <c r="C39" s="317" t="s">
        <v>1233</v>
      </c>
      <c r="D39" s="452"/>
      <c r="E39" s="318"/>
      <c r="F39" s="300">
        <v>1</v>
      </c>
      <c r="G39" s="301">
        <f t="shared" ref="G39:G43" si="3">(E39*(1+H39))-E39</f>
        <v>0</v>
      </c>
      <c r="H39" s="300">
        <v>0.2</v>
      </c>
      <c r="I39" s="303"/>
      <c r="J39" s="304"/>
      <c r="K39" s="304"/>
    </row>
    <row r="40" spans="3:16" ht="13" x14ac:dyDescent="0.25">
      <c r="C40" s="317" t="s">
        <v>1234</v>
      </c>
      <c r="D40" s="452"/>
      <c r="E40" s="318"/>
      <c r="F40" s="300">
        <v>1</v>
      </c>
      <c r="G40" s="301">
        <f t="shared" si="3"/>
        <v>0</v>
      </c>
      <c r="H40" s="300">
        <v>0.2</v>
      </c>
      <c r="I40" s="303"/>
      <c r="J40" s="304"/>
      <c r="K40" s="304"/>
    </row>
    <row r="41" spans="3:16" ht="13" x14ac:dyDescent="0.25">
      <c r="C41" s="317" t="s">
        <v>1232</v>
      </c>
      <c r="D41" s="452"/>
      <c r="E41" s="318"/>
      <c r="F41" s="300">
        <v>1</v>
      </c>
      <c r="G41" s="301">
        <f t="shared" si="3"/>
        <v>0</v>
      </c>
      <c r="H41" s="300">
        <v>0.2</v>
      </c>
      <c r="I41" s="303"/>
      <c r="J41" s="304"/>
      <c r="K41" s="304"/>
    </row>
    <row r="42" spans="3:16" ht="13" x14ac:dyDescent="0.25">
      <c r="C42" s="317" t="s">
        <v>1235</v>
      </c>
      <c r="D42" s="452"/>
      <c r="E42" s="318"/>
      <c r="F42" s="300">
        <v>1</v>
      </c>
      <c r="G42" s="301">
        <f t="shared" si="3"/>
        <v>0</v>
      </c>
      <c r="H42" s="300">
        <v>0.2</v>
      </c>
      <c r="I42" s="303"/>
      <c r="J42" s="304"/>
      <c r="K42" s="304"/>
    </row>
    <row r="43" spans="3:16" ht="13" x14ac:dyDescent="0.25">
      <c r="C43" s="317" t="s">
        <v>1236</v>
      </c>
      <c r="D43" s="452"/>
      <c r="E43" s="318"/>
      <c r="F43" s="300">
        <v>1</v>
      </c>
      <c r="G43" s="301">
        <f t="shared" si="3"/>
        <v>0</v>
      </c>
      <c r="H43" s="300">
        <v>0.2</v>
      </c>
      <c r="I43" s="303"/>
      <c r="J43" s="304"/>
      <c r="K43" s="304"/>
    </row>
    <row r="44" spans="3:16" ht="13" x14ac:dyDescent="0.25">
      <c r="C44" s="308" t="s">
        <v>1182</v>
      </c>
      <c r="D44" s="991" t="s">
        <v>1230</v>
      </c>
      <c r="E44" s="309"/>
      <c r="F44" s="310"/>
      <c r="G44" s="311"/>
      <c r="H44" s="331"/>
      <c r="I44" s="312"/>
      <c r="J44" s="313"/>
      <c r="K44" s="313"/>
      <c r="P44" s="255"/>
    </row>
    <row r="45" spans="3:16" ht="13" x14ac:dyDescent="0.25">
      <c r="C45" s="314" t="s">
        <v>1183</v>
      </c>
      <c r="D45" s="992"/>
      <c r="E45" s="332"/>
      <c r="F45" s="315">
        <v>7.9999999999999996E-6</v>
      </c>
      <c r="G45" s="301"/>
      <c r="H45" s="326"/>
      <c r="I45" s="303"/>
      <c r="J45" s="304">
        <f>+E45*F45</f>
        <v>0</v>
      </c>
      <c r="K45" s="304"/>
      <c r="P45" s="255"/>
    </row>
    <row r="46" spans="3:16" ht="13" x14ac:dyDescent="0.25">
      <c r="C46" s="316" t="s">
        <v>172</v>
      </c>
      <c r="D46" s="985" t="s">
        <v>274</v>
      </c>
      <c r="E46" s="309"/>
      <c r="F46" s="310"/>
      <c r="G46" s="311"/>
      <c r="H46" s="331"/>
      <c r="I46" s="312"/>
      <c r="J46" s="313"/>
      <c r="K46" s="313"/>
    </row>
    <row r="47" spans="3:16" ht="13" x14ac:dyDescent="0.25">
      <c r="C47" s="317"/>
      <c r="D47" s="986"/>
      <c r="E47" s="318"/>
      <c r="F47" s="300"/>
      <c r="G47" s="301">
        <f>E47*F47/12*H47</f>
        <v>0</v>
      </c>
      <c r="H47" s="326">
        <v>0.2</v>
      </c>
      <c r="I47" s="303"/>
      <c r="J47" s="453">
        <f>E47*F47/12+G47</f>
        <v>0</v>
      </c>
      <c r="K47" s="304"/>
    </row>
    <row r="48" spans="3:16" ht="13" x14ac:dyDescent="0.25">
      <c r="C48" s="317"/>
      <c r="D48" s="986"/>
      <c r="E48" s="318"/>
      <c r="F48" s="300"/>
      <c r="G48" s="301">
        <f>E48*F48*H48</f>
        <v>0</v>
      </c>
      <c r="H48" s="326">
        <v>0.2</v>
      </c>
      <c r="I48" s="303"/>
      <c r="J48" s="453">
        <f>E48*F48+G48</f>
        <v>0</v>
      </c>
      <c r="K48" s="304"/>
    </row>
    <row r="49" spans="3:13" ht="13" x14ac:dyDescent="0.25">
      <c r="C49" s="317"/>
      <c r="D49" s="986"/>
      <c r="E49" s="318"/>
      <c r="F49" s="300"/>
      <c r="G49" s="301">
        <f t="shared" ref="G49" si="4">(E49*(1+H49))-E49</f>
        <v>0</v>
      </c>
      <c r="H49" s="300">
        <v>0.2</v>
      </c>
      <c r="I49" s="303"/>
      <c r="J49" s="453">
        <f t="shared" ref="J49" si="5">ROUND((E49+G49),2)</f>
        <v>0</v>
      </c>
      <c r="K49" s="304"/>
    </row>
    <row r="50" spans="3:13" ht="13" x14ac:dyDescent="0.25">
      <c r="C50" s="316" t="s">
        <v>1161</v>
      </c>
      <c r="D50" s="793"/>
      <c r="E50" s="318"/>
      <c r="F50" s="300"/>
      <c r="G50" s="301">
        <f>E50*F50*H50</f>
        <v>0</v>
      </c>
      <c r="H50" s="300">
        <v>0.2</v>
      </c>
      <c r="I50" s="303"/>
      <c r="J50" s="453">
        <f>E50*F50+G50</f>
        <v>0</v>
      </c>
      <c r="K50" s="522"/>
    </row>
    <row r="51" spans="3:13" ht="13" x14ac:dyDescent="0.25">
      <c r="C51" s="317" t="s">
        <v>1162</v>
      </c>
      <c r="D51" s="991"/>
      <c r="E51" s="318"/>
      <c r="F51" s="300"/>
      <c r="G51" s="301">
        <f>E51*F51*H51</f>
        <v>0</v>
      </c>
      <c r="H51" s="300">
        <v>0.2</v>
      </c>
      <c r="I51" s="303"/>
      <c r="J51" s="453">
        <f>E51*F51+G51</f>
        <v>0</v>
      </c>
      <c r="K51" s="304"/>
    </row>
    <row r="52" spans="3:13" ht="13" x14ac:dyDescent="0.25">
      <c r="C52" s="317" t="s">
        <v>1163</v>
      </c>
      <c r="D52" s="992"/>
      <c r="E52" s="318"/>
      <c r="F52" s="300"/>
      <c r="G52" s="301">
        <f>E52*F52*H52</f>
        <v>0</v>
      </c>
      <c r="H52" s="300">
        <v>0.2</v>
      </c>
      <c r="I52" s="303"/>
      <c r="J52" s="453">
        <f>E52*F52+G52</f>
        <v>0</v>
      </c>
      <c r="K52" s="304"/>
    </row>
    <row r="53" spans="3:13" ht="12.65" customHeight="1" x14ac:dyDescent="0.25">
      <c r="C53" s="321" t="s">
        <v>123</v>
      </c>
      <c r="D53" s="985" t="s">
        <v>174</v>
      </c>
      <c r="E53" s="309"/>
      <c r="F53" s="310"/>
      <c r="G53" s="319"/>
      <c r="H53" s="331"/>
      <c r="I53" s="312"/>
      <c r="J53" s="313"/>
      <c r="K53" s="313"/>
    </row>
    <row r="54" spans="3:13" ht="13" x14ac:dyDescent="0.25">
      <c r="C54" s="307" t="s">
        <v>171</v>
      </c>
      <c r="D54" s="986"/>
      <c r="E54" s="320"/>
      <c r="F54" s="300">
        <v>1</v>
      </c>
      <c r="G54" s="301">
        <f>(E54*(1+H54))-E54</f>
        <v>0</v>
      </c>
      <c r="H54" s="300">
        <v>0.2</v>
      </c>
      <c r="I54" s="303" t="s">
        <v>237</v>
      </c>
      <c r="J54" s="304">
        <f>ROUND((E54+G54),2)*0</f>
        <v>0</v>
      </c>
      <c r="K54" s="304"/>
    </row>
    <row r="55" spans="3:13" ht="13.5" thickBot="1" x14ac:dyDescent="0.3">
      <c r="C55" s="330" t="s">
        <v>169</v>
      </c>
      <c r="D55" s="986"/>
      <c r="E55" s="320"/>
      <c r="F55" s="300">
        <v>1</v>
      </c>
      <c r="G55" s="301">
        <f>(E55*(1+H55))-E55</f>
        <v>0</v>
      </c>
      <c r="H55" s="300">
        <v>0.2</v>
      </c>
      <c r="I55" s="303" t="s">
        <v>237</v>
      </c>
      <c r="J55" s="304">
        <f>ROUND((E55+G55),2)*0</f>
        <v>0</v>
      </c>
      <c r="K55" s="304"/>
    </row>
    <row r="56" spans="3:13" ht="14.5" thickBot="1" x14ac:dyDescent="0.3">
      <c r="C56" s="743" t="s">
        <v>124</v>
      </c>
      <c r="D56" s="322"/>
      <c r="E56" s="323"/>
      <c r="F56" s="324"/>
      <c r="G56" s="324"/>
      <c r="H56" s="324"/>
      <c r="I56" s="324"/>
      <c r="J56" s="325" t="e">
        <f>SUM(J15:J55)</f>
        <v>#VALUE!</v>
      </c>
      <c r="K56" s="325"/>
    </row>
    <row r="57" spans="3:13" x14ac:dyDescent="0.25">
      <c r="M57" s="3"/>
    </row>
    <row r="58" spans="3:13" x14ac:dyDescent="0.25">
      <c r="E58" s="505"/>
      <c r="F58" s="506"/>
      <c r="J58" s="191"/>
      <c r="M58" s="3"/>
    </row>
    <row r="59" spans="3:13" x14ac:dyDescent="0.25">
      <c r="J59" s="3"/>
    </row>
    <row r="62" spans="3:13" x14ac:dyDescent="0.25">
      <c r="I62" s="498"/>
    </row>
    <row r="63" spans="3:13" x14ac:dyDescent="0.25">
      <c r="I63" s="498"/>
    </row>
  </sheetData>
  <mergeCells count="7">
    <mergeCell ref="D53:D55"/>
    <mergeCell ref="C11:K11"/>
    <mergeCell ref="D15:D31"/>
    <mergeCell ref="D32:D37"/>
    <mergeCell ref="D46:D49"/>
    <mergeCell ref="D44:D45"/>
    <mergeCell ref="D51:D52"/>
  </mergeCells>
  <phoneticPr fontId="0" type="noConversion"/>
  <pageMargins left="0.78740157499999996" right="0.78740157499999996" top="0.984251969" bottom="0.984251969" header="0.4921259845" footer="0.4921259845"/>
  <pageSetup paperSize="9" scale="26"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79"/>
  <sheetViews>
    <sheetView showGridLines="0" view="pageBreakPreview" topLeftCell="A4" zoomScaleNormal="85" zoomScaleSheetLayoutView="100" workbookViewId="0">
      <selection activeCell="K26" sqref="K26"/>
    </sheetView>
  </sheetViews>
  <sheetFormatPr defaultColWidth="11.453125" defaultRowHeight="14.5" outlineLevelRow="1" x14ac:dyDescent="0.35"/>
  <cols>
    <col min="1" max="1" width="1.81640625" style="111" customWidth="1"/>
    <col min="2" max="2" width="2.81640625" style="111" customWidth="1"/>
    <col min="3" max="3" width="5" style="111" customWidth="1"/>
    <col min="4" max="4" width="7.26953125" style="111" customWidth="1"/>
    <col min="5" max="5" width="8.1796875" style="111" customWidth="1"/>
    <col min="6" max="6" width="11.453125" style="111"/>
    <col min="7" max="7" width="34.453125" style="111" customWidth="1"/>
    <col min="8" max="8" width="52.1796875" style="111" bestFit="1" customWidth="1"/>
    <col min="9" max="9" width="19.7265625" style="111" customWidth="1"/>
    <col min="10" max="10" width="25.7265625" style="111" customWidth="1"/>
    <col min="11" max="11" width="18" style="111" customWidth="1"/>
    <col min="12" max="12" width="20" style="111" customWidth="1"/>
    <col min="13" max="13" width="9.7265625" style="111" bestFit="1" customWidth="1"/>
    <col min="14" max="14" width="19" style="111" bestFit="1" customWidth="1"/>
    <col min="15" max="15" width="28.81640625" style="111" customWidth="1"/>
    <col min="16" max="16" width="11.453125" style="111"/>
    <col min="17" max="17" width="4.54296875" style="111" customWidth="1"/>
    <col min="18" max="16384" width="11.453125" style="111"/>
  </cols>
  <sheetData>
    <row r="1" spans="1:14" x14ac:dyDescent="0.35">
      <c r="A1" s="110"/>
      <c r="B1" s="110"/>
      <c r="C1" s="110"/>
      <c r="D1" s="110"/>
      <c r="E1" s="110"/>
      <c r="F1" s="110"/>
      <c r="G1" s="110"/>
      <c r="H1" s="110"/>
      <c r="I1" s="110"/>
      <c r="J1" s="110"/>
      <c r="K1" s="110"/>
      <c r="L1" s="110"/>
      <c r="M1" s="110"/>
    </row>
    <row r="2" spans="1:14" x14ac:dyDescent="0.35">
      <c r="A2" s="112"/>
      <c r="B2" s="110"/>
      <c r="C2" s="112"/>
      <c r="D2" s="112"/>
      <c r="E2" s="112"/>
      <c r="F2" s="112"/>
      <c r="G2" s="112"/>
      <c r="H2" s="112"/>
      <c r="I2" s="112"/>
      <c r="J2" s="112"/>
      <c r="K2" s="112"/>
      <c r="L2" s="112"/>
      <c r="M2" s="112"/>
    </row>
    <row r="3" spans="1:14" x14ac:dyDescent="0.35">
      <c r="A3" s="112"/>
      <c r="B3" s="110"/>
      <c r="C3" s="112"/>
      <c r="D3" s="112"/>
      <c r="E3" s="112"/>
      <c r="F3" s="905"/>
      <c r="G3" s="905"/>
      <c r="H3" s="905"/>
      <c r="I3" s="112"/>
      <c r="J3" s="441"/>
      <c r="K3" s="803" t="s">
        <v>134</v>
      </c>
      <c r="L3" s="165">
        <f>'00 - Cover'!$F$16</f>
        <v>0</v>
      </c>
    </row>
    <row r="4" spans="1:14" x14ac:dyDescent="0.35">
      <c r="A4" s="112"/>
      <c r="B4" s="110"/>
      <c r="C4" s="112"/>
      <c r="D4" s="112"/>
      <c r="E4" s="112"/>
      <c r="F4" s="905"/>
      <c r="G4" s="905"/>
      <c r="H4" s="905"/>
      <c r="I4" s="112"/>
      <c r="J4" s="441"/>
      <c r="K4" s="803" t="s">
        <v>1117</v>
      </c>
      <c r="L4" s="165">
        <f>'00 - Cover'!$F$15</f>
        <v>0</v>
      </c>
    </row>
    <row r="5" spans="1:14" x14ac:dyDescent="0.35">
      <c r="A5" s="112"/>
      <c r="B5" s="110"/>
      <c r="C5" s="112"/>
      <c r="D5" s="112"/>
      <c r="E5" s="112"/>
      <c r="F5" s="905"/>
      <c r="G5" s="905"/>
      <c r="H5" s="905"/>
      <c r="I5" s="112"/>
      <c r="J5" s="441"/>
      <c r="K5" s="803" t="s">
        <v>94</v>
      </c>
      <c r="L5" s="165">
        <f>'00 - Cover'!$F$16</f>
        <v>0</v>
      </c>
    </row>
    <row r="6" spans="1:14" x14ac:dyDescent="0.35">
      <c r="A6" s="112"/>
      <c r="B6" s="110"/>
      <c r="C6" s="112"/>
      <c r="D6" s="112"/>
      <c r="E6" s="112"/>
      <c r="F6" s="905"/>
      <c r="G6" s="905"/>
      <c r="H6" s="905"/>
      <c r="I6" s="112"/>
      <c r="J6" s="112"/>
      <c r="K6" s="803" t="s">
        <v>87</v>
      </c>
      <c r="L6" s="837">
        <f>'00 - Cover'!$F$17</f>
        <v>0</v>
      </c>
      <c r="M6" s="112"/>
    </row>
    <row r="7" spans="1:14" x14ac:dyDescent="0.35">
      <c r="A7" s="112"/>
      <c r="B7" s="110"/>
      <c r="C7" s="112"/>
      <c r="D7" s="112"/>
      <c r="E7" s="112"/>
      <c r="F7" s="112"/>
      <c r="G7" s="112"/>
      <c r="H7" s="112"/>
      <c r="I7" s="112"/>
      <c r="J7" s="113"/>
      <c r="K7" s="113"/>
      <c r="L7" s="114"/>
      <c r="M7" s="112"/>
    </row>
    <row r="8" spans="1:14" x14ac:dyDescent="0.35">
      <c r="A8" s="112"/>
      <c r="B8" s="110"/>
      <c r="C8" s="112"/>
      <c r="D8" s="112"/>
      <c r="E8" s="112"/>
      <c r="F8" s="112"/>
      <c r="G8" s="112"/>
      <c r="H8" s="112"/>
      <c r="I8" s="112"/>
      <c r="J8" s="113"/>
      <c r="K8" s="113"/>
      <c r="L8" s="114"/>
      <c r="M8" s="112"/>
    </row>
    <row r="9" spans="1:14" ht="15.5" x14ac:dyDescent="0.35">
      <c r="A9" s="112"/>
      <c r="B9" s="727" t="s">
        <v>223</v>
      </c>
      <c r="C9" s="728"/>
      <c r="D9" s="729"/>
      <c r="E9" s="729"/>
      <c r="F9" s="729"/>
      <c r="G9" s="729"/>
      <c r="H9" s="729"/>
      <c r="I9" s="773"/>
      <c r="J9" s="774"/>
      <c r="K9" s="774"/>
      <c r="L9" s="775"/>
      <c r="M9" s="776"/>
    </row>
    <row r="10" spans="1:14" x14ac:dyDescent="0.35">
      <c r="A10" s="112"/>
      <c r="B10" s="112"/>
      <c r="C10" s="112"/>
      <c r="D10" s="112"/>
      <c r="E10" s="112"/>
      <c r="F10" s="112"/>
      <c r="G10" s="112"/>
      <c r="H10" s="112"/>
      <c r="I10" s="112"/>
      <c r="J10" s="113"/>
      <c r="K10" s="113"/>
      <c r="L10" s="114"/>
      <c r="M10" s="112"/>
    </row>
    <row r="11" spans="1:14" x14ac:dyDescent="0.35">
      <c r="A11" s="112"/>
      <c r="B11" s="112"/>
      <c r="C11" s="112"/>
      <c r="D11" s="112"/>
      <c r="E11" s="112"/>
      <c r="F11" s="112"/>
      <c r="G11" s="112"/>
      <c r="H11" s="112"/>
      <c r="I11" s="112"/>
      <c r="J11" s="113"/>
      <c r="K11" s="113"/>
      <c r="L11" s="114"/>
      <c r="M11" s="112"/>
    </row>
    <row r="12" spans="1:14" ht="15" thickBot="1" x14ac:dyDescent="0.4">
      <c r="A12" s="110"/>
      <c r="B12" s="110"/>
      <c r="C12" s="110"/>
      <c r="D12" s="110"/>
      <c r="E12" s="110"/>
      <c r="F12" s="110"/>
      <c r="G12" s="110"/>
      <c r="H12" s="110"/>
      <c r="I12" s="110"/>
      <c r="J12" s="110"/>
      <c r="K12" s="110"/>
      <c r="L12" s="115"/>
      <c r="M12" s="110"/>
    </row>
    <row r="13" spans="1:14" ht="15.75" customHeight="1" x14ac:dyDescent="0.35">
      <c r="A13" s="110"/>
      <c r="B13" s="228"/>
      <c r="C13" s="996" t="s">
        <v>1282</v>
      </c>
      <c r="D13" s="996"/>
      <c r="E13" s="996"/>
      <c r="F13" s="996"/>
      <c r="G13" s="996"/>
      <c r="H13" s="996"/>
      <c r="I13" s="997"/>
      <c r="J13" s="246"/>
      <c r="K13" s="246"/>
      <c r="L13" s="246"/>
      <c r="M13" s="241"/>
    </row>
    <row r="14" spans="1:14" x14ac:dyDescent="0.35">
      <c r="A14" s="116"/>
      <c r="B14" s="229"/>
      <c r="C14" s="998"/>
      <c r="D14" s="998"/>
      <c r="E14" s="998"/>
      <c r="F14" s="998"/>
      <c r="G14" s="998"/>
      <c r="H14" s="998"/>
      <c r="I14" s="999"/>
      <c r="J14" s="117" t="s">
        <v>8</v>
      </c>
      <c r="K14" s="117"/>
      <c r="L14" s="117"/>
      <c r="M14" s="242"/>
    </row>
    <row r="15" spans="1:14" x14ac:dyDescent="0.35">
      <c r="A15" s="110"/>
      <c r="B15" s="230"/>
      <c r="C15" s="233"/>
      <c r="D15" s="1000" t="s">
        <v>100</v>
      </c>
      <c r="E15" s="1001"/>
      <c r="F15" s="1001"/>
      <c r="G15" s="1001"/>
      <c r="H15" s="1002"/>
      <c r="I15" s="797" t="s">
        <v>101</v>
      </c>
      <c r="J15" s="797" t="s">
        <v>102</v>
      </c>
      <c r="K15" s="797" t="s">
        <v>118</v>
      </c>
      <c r="L15" s="227" t="s">
        <v>244</v>
      </c>
      <c r="M15" s="243"/>
    </row>
    <row r="16" spans="1:14" x14ac:dyDescent="0.35">
      <c r="A16" s="110"/>
      <c r="B16" s="230"/>
      <c r="C16" s="233"/>
      <c r="D16" s="119"/>
      <c r="E16" s="120" t="s">
        <v>9</v>
      </c>
      <c r="F16" s="975" t="s">
        <v>1288</v>
      </c>
      <c r="G16" s="976"/>
      <c r="H16" s="977"/>
      <c r="I16" s="223"/>
      <c r="J16" s="223"/>
      <c r="K16" s="223"/>
      <c r="L16" s="224"/>
      <c r="M16" s="243"/>
      <c r="N16" s="201"/>
    </row>
    <row r="17" spans="1:14" x14ac:dyDescent="0.35">
      <c r="A17" s="110"/>
      <c r="B17" s="230"/>
      <c r="C17" s="233"/>
      <c r="D17" s="121" t="s">
        <v>10</v>
      </c>
      <c r="E17" s="122" t="s">
        <v>18</v>
      </c>
      <c r="F17" s="969" t="s">
        <v>1284</v>
      </c>
      <c r="G17" s="970"/>
      <c r="H17" s="971"/>
      <c r="I17" s="225"/>
      <c r="J17" s="225"/>
      <c r="K17" s="225"/>
      <c r="L17" s="224"/>
      <c r="M17" s="244"/>
    </row>
    <row r="18" spans="1:14" ht="31.5" customHeight="1" x14ac:dyDescent="0.35">
      <c r="A18" s="110"/>
      <c r="B18" s="230"/>
      <c r="C18" s="233"/>
      <c r="D18" s="121" t="s">
        <v>11</v>
      </c>
      <c r="E18" s="122" t="s">
        <v>18</v>
      </c>
      <c r="F18" s="972" t="s">
        <v>1285</v>
      </c>
      <c r="G18" s="973"/>
      <c r="H18" s="974"/>
      <c r="I18" s="225"/>
      <c r="J18" s="225"/>
      <c r="K18" s="225"/>
      <c r="L18" s="224"/>
      <c r="M18" s="244"/>
    </row>
    <row r="19" spans="1:14" ht="36" customHeight="1" x14ac:dyDescent="0.35">
      <c r="A19" s="110"/>
      <c r="B19" s="230"/>
      <c r="C19" s="233"/>
      <c r="D19" s="121" t="s">
        <v>12</v>
      </c>
      <c r="E19" s="122" t="s">
        <v>18</v>
      </c>
      <c r="F19" s="972" t="s">
        <v>1286</v>
      </c>
      <c r="G19" s="973"/>
      <c r="H19" s="974"/>
      <c r="I19" s="225"/>
      <c r="J19" s="225"/>
      <c r="K19" s="225"/>
      <c r="L19" s="224"/>
      <c r="M19" s="244"/>
    </row>
    <row r="20" spans="1:14" ht="26.25" customHeight="1" x14ac:dyDescent="0.35">
      <c r="A20" s="110"/>
      <c r="B20" s="230"/>
      <c r="C20" s="233"/>
      <c r="D20" s="121" t="s">
        <v>13</v>
      </c>
      <c r="E20" s="122" t="s">
        <v>18</v>
      </c>
      <c r="F20" s="969" t="s">
        <v>1287</v>
      </c>
      <c r="G20" s="970"/>
      <c r="H20" s="971"/>
      <c r="I20" s="225"/>
      <c r="J20" s="225"/>
      <c r="K20" s="225"/>
      <c r="L20" s="224"/>
      <c r="M20" s="244"/>
      <c r="N20" s="194"/>
    </row>
    <row r="21" spans="1:14" x14ac:dyDescent="0.35">
      <c r="A21" s="118"/>
      <c r="B21" s="231"/>
      <c r="C21" s="234"/>
      <c r="D21" s="993"/>
      <c r="E21" s="994"/>
      <c r="F21" s="994"/>
      <c r="G21" s="994"/>
      <c r="H21" s="994"/>
      <c r="I21" s="994"/>
      <c r="J21" s="995"/>
      <c r="K21" s="798"/>
      <c r="L21" s="226"/>
      <c r="M21" s="245"/>
    </row>
    <row r="22" spans="1:14" ht="15" thickBot="1" x14ac:dyDescent="0.4">
      <c r="A22" s="110"/>
      <c r="B22" s="232"/>
      <c r="C22" s="235"/>
      <c r="D22" s="236"/>
      <c r="E22" s="237"/>
      <c r="F22" s="238"/>
      <c r="G22" s="238"/>
      <c r="H22" s="235"/>
      <c r="I22" s="235"/>
      <c r="J22" s="235"/>
      <c r="K22" s="235"/>
      <c r="L22" s="239"/>
      <c r="M22" s="240"/>
    </row>
    <row r="24" spans="1:14" ht="15" thickBot="1" x14ac:dyDescent="0.4">
      <c r="L24" s="201"/>
    </row>
    <row r="25" spans="1:14" ht="15.5" x14ac:dyDescent="0.35">
      <c r="B25" s="228"/>
      <c r="C25" s="996" t="s">
        <v>1283</v>
      </c>
      <c r="D25" s="996"/>
      <c r="E25" s="996"/>
      <c r="F25" s="996"/>
      <c r="G25" s="996"/>
      <c r="H25" s="996"/>
      <c r="I25" s="997"/>
      <c r="J25" s="246"/>
      <c r="K25" s="246"/>
      <c r="L25" s="246"/>
      <c r="M25" s="241"/>
    </row>
    <row r="26" spans="1:14" x14ac:dyDescent="0.35">
      <c r="B26" s="229"/>
      <c r="C26" s="998"/>
      <c r="D26" s="998"/>
      <c r="E26" s="998"/>
      <c r="F26" s="998"/>
      <c r="G26" s="998"/>
      <c r="H26" s="998"/>
      <c r="I26" s="999"/>
      <c r="J26" s="117" t="s">
        <v>8</v>
      </c>
      <c r="K26" s="117"/>
      <c r="L26" s="117"/>
      <c r="M26" s="242"/>
    </row>
    <row r="27" spans="1:14" x14ac:dyDescent="0.35">
      <c r="B27" s="230"/>
      <c r="C27" s="233"/>
      <c r="D27" s="1000" t="s">
        <v>100</v>
      </c>
      <c r="E27" s="1001"/>
      <c r="F27" s="1001"/>
      <c r="G27" s="1001"/>
      <c r="H27" s="1002"/>
      <c r="I27" s="797" t="s">
        <v>101</v>
      </c>
      <c r="J27" s="797" t="s">
        <v>102</v>
      </c>
      <c r="K27" s="797" t="s">
        <v>118</v>
      </c>
      <c r="L27" s="227" t="s">
        <v>244</v>
      </c>
      <c r="M27" s="243"/>
    </row>
    <row r="28" spans="1:14" x14ac:dyDescent="0.35">
      <c r="B28" s="230"/>
      <c r="C28" s="233"/>
      <c r="D28" s="119"/>
      <c r="E28" s="120" t="s">
        <v>9</v>
      </c>
      <c r="F28" s="975" t="s">
        <v>1289</v>
      </c>
      <c r="G28" s="976"/>
      <c r="H28" s="977"/>
      <c r="I28" s="223"/>
      <c r="J28" s="223"/>
      <c r="K28" s="223"/>
      <c r="L28" s="224"/>
      <c r="M28" s="243"/>
    </row>
    <row r="29" spans="1:14" x14ac:dyDescent="0.35">
      <c r="B29" s="230"/>
      <c r="C29" s="233"/>
      <c r="D29" s="121" t="s">
        <v>10</v>
      </c>
      <c r="E29" s="122" t="s">
        <v>18</v>
      </c>
      <c r="F29" s="969" t="s">
        <v>1290</v>
      </c>
      <c r="G29" s="970"/>
      <c r="H29" s="971"/>
      <c r="I29" s="225"/>
      <c r="J29" s="225"/>
      <c r="K29" s="225"/>
      <c r="L29" s="224"/>
      <c r="M29" s="244"/>
    </row>
    <row r="30" spans="1:14" x14ac:dyDescent="0.35">
      <c r="B30" s="230"/>
      <c r="C30" s="233"/>
      <c r="D30" s="121" t="s">
        <v>11</v>
      </c>
      <c r="E30" s="122" t="s">
        <v>18</v>
      </c>
      <c r="F30" s="972" t="s">
        <v>1291</v>
      </c>
      <c r="G30" s="973"/>
      <c r="H30" s="974"/>
      <c r="I30" s="225"/>
      <c r="J30" s="225"/>
      <c r="K30" s="225"/>
      <c r="L30" s="224"/>
      <c r="M30" s="244"/>
    </row>
    <row r="31" spans="1:14" x14ac:dyDescent="0.35">
      <c r="B31" s="230"/>
      <c r="C31" s="233"/>
      <c r="D31" s="121" t="s">
        <v>12</v>
      </c>
      <c r="E31" s="122" t="s">
        <v>18</v>
      </c>
      <c r="F31" s="969" t="s">
        <v>1292</v>
      </c>
      <c r="G31" s="970"/>
      <c r="H31" s="971"/>
      <c r="I31" s="225"/>
      <c r="J31" s="225"/>
      <c r="K31" s="225"/>
      <c r="L31" s="224"/>
      <c r="M31" s="244"/>
    </row>
    <row r="32" spans="1:14" ht="24" customHeight="1" x14ac:dyDescent="0.35">
      <c r="B32" s="230"/>
      <c r="C32" s="233"/>
      <c r="D32" s="121" t="s">
        <v>13</v>
      </c>
      <c r="E32" s="122" t="s">
        <v>18</v>
      </c>
      <c r="F32" s="969" t="s">
        <v>1293</v>
      </c>
      <c r="G32" s="970"/>
      <c r="H32" s="971"/>
      <c r="I32" s="225"/>
      <c r="J32" s="225"/>
      <c r="K32" s="225"/>
      <c r="L32" s="224"/>
      <c r="M32" s="244"/>
    </row>
    <row r="33" spans="1:13" ht="25.5" customHeight="1" x14ac:dyDescent="0.35">
      <c r="B33" s="230"/>
      <c r="C33" s="233"/>
      <c r="D33" s="121" t="s">
        <v>14</v>
      </c>
      <c r="E33" s="122" t="s">
        <v>18</v>
      </c>
      <c r="F33" s="969" t="s">
        <v>1294</v>
      </c>
      <c r="G33" s="970"/>
      <c r="H33" s="971"/>
      <c r="I33" s="225"/>
      <c r="J33" s="225"/>
      <c r="K33" s="225"/>
      <c r="L33" s="224"/>
      <c r="M33" s="244"/>
    </row>
    <row r="34" spans="1:13" x14ac:dyDescent="0.35">
      <c r="B34" s="230"/>
      <c r="C34" s="233"/>
      <c r="D34" s="121" t="s">
        <v>15</v>
      </c>
      <c r="E34" s="122" t="s">
        <v>18</v>
      </c>
      <c r="F34" s="969" t="s">
        <v>1295</v>
      </c>
      <c r="G34" s="970"/>
      <c r="H34" s="971"/>
      <c r="I34" s="225"/>
      <c r="J34" s="225"/>
      <c r="K34" s="225"/>
      <c r="L34" s="224"/>
      <c r="M34" s="244"/>
    </row>
    <row r="35" spans="1:13" ht="28.5" customHeight="1" x14ac:dyDescent="0.35">
      <c r="B35" s="230"/>
      <c r="C35" s="233"/>
      <c r="D35" s="121" t="s">
        <v>16</v>
      </c>
      <c r="E35" s="122" t="s">
        <v>18</v>
      </c>
      <c r="F35" s="969" t="s">
        <v>1296</v>
      </c>
      <c r="G35" s="970"/>
      <c r="H35" s="971"/>
      <c r="I35" s="225"/>
      <c r="J35" s="225"/>
      <c r="K35" s="225"/>
      <c r="L35" s="224"/>
      <c r="M35" s="244"/>
    </row>
    <row r="36" spans="1:13" ht="24" customHeight="1" x14ac:dyDescent="0.35">
      <c r="B36" s="230"/>
      <c r="C36" s="233"/>
      <c r="D36" s="121" t="s">
        <v>17</v>
      </c>
      <c r="E36" s="122" t="s">
        <v>18</v>
      </c>
      <c r="F36" s="969" t="s">
        <v>1297</v>
      </c>
      <c r="G36" s="970"/>
      <c r="H36" s="971"/>
      <c r="I36" s="225"/>
      <c r="J36" s="225"/>
      <c r="K36" s="225"/>
      <c r="L36" s="224"/>
      <c r="M36" s="244"/>
    </row>
    <row r="37" spans="1:13" ht="24" customHeight="1" x14ac:dyDescent="0.35">
      <c r="B37" s="230"/>
      <c r="C37" s="233"/>
      <c r="D37" s="121" t="s">
        <v>156</v>
      </c>
      <c r="E37" s="122" t="s">
        <v>18</v>
      </c>
      <c r="F37" s="969" t="s">
        <v>1301</v>
      </c>
      <c r="G37" s="970"/>
      <c r="H37" s="971"/>
      <c r="I37" s="225"/>
      <c r="J37" s="225"/>
      <c r="K37" s="225"/>
      <c r="L37" s="224"/>
      <c r="M37" s="244"/>
    </row>
    <row r="38" spans="1:13" ht="24" customHeight="1" x14ac:dyDescent="0.35">
      <c r="B38" s="230"/>
      <c r="C38" s="233"/>
      <c r="D38" s="121" t="s">
        <v>1298</v>
      </c>
      <c r="E38" s="122" t="s">
        <v>18</v>
      </c>
      <c r="F38" s="969" t="s">
        <v>1302</v>
      </c>
      <c r="G38" s="970"/>
      <c r="H38" s="971"/>
      <c r="I38" s="225"/>
      <c r="J38" s="225"/>
      <c r="K38" s="225"/>
      <c r="L38" s="224"/>
      <c r="M38" s="244"/>
    </row>
    <row r="39" spans="1:13" ht="24" customHeight="1" x14ac:dyDescent="0.35">
      <c r="B39" s="230"/>
      <c r="C39" s="233"/>
      <c r="D39" s="121" t="s">
        <v>1299</v>
      </c>
      <c r="E39" s="122" t="s">
        <v>18</v>
      </c>
      <c r="F39" s="969" t="s">
        <v>1303</v>
      </c>
      <c r="G39" s="970"/>
      <c r="H39" s="971"/>
      <c r="I39" s="225"/>
      <c r="J39" s="225"/>
      <c r="K39" s="225"/>
      <c r="L39" s="224"/>
      <c r="M39" s="244"/>
    </row>
    <row r="40" spans="1:13" ht="24" customHeight="1" x14ac:dyDescent="0.35">
      <c r="B40" s="230"/>
      <c r="C40" s="233"/>
      <c r="D40" s="121" t="s">
        <v>1300</v>
      </c>
      <c r="E40" s="122" t="s">
        <v>18</v>
      </c>
      <c r="F40" s="969" t="s">
        <v>1304</v>
      </c>
      <c r="G40" s="970"/>
      <c r="H40" s="971"/>
      <c r="I40" s="225"/>
      <c r="J40" s="225"/>
      <c r="K40" s="225"/>
      <c r="L40" s="224"/>
      <c r="M40" s="244"/>
    </row>
    <row r="41" spans="1:13" x14ac:dyDescent="0.35">
      <c r="B41" s="231"/>
      <c r="C41" s="234"/>
      <c r="D41" s="993"/>
      <c r="E41" s="994"/>
      <c r="F41" s="994"/>
      <c r="G41" s="994"/>
      <c r="H41" s="994"/>
      <c r="I41" s="994"/>
      <c r="J41" s="995"/>
      <c r="K41" s="798"/>
      <c r="L41" s="226"/>
      <c r="M41" s="245"/>
    </row>
    <row r="42" spans="1:13" ht="15" thickBot="1" x14ac:dyDescent="0.4">
      <c r="B42" s="232"/>
      <c r="C42" s="235"/>
      <c r="D42" s="236"/>
      <c r="E42" s="237"/>
      <c r="F42" s="238"/>
      <c r="G42" s="238"/>
      <c r="H42" s="235"/>
      <c r="I42" s="235"/>
      <c r="J42" s="235"/>
      <c r="K42" s="235"/>
      <c r="L42" s="239"/>
      <c r="M42" s="240"/>
    </row>
    <row r="43" spans="1:13" x14ac:dyDescent="0.35">
      <c r="L43" s="201"/>
    </row>
    <row r="44" spans="1:13" x14ac:dyDescent="0.35">
      <c r="L44" s="201"/>
    </row>
    <row r="45" spans="1:13" x14ac:dyDescent="0.35">
      <c r="L45" s="201"/>
    </row>
    <row r="46" spans="1:13" ht="15" hidden="1" outlineLevel="1" thickBot="1" x14ac:dyDescent="0.4">
      <c r="L46" s="201"/>
    </row>
    <row r="47" spans="1:13" ht="15.75" hidden="1" customHeight="1" outlineLevel="1" x14ac:dyDescent="0.35">
      <c r="A47" s="110"/>
      <c r="B47" s="228"/>
      <c r="C47" s="996" t="s">
        <v>1305</v>
      </c>
      <c r="D47" s="996"/>
      <c r="E47" s="996"/>
      <c r="F47" s="996"/>
      <c r="G47" s="996"/>
      <c r="H47" s="996"/>
      <c r="I47" s="997"/>
      <c r="J47" s="246"/>
      <c r="K47" s="246"/>
      <c r="L47" s="246"/>
      <c r="M47" s="241"/>
    </row>
    <row r="48" spans="1:13" hidden="1" outlineLevel="1" x14ac:dyDescent="0.35">
      <c r="A48" s="116"/>
      <c r="B48" s="229"/>
      <c r="C48" s="998"/>
      <c r="D48" s="998"/>
      <c r="E48" s="998"/>
      <c r="F48" s="998"/>
      <c r="G48" s="998"/>
      <c r="H48" s="998"/>
      <c r="I48" s="999"/>
      <c r="J48" s="117" t="s">
        <v>8</v>
      </c>
      <c r="K48" s="117"/>
      <c r="L48" s="117"/>
      <c r="M48" s="242"/>
    </row>
    <row r="49" spans="1:14" hidden="1" outlineLevel="1" x14ac:dyDescent="0.35">
      <c r="A49" s="110"/>
      <c r="B49" s="230"/>
      <c r="C49" s="233"/>
      <c r="D49" s="1000" t="s">
        <v>100</v>
      </c>
      <c r="E49" s="1001"/>
      <c r="F49" s="1001"/>
      <c r="G49" s="1001"/>
      <c r="H49" s="1002"/>
      <c r="I49" s="797" t="s">
        <v>101</v>
      </c>
      <c r="J49" s="797" t="s">
        <v>102</v>
      </c>
      <c r="K49" s="797" t="s">
        <v>118</v>
      </c>
      <c r="L49" s="227" t="s">
        <v>244</v>
      </c>
      <c r="M49" s="243"/>
    </row>
    <row r="50" spans="1:14" hidden="1" outlineLevel="1" x14ac:dyDescent="0.35">
      <c r="A50" s="110"/>
      <c r="B50" s="230"/>
      <c r="C50" s="233"/>
      <c r="D50" s="119"/>
      <c r="E50" s="120" t="s">
        <v>9</v>
      </c>
      <c r="F50" s="975" t="s">
        <v>1306</v>
      </c>
      <c r="G50" s="976"/>
      <c r="H50" s="977"/>
      <c r="I50" s="223"/>
      <c r="J50" s="223"/>
      <c r="K50" s="223"/>
      <c r="L50" s="224"/>
      <c r="M50" s="243"/>
      <c r="N50" s="201"/>
    </row>
    <row r="51" spans="1:14" hidden="1" outlineLevel="1" x14ac:dyDescent="0.35">
      <c r="A51" s="110"/>
      <c r="B51" s="230"/>
      <c r="C51" s="233"/>
      <c r="D51" s="121" t="s">
        <v>10</v>
      </c>
      <c r="E51" s="122" t="s">
        <v>18</v>
      </c>
      <c r="F51" s="969" t="s">
        <v>1307</v>
      </c>
      <c r="G51" s="970"/>
      <c r="H51" s="971"/>
      <c r="I51" s="223"/>
      <c r="J51" s="223"/>
      <c r="K51" s="223"/>
      <c r="L51" s="224"/>
      <c r="M51" s="243"/>
      <c r="N51" s="201"/>
    </row>
    <row r="52" spans="1:14" hidden="1" outlineLevel="1" x14ac:dyDescent="0.35">
      <c r="A52" s="110"/>
      <c r="B52" s="230"/>
      <c r="C52" s="233"/>
      <c r="D52" s="121" t="s">
        <v>11</v>
      </c>
      <c r="E52" s="122" t="s">
        <v>18</v>
      </c>
      <c r="F52" s="969" t="s">
        <v>1291</v>
      </c>
      <c r="G52" s="970"/>
      <c r="H52" s="971"/>
      <c r="I52" s="223"/>
      <c r="J52" s="223"/>
      <c r="K52" s="223"/>
      <c r="L52" s="224"/>
      <c r="M52" s="243"/>
      <c r="N52" s="201"/>
    </row>
    <row r="53" spans="1:14" hidden="1" outlineLevel="1" x14ac:dyDescent="0.35">
      <c r="A53" s="110"/>
      <c r="B53" s="230"/>
      <c r="C53" s="233"/>
      <c r="D53" s="121" t="s">
        <v>12</v>
      </c>
      <c r="E53" s="122" t="s">
        <v>18</v>
      </c>
      <c r="F53" s="969" t="s">
        <v>1292</v>
      </c>
      <c r="G53" s="970"/>
      <c r="H53" s="971"/>
      <c r="I53" s="223"/>
      <c r="J53" s="223"/>
      <c r="K53" s="223"/>
      <c r="L53" s="224"/>
      <c r="M53" s="243"/>
      <c r="N53" s="201"/>
    </row>
    <row r="54" spans="1:14" ht="29.25" hidden="1" customHeight="1" outlineLevel="1" x14ac:dyDescent="0.35">
      <c r="A54" s="110"/>
      <c r="B54" s="230"/>
      <c r="C54" s="233"/>
      <c r="D54" s="121" t="s">
        <v>13</v>
      </c>
      <c r="E54" s="122" t="s">
        <v>18</v>
      </c>
      <c r="F54" s="969" t="s">
        <v>1293</v>
      </c>
      <c r="G54" s="970"/>
      <c r="H54" s="971"/>
      <c r="I54" s="223"/>
      <c r="J54" s="223"/>
      <c r="K54" s="223"/>
      <c r="L54" s="224"/>
      <c r="M54" s="243"/>
      <c r="N54" s="201"/>
    </row>
    <row r="55" spans="1:14" ht="27" hidden="1" customHeight="1" outlineLevel="1" x14ac:dyDescent="0.35">
      <c r="A55" s="110"/>
      <c r="B55" s="230"/>
      <c r="C55" s="233"/>
      <c r="D55" s="121" t="s">
        <v>14</v>
      </c>
      <c r="E55" s="122" t="s">
        <v>18</v>
      </c>
      <c r="F55" s="969" t="s">
        <v>1308</v>
      </c>
      <c r="G55" s="970"/>
      <c r="H55" s="971"/>
      <c r="I55" s="223"/>
      <c r="J55" s="223"/>
      <c r="K55" s="223"/>
      <c r="L55" s="224"/>
      <c r="M55" s="243"/>
      <c r="N55" s="201"/>
    </row>
    <row r="56" spans="1:14" ht="29.25" hidden="1" customHeight="1" outlineLevel="1" x14ac:dyDescent="0.35">
      <c r="A56" s="110"/>
      <c r="B56" s="230"/>
      <c r="C56" s="233"/>
      <c r="D56" s="121" t="s">
        <v>15</v>
      </c>
      <c r="E56" s="122" t="s">
        <v>18</v>
      </c>
      <c r="F56" s="969" t="s">
        <v>1309</v>
      </c>
      <c r="G56" s="970"/>
      <c r="H56" s="971"/>
      <c r="I56" s="223"/>
      <c r="J56" s="223"/>
      <c r="K56" s="223"/>
      <c r="L56" s="224"/>
      <c r="M56" s="243"/>
      <c r="N56" s="201"/>
    </row>
    <row r="57" spans="1:14" hidden="1" outlineLevel="1" x14ac:dyDescent="0.35">
      <c r="A57" s="110"/>
      <c r="B57" s="230"/>
      <c r="C57" s="233"/>
      <c r="D57" s="121" t="s">
        <v>16</v>
      </c>
      <c r="E57" s="122" t="s">
        <v>18</v>
      </c>
      <c r="F57" s="969" t="s">
        <v>1310</v>
      </c>
      <c r="G57" s="970"/>
      <c r="H57" s="971"/>
      <c r="I57" s="223"/>
      <c r="J57" s="223"/>
      <c r="K57" s="223"/>
      <c r="L57" s="224"/>
      <c r="M57" s="243"/>
      <c r="N57" s="201"/>
    </row>
    <row r="58" spans="1:14" ht="28.5" hidden="1" customHeight="1" outlineLevel="1" x14ac:dyDescent="0.35">
      <c r="A58" s="110"/>
      <c r="B58" s="230"/>
      <c r="C58" s="233"/>
      <c r="D58" s="121" t="s">
        <v>17</v>
      </c>
      <c r="E58" s="122" t="s">
        <v>18</v>
      </c>
      <c r="F58" s="969" t="s">
        <v>1311</v>
      </c>
      <c r="G58" s="970"/>
      <c r="H58" s="971"/>
      <c r="I58" s="223"/>
      <c r="J58" s="223"/>
      <c r="K58" s="223"/>
      <c r="L58" s="224"/>
      <c r="M58" s="243"/>
      <c r="N58" s="201"/>
    </row>
    <row r="59" spans="1:14" hidden="1" outlineLevel="1" x14ac:dyDescent="0.35">
      <c r="A59" s="110"/>
      <c r="B59" s="230"/>
      <c r="C59" s="233"/>
      <c r="D59" s="121" t="s">
        <v>156</v>
      </c>
      <c r="E59" s="122" t="s">
        <v>18</v>
      </c>
      <c r="F59" s="969" t="s">
        <v>1312</v>
      </c>
      <c r="G59" s="970"/>
      <c r="H59" s="971"/>
      <c r="I59" s="223"/>
      <c r="J59" s="223"/>
      <c r="K59" s="223"/>
      <c r="L59" s="224"/>
      <c r="M59" s="243"/>
      <c r="N59" s="201"/>
    </row>
    <row r="60" spans="1:14" ht="38.25" hidden="1" customHeight="1" outlineLevel="1" x14ac:dyDescent="0.35">
      <c r="A60" s="110"/>
      <c r="B60" s="230"/>
      <c r="C60" s="233"/>
      <c r="D60" s="121" t="s">
        <v>1298</v>
      </c>
      <c r="E60" s="122" t="s">
        <v>18</v>
      </c>
      <c r="F60" s="969" t="s">
        <v>1313</v>
      </c>
      <c r="G60" s="970"/>
      <c r="H60" s="971"/>
      <c r="I60" s="225"/>
      <c r="J60" s="225"/>
      <c r="K60" s="225"/>
      <c r="L60" s="224"/>
      <c r="M60" s="244"/>
    </row>
    <row r="61" spans="1:14" ht="25.5" hidden="1" customHeight="1" outlineLevel="1" x14ac:dyDescent="0.35">
      <c r="A61" s="110"/>
      <c r="B61" s="230"/>
      <c r="C61" s="233"/>
      <c r="D61" s="121" t="s">
        <v>1299</v>
      </c>
      <c r="E61" s="122" t="s">
        <v>18</v>
      </c>
      <c r="F61" s="969" t="s">
        <v>1314</v>
      </c>
      <c r="G61" s="970"/>
      <c r="H61" s="971"/>
      <c r="I61" s="225"/>
      <c r="J61" s="225"/>
      <c r="K61" s="225"/>
      <c r="L61" s="224"/>
      <c r="M61" s="244"/>
    </row>
    <row r="62" spans="1:14" ht="25.5" hidden="1" customHeight="1" outlineLevel="1" x14ac:dyDescent="0.35">
      <c r="A62" s="110"/>
      <c r="B62" s="230"/>
      <c r="C62" s="233"/>
      <c r="D62" s="121" t="s">
        <v>1300</v>
      </c>
      <c r="E62" s="122" t="s">
        <v>18</v>
      </c>
      <c r="F62" s="969" t="s">
        <v>1315</v>
      </c>
      <c r="G62" s="970"/>
      <c r="H62" s="971"/>
      <c r="I62" s="225"/>
      <c r="J62" s="225"/>
      <c r="K62" s="225"/>
      <c r="L62" s="224"/>
      <c r="M62" s="244"/>
    </row>
    <row r="63" spans="1:14" hidden="1" outlineLevel="1" x14ac:dyDescent="0.35">
      <c r="A63" s="118"/>
      <c r="B63" s="231"/>
      <c r="C63" s="234"/>
      <c r="D63" s="993"/>
      <c r="E63" s="994"/>
      <c r="F63" s="994"/>
      <c r="G63" s="994"/>
      <c r="H63" s="994"/>
      <c r="I63" s="994"/>
      <c r="J63" s="995"/>
      <c r="K63" s="798"/>
      <c r="L63" s="226"/>
      <c r="M63" s="245"/>
    </row>
    <row r="64" spans="1:14" ht="15" hidden="1" outlineLevel="1" thickBot="1" x14ac:dyDescent="0.4">
      <c r="A64" s="110"/>
      <c r="B64" s="232"/>
      <c r="C64" s="235"/>
      <c r="D64" s="236"/>
      <c r="E64" s="237"/>
      <c r="F64" s="238"/>
      <c r="G64" s="238"/>
      <c r="H64" s="235"/>
      <c r="I64" s="235"/>
      <c r="J64" s="235"/>
      <c r="K64" s="235"/>
      <c r="L64" s="239"/>
      <c r="M64" s="240"/>
    </row>
    <row r="65" spans="1:14" hidden="1" outlineLevel="1" x14ac:dyDescent="0.35"/>
    <row r="66" spans="1:14" s="718" customFormat="1" collapsed="1" x14ac:dyDescent="0.35">
      <c r="F66" s="719"/>
      <c r="G66" s="719"/>
      <c r="H66" s="719"/>
      <c r="I66" s="719"/>
      <c r="J66" s="719"/>
      <c r="K66" s="719"/>
      <c r="L66" s="720"/>
      <c r="M66" s="721"/>
    </row>
    <row r="67" spans="1:14" ht="15" hidden="1" outlineLevel="1" thickBot="1" x14ac:dyDescent="0.4">
      <c r="L67" s="201"/>
    </row>
    <row r="68" spans="1:14" ht="15.75" hidden="1" customHeight="1" outlineLevel="1" x14ac:dyDescent="0.35">
      <c r="A68" s="110"/>
      <c r="B68" s="228"/>
      <c r="C68" s="996" t="s">
        <v>1185</v>
      </c>
      <c r="D68" s="996"/>
      <c r="E68" s="996"/>
      <c r="F68" s="996"/>
      <c r="G68" s="996"/>
      <c r="H68" s="996"/>
      <c r="I68" s="997"/>
      <c r="J68" s="246"/>
      <c r="K68" s="246"/>
      <c r="L68" s="246"/>
      <c r="M68" s="241"/>
    </row>
    <row r="69" spans="1:14" hidden="1" outlineLevel="1" x14ac:dyDescent="0.35">
      <c r="A69" s="116"/>
      <c r="B69" s="229"/>
      <c r="C69" s="998"/>
      <c r="D69" s="998"/>
      <c r="E69" s="998"/>
      <c r="F69" s="998"/>
      <c r="G69" s="998"/>
      <c r="H69" s="998"/>
      <c r="I69" s="999"/>
      <c r="J69" s="117" t="s">
        <v>8</v>
      </c>
      <c r="K69" s="117"/>
      <c r="L69" s="117"/>
      <c r="M69" s="242"/>
    </row>
    <row r="70" spans="1:14" hidden="1" outlineLevel="1" x14ac:dyDescent="0.35">
      <c r="A70" s="110"/>
      <c r="B70" s="230"/>
      <c r="C70" s="233"/>
      <c r="D70" s="1000" t="s">
        <v>100</v>
      </c>
      <c r="E70" s="1001"/>
      <c r="F70" s="1001"/>
      <c r="G70" s="1001"/>
      <c r="H70" s="1002"/>
      <c r="I70" s="797" t="s">
        <v>101</v>
      </c>
      <c r="J70" s="797" t="s">
        <v>102</v>
      </c>
      <c r="K70" s="797" t="s">
        <v>118</v>
      </c>
      <c r="L70" s="227" t="s">
        <v>244</v>
      </c>
      <c r="M70" s="243"/>
    </row>
    <row r="71" spans="1:14" hidden="1" outlineLevel="1" x14ac:dyDescent="0.35">
      <c r="A71" s="110"/>
      <c r="B71" s="230"/>
      <c r="C71" s="233"/>
      <c r="D71" s="119"/>
      <c r="E71" s="120" t="s">
        <v>9</v>
      </c>
      <c r="F71" s="975"/>
      <c r="G71" s="976"/>
      <c r="H71" s="977"/>
      <c r="I71" s="223"/>
      <c r="J71" s="223"/>
      <c r="K71" s="223"/>
      <c r="L71" s="224"/>
      <c r="M71" s="243"/>
      <c r="N71" s="201"/>
    </row>
    <row r="72" spans="1:14" ht="25.5" hidden="1" customHeight="1" outlineLevel="1" x14ac:dyDescent="0.35">
      <c r="A72" s="110"/>
      <c r="B72" s="230"/>
      <c r="C72" s="233"/>
      <c r="D72" s="121" t="s">
        <v>10</v>
      </c>
      <c r="E72" s="122" t="s">
        <v>18</v>
      </c>
      <c r="F72" s="969" t="s">
        <v>1186</v>
      </c>
      <c r="G72" s="970"/>
      <c r="H72" s="971"/>
      <c r="I72" s="225"/>
      <c r="J72" s="225"/>
      <c r="K72" s="225"/>
      <c r="L72" s="224"/>
      <c r="M72" s="244"/>
    </row>
    <row r="73" spans="1:14" ht="25.5" hidden="1" customHeight="1" outlineLevel="1" x14ac:dyDescent="0.35">
      <c r="A73" s="110"/>
      <c r="B73" s="230"/>
      <c r="C73" s="233"/>
      <c r="D73" s="121" t="s">
        <v>11</v>
      </c>
      <c r="E73" s="122" t="s">
        <v>18</v>
      </c>
      <c r="F73" s="969" t="s">
        <v>1187</v>
      </c>
      <c r="G73" s="970"/>
      <c r="H73" s="971"/>
      <c r="I73" s="225"/>
      <c r="J73" s="225"/>
      <c r="K73" s="225"/>
      <c r="L73" s="224"/>
      <c r="M73" s="244"/>
    </row>
    <row r="74" spans="1:14" ht="25.5" hidden="1" customHeight="1" outlineLevel="1" x14ac:dyDescent="0.35">
      <c r="A74" s="110"/>
      <c r="B74" s="230"/>
      <c r="C74" s="233"/>
      <c r="D74" s="121" t="s">
        <v>12</v>
      </c>
      <c r="E74" s="122" t="s">
        <v>18</v>
      </c>
      <c r="F74" s="969" t="s">
        <v>1188</v>
      </c>
      <c r="G74" s="970"/>
      <c r="H74" s="971"/>
      <c r="I74" s="225"/>
      <c r="J74" s="225"/>
      <c r="K74" s="225"/>
      <c r="L74" s="224"/>
      <c r="M74" s="244"/>
    </row>
    <row r="75" spans="1:14" ht="45.65" hidden="1" customHeight="1" outlineLevel="1" x14ac:dyDescent="0.35">
      <c r="A75" s="110"/>
      <c r="B75" s="230"/>
      <c r="C75" s="233"/>
      <c r="D75" s="121" t="s">
        <v>13</v>
      </c>
      <c r="E75" s="122" t="s">
        <v>18</v>
      </c>
      <c r="F75" s="969" t="s">
        <v>1189</v>
      </c>
      <c r="G75" s="970"/>
      <c r="H75" s="971"/>
      <c r="I75" s="225"/>
      <c r="J75" s="225"/>
      <c r="K75" s="225"/>
      <c r="L75" s="224"/>
      <c r="M75" s="244"/>
      <c r="N75" s="194"/>
    </row>
    <row r="76" spans="1:14" hidden="1" outlineLevel="1" x14ac:dyDescent="0.35">
      <c r="A76" s="118"/>
      <c r="B76" s="231"/>
      <c r="C76" s="234"/>
      <c r="D76" s="993"/>
      <c r="E76" s="994"/>
      <c r="F76" s="994"/>
      <c r="G76" s="994"/>
      <c r="H76" s="994"/>
      <c r="I76" s="994"/>
      <c r="J76" s="995"/>
      <c r="K76" s="798"/>
      <c r="L76" s="226"/>
      <c r="M76" s="245"/>
    </row>
    <row r="77" spans="1:14" ht="15" hidden="1" outlineLevel="1" thickBot="1" x14ac:dyDescent="0.4">
      <c r="A77" s="110"/>
      <c r="B77" s="232"/>
      <c r="C77" s="235"/>
      <c r="D77" s="236"/>
      <c r="E77" s="237"/>
      <c r="F77" s="238"/>
      <c r="G77" s="238"/>
      <c r="H77" s="235"/>
      <c r="I77" s="235"/>
      <c r="J77" s="235"/>
      <c r="K77" s="235"/>
      <c r="L77" s="239"/>
      <c r="M77" s="240"/>
    </row>
    <row r="78" spans="1:14" hidden="1" outlineLevel="1" x14ac:dyDescent="0.35"/>
    <row r="79" spans="1:14" s="718" customFormat="1" collapsed="1" x14ac:dyDescent="0.35">
      <c r="F79" s="719"/>
      <c r="G79" s="719"/>
      <c r="H79" s="719"/>
      <c r="I79" s="719"/>
      <c r="J79" s="719"/>
      <c r="K79" s="719"/>
      <c r="L79" s="720"/>
      <c r="M79" s="721"/>
    </row>
  </sheetData>
  <mergeCells count="49">
    <mergeCell ref="F29:H29"/>
    <mergeCell ref="F30:H30"/>
    <mergeCell ref="F36:H36"/>
    <mergeCell ref="D41:J41"/>
    <mergeCell ref="F31:H31"/>
    <mergeCell ref="F32:H32"/>
    <mergeCell ref="F33:H33"/>
    <mergeCell ref="F34:H34"/>
    <mergeCell ref="F35:H35"/>
    <mergeCell ref="F37:H37"/>
    <mergeCell ref="F38:H38"/>
    <mergeCell ref="F39:H39"/>
    <mergeCell ref="F40:H40"/>
    <mergeCell ref="D21:J21"/>
    <mergeCell ref="F20:H20"/>
    <mergeCell ref="C25:I26"/>
    <mergeCell ref="D27:H27"/>
    <mergeCell ref="F28:H28"/>
    <mergeCell ref="F3:H6"/>
    <mergeCell ref="C13:I14"/>
    <mergeCell ref="F18:H18"/>
    <mergeCell ref="F19:H19"/>
    <mergeCell ref="F17:H17"/>
    <mergeCell ref="D15:H15"/>
    <mergeCell ref="F16:H16"/>
    <mergeCell ref="F73:H73"/>
    <mergeCell ref="F62:H62"/>
    <mergeCell ref="D63:J63"/>
    <mergeCell ref="C47:I48"/>
    <mergeCell ref="D49:H49"/>
    <mergeCell ref="F50:H50"/>
    <mergeCell ref="F60:H60"/>
    <mergeCell ref="F61:H61"/>
    <mergeCell ref="F74:H74"/>
    <mergeCell ref="F75:H75"/>
    <mergeCell ref="D76:J76"/>
    <mergeCell ref="F51:H51"/>
    <mergeCell ref="F52:H52"/>
    <mergeCell ref="F53:H53"/>
    <mergeCell ref="F54:H54"/>
    <mergeCell ref="F55:H55"/>
    <mergeCell ref="F56:H56"/>
    <mergeCell ref="F57:H57"/>
    <mergeCell ref="F58:H58"/>
    <mergeCell ref="F59:H59"/>
    <mergeCell ref="C68:I69"/>
    <mergeCell ref="D70:H70"/>
    <mergeCell ref="F71:H71"/>
    <mergeCell ref="F72:H72"/>
  </mergeCells>
  <phoneticPr fontId="126" type="noConversion"/>
  <conditionalFormatting sqref="L67">
    <cfRule type="cellIs" dxfId="44" priority="3" operator="equal">
      <formula>"KO"</formula>
    </cfRule>
    <cfRule type="cellIs" dxfId="43" priority="4" operator="equal">
      <formula>"OK"</formula>
    </cfRule>
  </conditionalFormatting>
  <conditionalFormatting sqref="N16 L24 L43:L46">
    <cfRule type="cellIs" dxfId="42" priority="31" operator="equal">
      <formula>"KO"</formula>
    </cfRule>
    <cfRule type="cellIs" dxfId="41" priority="34" operator="equal">
      <formula>"OK"</formula>
    </cfRule>
  </conditionalFormatting>
  <conditionalFormatting sqref="N50:N59">
    <cfRule type="cellIs" dxfId="40" priority="5" operator="equal">
      <formula>"KO"</formula>
    </cfRule>
    <cfRule type="cellIs" dxfId="39" priority="6" operator="equal">
      <formula>"OK"</formula>
    </cfRule>
  </conditionalFormatting>
  <conditionalFormatting sqref="N71">
    <cfRule type="cellIs" dxfId="38" priority="1" operator="equal">
      <formula>"KO"</formula>
    </cfRule>
    <cfRule type="cellIs" dxfId="37" priority="2" operator="equal">
      <formula>"OK"</formula>
    </cfRule>
  </conditionalFormatting>
  <pageMargins left="0.19685039370078741" right="0.19685039370078741" top="0.74803149606299213" bottom="0.74803149606299213" header="0.31496062992125984" footer="0.31496062992125984"/>
  <pageSetup paperSize="9" scale="4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657"/>
  <sheetViews>
    <sheetView showGridLines="0" topLeftCell="A626" workbookViewId="0">
      <selection activeCell="B535" sqref="B535"/>
    </sheetView>
  </sheetViews>
  <sheetFormatPr defaultColWidth="8.7265625" defaultRowHeight="14.5" x14ac:dyDescent="0.35"/>
  <cols>
    <col min="1" max="1" width="8.7265625" style="527"/>
    <col min="2" max="2" width="62.81640625" style="528" customWidth="1"/>
    <col min="3" max="3" width="31.453125" style="528" customWidth="1"/>
    <col min="4" max="4" width="14.453125" style="528" customWidth="1"/>
    <col min="5" max="5" width="16.26953125" style="528" bestFit="1" customWidth="1"/>
    <col min="6" max="6" width="16.26953125" style="528" customWidth="1"/>
    <col min="7" max="8" width="8.7265625" style="528"/>
    <col min="9" max="9" width="19.81640625" style="528" customWidth="1"/>
    <col min="10" max="16384" width="8.7265625" style="528"/>
  </cols>
  <sheetData>
    <row r="1" spans="1:9" x14ac:dyDescent="0.35">
      <c r="A1" s="110"/>
      <c r="B1" s="110"/>
      <c r="C1" s="110"/>
      <c r="D1" s="110"/>
      <c r="E1" s="110"/>
      <c r="F1" s="110"/>
      <c r="G1" s="110"/>
      <c r="H1" s="110"/>
      <c r="I1" s="110"/>
    </row>
    <row r="2" spans="1:9" x14ac:dyDescent="0.35">
      <c r="A2" s="110"/>
      <c r="B2" s="112"/>
      <c r="C2" s="112"/>
      <c r="D2" s="112"/>
      <c r="E2" s="348"/>
      <c r="F2" s="112"/>
      <c r="G2" s="112"/>
      <c r="H2" s="112"/>
      <c r="I2" s="112"/>
    </row>
    <row r="3" spans="1:9" ht="14.5" customHeight="1" x14ac:dyDescent="0.35">
      <c r="A3" s="110"/>
      <c r="B3" s="112"/>
      <c r="C3" s="112"/>
      <c r="D3" s="112"/>
      <c r="E3" s="165" t="s">
        <v>134</v>
      </c>
      <c r="F3" s="838">
        <f>'00 - Cover'!$F$16</f>
        <v>0</v>
      </c>
      <c r="G3" s="112"/>
      <c r="H3" s="165"/>
      <c r="I3" s="111"/>
    </row>
    <row r="4" spans="1:9" ht="14.5" customHeight="1" x14ac:dyDescent="0.35">
      <c r="A4" s="110"/>
      <c r="B4" s="112"/>
      <c r="C4" s="112"/>
      <c r="D4" s="112"/>
      <c r="E4" s="165" t="s">
        <v>1117</v>
      </c>
      <c r="F4" s="838">
        <f>'00 - Cover'!$F$15</f>
        <v>0</v>
      </c>
      <c r="G4" s="112"/>
      <c r="H4" s="165"/>
      <c r="I4" s="111"/>
    </row>
    <row r="5" spans="1:9" ht="14.5" customHeight="1" x14ac:dyDescent="0.35">
      <c r="A5" s="110"/>
      <c r="B5" s="112"/>
      <c r="C5" s="112"/>
      <c r="D5" s="112"/>
      <c r="E5" s="165" t="s">
        <v>94</v>
      </c>
      <c r="F5" s="838">
        <f>'00 - Cover'!$F$16</f>
        <v>0</v>
      </c>
      <c r="G5" s="112"/>
      <c r="H5" s="165"/>
      <c r="I5" s="111"/>
    </row>
    <row r="6" spans="1:9" ht="14.5" customHeight="1" x14ac:dyDescent="0.35">
      <c r="A6" s="110"/>
      <c r="B6" s="112"/>
      <c r="C6" s="112"/>
      <c r="D6" s="112"/>
      <c r="E6" s="165" t="s">
        <v>87</v>
      </c>
      <c r="F6" s="838">
        <f>'00 - Cover'!$F$17</f>
        <v>0</v>
      </c>
      <c r="G6" s="112"/>
      <c r="H6" s="112"/>
      <c r="I6" s="112"/>
    </row>
    <row r="7" spans="1:9" x14ac:dyDescent="0.35">
      <c r="A7" s="110"/>
      <c r="B7" s="112"/>
      <c r="C7" s="112"/>
      <c r="D7" s="112"/>
      <c r="E7" s="112"/>
      <c r="F7" s="112"/>
      <c r="G7" s="113"/>
      <c r="H7" s="114"/>
      <c r="I7" s="112"/>
    </row>
    <row r="9" spans="1:9" ht="15.5" x14ac:dyDescent="0.35">
      <c r="A9" s="727" t="s">
        <v>993</v>
      </c>
      <c r="B9" s="728"/>
      <c r="C9" s="729"/>
      <c r="D9" s="729"/>
      <c r="E9" s="729"/>
      <c r="F9" s="729"/>
    </row>
    <row r="10" spans="1:9" ht="15" thickBot="1" x14ac:dyDescent="0.4"/>
    <row r="11" spans="1:9" ht="15" thickTop="1" x14ac:dyDescent="0.35">
      <c r="B11" s="607"/>
      <c r="C11" s="608"/>
      <c r="D11" s="608"/>
      <c r="E11" s="609"/>
    </row>
    <row r="12" spans="1:9" x14ac:dyDescent="0.35">
      <c r="B12" s="615" t="s">
        <v>279</v>
      </c>
      <c r="C12" s="618" t="s">
        <v>676</v>
      </c>
      <c r="D12" s="610"/>
      <c r="E12" s="611"/>
    </row>
    <row r="13" spans="1:9" x14ac:dyDescent="0.35">
      <c r="B13" s="615" t="s">
        <v>316</v>
      </c>
      <c r="C13" s="618" t="s">
        <v>697</v>
      </c>
      <c r="D13" s="610"/>
      <c r="E13" s="611"/>
    </row>
    <row r="14" spans="1:9" x14ac:dyDescent="0.35">
      <c r="B14" s="615" t="s">
        <v>373</v>
      </c>
      <c r="C14" s="619" t="s">
        <v>717</v>
      </c>
      <c r="D14" s="610"/>
      <c r="E14" s="611"/>
    </row>
    <row r="15" spans="1:9" x14ac:dyDescent="0.35">
      <c r="B15" s="615" t="s">
        <v>401</v>
      </c>
      <c r="C15" s="619" t="s">
        <v>1104</v>
      </c>
      <c r="D15" s="610"/>
      <c r="E15" s="611"/>
    </row>
    <row r="16" spans="1:9" x14ac:dyDescent="0.35">
      <c r="B16" s="615" t="s">
        <v>436</v>
      </c>
      <c r="C16" s="619" t="s">
        <v>1105</v>
      </c>
      <c r="D16" s="610"/>
      <c r="E16" s="611"/>
    </row>
    <row r="17" spans="1:5" x14ac:dyDescent="0.35">
      <c r="B17" s="615" t="s">
        <v>456</v>
      </c>
      <c r="C17" s="619" t="s">
        <v>1106</v>
      </c>
      <c r="D17" s="610"/>
      <c r="E17" s="611"/>
    </row>
    <row r="18" spans="1:5" x14ac:dyDescent="0.35">
      <c r="B18" s="615" t="s">
        <v>470</v>
      </c>
      <c r="C18" s="619" t="s">
        <v>1107</v>
      </c>
      <c r="D18" s="610"/>
      <c r="E18" s="611"/>
    </row>
    <row r="19" spans="1:5" x14ac:dyDescent="0.35">
      <c r="B19" s="615" t="s">
        <v>507</v>
      </c>
      <c r="C19" s="619" t="s">
        <v>1108</v>
      </c>
      <c r="D19" s="610"/>
      <c r="E19" s="611"/>
    </row>
    <row r="20" spans="1:5" x14ac:dyDescent="0.35">
      <c r="B20" s="615" t="s">
        <v>538</v>
      </c>
      <c r="C20" s="619" t="s">
        <v>1109</v>
      </c>
      <c r="D20" s="610"/>
      <c r="E20" s="611"/>
    </row>
    <row r="21" spans="1:5" x14ac:dyDescent="0.35">
      <c r="B21" s="615" t="s">
        <v>575</v>
      </c>
      <c r="C21" s="619" t="s">
        <v>1110</v>
      </c>
      <c r="D21" s="610"/>
      <c r="E21" s="611"/>
    </row>
    <row r="22" spans="1:5" x14ac:dyDescent="0.35">
      <c r="B22" s="616" t="s">
        <v>595</v>
      </c>
      <c r="C22" s="619" t="s">
        <v>1111</v>
      </c>
      <c r="D22" s="610"/>
      <c r="E22" s="611"/>
    </row>
    <row r="23" spans="1:5" x14ac:dyDescent="0.35">
      <c r="B23" s="615" t="s">
        <v>615</v>
      </c>
      <c r="C23" s="619" t="s">
        <v>1112</v>
      </c>
      <c r="D23" s="610"/>
      <c r="E23" s="611"/>
    </row>
    <row r="24" spans="1:5" x14ac:dyDescent="0.35">
      <c r="B24" s="615" t="s">
        <v>636</v>
      </c>
      <c r="C24" s="619" t="s">
        <v>1113</v>
      </c>
      <c r="D24" s="610"/>
      <c r="E24" s="611"/>
    </row>
    <row r="25" spans="1:5" x14ac:dyDescent="0.35">
      <c r="B25" s="615" t="s">
        <v>656</v>
      </c>
      <c r="C25" s="619" t="s">
        <v>1114</v>
      </c>
      <c r="D25" s="610"/>
      <c r="E25" s="611"/>
    </row>
    <row r="26" spans="1:5" ht="15" thickBot="1" x14ac:dyDescent="0.4">
      <c r="B26" s="612"/>
      <c r="C26" s="613"/>
      <c r="D26" s="613"/>
      <c r="E26" s="614"/>
    </row>
    <row r="27" spans="1:5" ht="16" customHeight="1" thickTop="1" x14ac:dyDescent="0.35"/>
    <row r="28" spans="1:5" x14ac:dyDescent="0.35">
      <c r="B28" s="1003" t="s">
        <v>279</v>
      </c>
      <c r="C28" s="1004"/>
    </row>
    <row r="29" spans="1:5" ht="15" thickBot="1" x14ac:dyDescent="0.4">
      <c r="A29" s="544" t="s">
        <v>280</v>
      </c>
      <c r="B29" s="529" t="s">
        <v>281</v>
      </c>
      <c r="C29" s="530"/>
    </row>
    <row r="30" spans="1:5" ht="15" thickBot="1" x14ac:dyDescent="0.4">
      <c r="A30" s="544" t="s">
        <v>282</v>
      </c>
      <c r="B30" s="529" t="s">
        <v>283</v>
      </c>
      <c r="C30" s="530"/>
    </row>
    <row r="31" spans="1:5" ht="15" thickBot="1" x14ac:dyDescent="0.4">
      <c r="A31" s="544" t="s">
        <v>284</v>
      </c>
      <c r="B31" s="529" t="s">
        <v>285</v>
      </c>
      <c r="C31" s="531"/>
    </row>
    <row r="32" spans="1:5" ht="15" thickBot="1" x14ac:dyDescent="0.4">
      <c r="A32" s="544" t="s">
        <v>286</v>
      </c>
      <c r="B32" s="529" t="s">
        <v>287</v>
      </c>
      <c r="C32" s="531"/>
    </row>
    <row r="33" spans="1:8" ht="15" thickBot="1" x14ac:dyDescent="0.4">
      <c r="A33" s="544" t="s">
        <v>288</v>
      </c>
      <c r="B33" s="529" t="s">
        <v>289</v>
      </c>
      <c r="C33" s="531"/>
    </row>
    <row r="34" spans="1:8" ht="15" thickBot="1" x14ac:dyDescent="0.4">
      <c r="A34" s="544" t="s">
        <v>290</v>
      </c>
      <c r="B34" s="529" t="s">
        <v>291</v>
      </c>
      <c r="C34" s="531"/>
    </row>
    <row r="35" spans="1:8" ht="15" thickBot="1" x14ac:dyDescent="0.4">
      <c r="A35" s="544" t="s">
        <v>292</v>
      </c>
      <c r="B35" s="529" t="s">
        <v>293</v>
      </c>
      <c r="C35" s="531"/>
    </row>
    <row r="36" spans="1:8" ht="15" thickBot="1" x14ac:dyDescent="0.4">
      <c r="A36" s="544" t="s">
        <v>294</v>
      </c>
      <c r="B36" s="529" t="s">
        <v>295</v>
      </c>
      <c r="C36" s="531"/>
    </row>
    <row r="37" spans="1:8" ht="15" thickBot="1" x14ac:dyDescent="0.4">
      <c r="A37" s="544" t="s">
        <v>296</v>
      </c>
      <c r="B37" s="529" t="s">
        <v>297</v>
      </c>
      <c r="C37" s="531"/>
    </row>
    <row r="38" spans="1:8" ht="15" thickBot="1" x14ac:dyDescent="0.4">
      <c r="A38" s="544" t="s">
        <v>298</v>
      </c>
      <c r="B38" s="529" t="s">
        <v>299</v>
      </c>
      <c r="C38" s="531"/>
    </row>
    <row r="39" spans="1:8" ht="15" thickBot="1" x14ac:dyDescent="0.4">
      <c r="A39" s="544" t="s">
        <v>300</v>
      </c>
      <c r="B39" s="529" t="s">
        <v>301</v>
      </c>
      <c r="C39" s="531"/>
    </row>
    <row r="40" spans="1:8" ht="15" thickBot="1" x14ac:dyDescent="0.4">
      <c r="A40" s="544" t="s">
        <v>302</v>
      </c>
      <c r="B40" s="529" t="s">
        <v>303</v>
      </c>
      <c r="C40" s="531"/>
    </row>
    <row r="41" spans="1:8" ht="15" thickBot="1" x14ac:dyDescent="0.4">
      <c r="A41" s="544" t="s">
        <v>304</v>
      </c>
      <c r="B41" s="529" t="s">
        <v>305</v>
      </c>
      <c r="C41" s="531"/>
    </row>
    <row r="42" spans="1:8" ht="15" thickBot="1" x14ac:dyDescent="0.4">
      <c r="A42" s="544" t="s">
        <v>306</v>
      </c>
      <c r="B42" s="529" t="s">
        <v>307</v>
      </c>
      <c r="C42" s="531"/>
    </row>
    <row r="43" spans="1:8" ht="15" thickBot="1" x14ac:dyDescent="0.4">
      <c r="A43" s="544" t="s">
        <v>308</v>
      </c>
      <c r="B43" s="529" t="s">
        <v>309</v>
      </c>
      <c r="C43" s="531"/>
    </row>
    <row r="44" spans="1:8" ht="15" thickBot="1" x14ac:dyDescent="0.4">
      <c r="A44" s="544" t="s">
        <v>310</v>
      </c>
      <c r="B44" s="529" t="s">
        <v>311</v>
      </c>
      <c r="C44" s="531"/>
    </row>
    <row r="45" spans="1:8" ht="15" thickBot="1" x14ac:dyDescent="0.4">
      <c r="A45" s="544" t="s">
        <v>312</v>
      </c>
      <c r="B45" s="529" t="s">
        <v>313</v>
      </c>
      <c r="C45" s="531"/>
    </row>
    <row r="46" spans="1:8" ht="15" thickBot="1" x14ac:dyDescent="0.4">
      <c r="A46" s="544" t="s">
        <v>314</v>
      </c>
      <c r="B46" s="529" t="s">
        <v>315</v>
      </c>
      <c r="C46" s="531"/>
      <c r="F46" s="617"/>
      <c r="H46" s="618" t="s">
        <v>1115</v>
      </c>
    </row>
    <row r="47" spans="1:8" x14ac:dyDescent="0.35">
      <c r="A47" s="544"/>
      <c r="B47" s="532"/>
      <c r="C47" s="533"/>
    </row>
    <row r="48" spans="1:8" x14ac:dyDescent="0.35">
      <c r="A48" s="544"/>
      <c r="B48" s="534" t="s">
        <v>316</v>
      </c>
      <c r="C48" s="535"/>
    </row>
    <row r="49" spans="1:7" x14ac:dyDescent="0.35">
      <c r="A49" s="544"/>
      <c r="B49" s="535"/>
      <c r="C49" s="535"/>
    </row>
    <row r="50" spans="1:7" ht="33" customHeight="1" x14ac:dyDescent="0.35">
      <c r="A50" s="544"/>
      <c r="B50" s="525" t="s">
        <v>317</v>
      </c>
      <c r="C50" s="525" t="s">
        <v>281</v>
      </c>
      <c r="D50" s="525" t="s">
        <v>318</v>
      </c>
      <c r="E50" s="525" t="s">
        <v>319</v>
      </c>
      <c r="F50" s="525" t="s">
        <v>320</v>
      </c>
      <c r="G50" s="536"/>
    </row>
    <row r="51" spans="1:7" x14ac:dyDescent="0.35">
      <c r="A51" s="545" t="s">
        <v>321</v>
      </c>
      <c r="B51" s="537" t="s">
        <v>322</v>
      </c>
      <c r="C51" s="538"/>
      <c r="D51" s="539"/>
      <c r="E51" s="540"/>
      <c r="F51" s="539"/>
    </row>
    <row r="52" spans="1:7" x14ac:dyDescent="0.35">
      <c r="A52" s="545" t="s">
        <v>323</v>
      </c>
      <c r="B52" s="537" t="s">
        <v>324</v>
      </c>
      <c r="C52" s="538"/>
      <c r="D52" s="539"/>
      <c r="E52" s="540"/>
      <c r="F52" s="539"/>
    </row>
    <row r="53" spans="1:7" x14ac:dyDescent="0.35">
      <c r="A53" s="545" t="s">
        <v>325</v>
      </c>
      <c r="B53" s="537" t="s">
        <v>326</v>
      </c>
      <c r="C53" s="538"/>
      <c r="D53" s="539"/>
      <c r="E53" s="540"/>
      <c r="F53" s="539"/>
    </row>
    <row r="54" spans="1:7" x14ac:dyDescent="0.35">
      <c r="A54" s="545" t="s">
        <v>327</v>
      </c>
      <c r="B54" s="537" t="s">
        <v>328</v>
      </c>
      <c r="C54" s="538"/>
      <c r="D54" s="539"/>
      <c r="E54" s="540"/>
      <c r="F54" s="539"/>
    </row>
    <row r="55" spans="1:7" x14ac:dyDescent="0.35">
      <c r="A55" s="545" t="s">
        <v>329</v>
      </c>
      <c r="B55" s="537" t="s">
        <v>330</v>
      </c>
      <c r="C55" s="538"/>
      <c r="D55" s="539"/>
      <c r="E55" s="540"/>
      <c r="F55" s="539"/>
    </row>
    <row r="56" spans="1:7" x14ac:dyDescent="0.35">
      <c r="A56" s="545" t="s">
        <v>331</v>
      </c>
      <c r="B56" s="537" t="s">
        <v>332</v>
      </c>
      <c r="C56" s="538"/>
      <c r="D56" s="539"/>
      <c r="E56" s="540"/>
      <c r="F56" s="539"/>
    </row>
    <row r="57" spans="1:7" x14ac:dyDescent="0.35">
      <c r="A57" s="545" t="s">
        <v>333</v>
      </c>
      <c r="B57" s="537" t="s">
        <v>334</v>
      </c>
      <c r="C57" s="538"/>
      <c r="D57" s="539"/>
      <c r="E57" s="540"/>
      <c r="F57" s="539"/>
    </row>
    <row r="58" spans="1:7" x14ac:dyDescent="0.35">
      <c r="A58" s="545" t="s">
        <v>335</v>
      </c>
      <c r="B58" s="537" t="s">
        <v>336</v>
      </c>
      <c r="C58" s="538"/>
      <c r="D58" s="539"/>
      <c r="E58" s="540"/>
      <c r="F58" s="539"/>
    </row>
    <row r="59" spans="1:7" x14ac:dyDescent="0.35">
      <c r="A59" s="545" t="s">
        <v>337</v>
      </c>
      <c r="B59" s="537" t="s">
        <v>338</v>
      </c>
      <c r="C59" s="538"/>
      <c r="D59" s="539"/>
      <c r="E59" s="540"/>
      <c r="F59" s="539"/>
    </row>
    <row r="60" spans="1:7" x14ac:dyDescent="0.35">
      <c r="A60" s="545" t="s">
        <v>339</v>
      </c>
      <c r="B60" s="537" t="s">
        <v>340</v>
      </c>
      <c r="C60" s="538"/>
      <c r="D60" s="539"/>
      <c r="E60" s="540"/>
      <c r="F60" s="539"/>
    </row>
    <row r="61" spans="1:7" x14ac:dyDescent="0.35">
      <c r="A61" s="545" t="s">
        <v>341</v>
      </c>
      <c r="B61" s="537" t="s">
        <v>342</v>
      </c>
      <c r="C61" s="538"/>
      <c r="D61" s="539"/>
      <c r="E61" s="540"/>
      <c r="F61" s="539"/>
    </row>
    <row r="62" spans="1:7" x14ac:dyDescent="0.35">
      <c r="A62" s="545" t="s">
        <v>343</v>
      </c>
      <c r="B62" s="537" t="s">
        <v>344</v>
      </c>
      <c r="C62" s="538"/>
      <c r="D62" s="539"/>
      <c r="E62" s="540"/>
      <c r="F62" s="539"/>
    </row>
    <row r="63" spans="1:7" x14ac:dyDescent="0.35">
      <c r="A63" s="545" t="s">
        <v>345</v>
      </c>
      <c r="B63" s="537" t="s">
        <v>346</v>
      </c>
      <c r="C63" s="538"/>
      <c r="D63" s="539"/>
      <c r="E63" s="540"/>
      <c r="F63" s="539"/>
    </row>
    <row r="64" spans="1:7" x14ac:dyDescent="0.35">
      <c r="A64" s="545" t="s">
        <v>347</v>
      </c>
      <c r="B64" s="537" t="s">
        <v>348</v>
      </c>
      <c r="C64" s="538"/>
      <c r="D64" s="539"/>
      <c r="E64" s="540"/>
      <c r="F64" s="539"/>
    </row>
    <row r="65" spans="1:8" x14ac:dyDescent="0.35">
      <c r="A65" s="545" t="s">
        <v>349</v>
      </c>
      <c r="B65" s="537" t="s">
        <v>350</v>
      </c>
      <c r="C65" s="538"/>
      <c r="D65" s="539"/>
      <c r="E65" s="540"/>
      <c r="F65" s="539"/>
    </row>
    <row r="66" spans="1:8" x14ac:dyDescent="0.35">
      <c r="A66" s="545" t="s">
        <v>351</v>
      </c>
      <c r="B66" s="537" t="s">
        <v>352</v>
      </c>
      <c r="C66" s="538"/>
      <c r="D66" s="539"/>
      <c r="E66" s="540"/>
      <c r="F66" s="539"/>
    </row>
    <row r="67" spans="1:8" x14ac:dyDescent="0.35">
      <c r="A67" s="545" t="s">
        <v>353</v>
      </c>
      <c r="B67" s="537" t="s">
        <v>354</v>
      </c>
      <c r="C67" s="538"/>
      <c r="D67" s="539"/>
      <c r="E67" s="540"/>
      <c r="F67" s="539"/>
    </row>
    <row r="68" spans="1:8" x14ac:dyDescent="0.35">
      <c r="A68" s="545" t="s">
        <v>355</v>
      </c>
      <c r="B68" s="537" t="s">
        <v>356</v>
      </c>
      <c r="C68" s="538"/>
      <c r="D68" s="539"/>
      <c r="E68" s="540"/>
      <c r="F68" s="539"/>
    </row>
    <row r="69" spans="1:8" x14ac:dyDescent="0.35">
      <c r="A69" s="545" t="s">
        <v>357</v>
      </c>
      <c r="B69" s="537" t="s">
        <v>358</v>
      </c>
      <c r="C69" s="538"/>
      <c r="D69" s="539"/>
      <c r="E69" s="540"/>
      <c r="F69" s="539"/>
    </row>
    <row r="70" spans="1:8" x14ac:dyDescent="0.35">
      <c r="A70" s="545" t="s">
        <v>359</v>
      </c>
      <c r="B70" s="537" t="s">
        <v>360</v>
      </c>
      <c r="C70" s="538"/>
      <c r="D70" s="539"/>
      <c r="E70" s="540"/>
      <c r="F70" s="539"/>
    </row>
    <row r="71" spans="1:8" x14ac:dyDescent="0.35">
      <c r="A71" s="545" t="s">
        <v>361</v>
      </c>
      <c r="B71" s="537" t="s">
        <v>362</v>
      </c>
      <c r="C71" s="538"/>
      <c r="D71" s="539"/>
      <c r="E71" s="540"/>
      <c r="F71" s="539"/>
    </row>
    <row r="72" spans="1:8" x14ac:dyDescent="0.35">
      <c r="A72" s="545" t="s">
        <v>363</v>
      </c>
      <c r="B72" s="537" t="s">
        <v>364</v>
      </c>
      <c r="C72" s="538"/>
      <c r="D72" s="539"/>
      <c r="E72" s="540"/>
      <c r="F72" s="539"/>
    </row>
    <row r="73" spans="1:8" x14ac:dyDescent="0.35">
      <c r="A73" s="545" t="s">
        <v>365</v>
      </c>
      <c r="B73" s="537" t="s">
        <v>366</v>
      </c>
      <c r="C73" s="538"/>
      <c r="D73" s="539"/>
      <c r="E73" s="540"/>
      <c r="F73" s="539"/>
    </row>
    <row r="74" spans="1:8" x14ac:dyDescent="0.35">
      <c r="A74" s="544"/>
      <c r="B74" s="537" t="s">
        <v>2</v>
      </c>
      <c r="C74" s="538">
        <f>SUBTOTAL(109,PrincipalOutstandingBalance[Principal Outstanding Balance])</f>
        <v>0</v>
      </c>
      <c r="D74" s="539">
        <f>SUBTOTAL(109,PrincipalOutstandingBalance[% of Total (Amount)])</f>
        <v>0</v>
      </c>
      <c r="E74" s="540">
        <f>SUBTOTAL(109,PrincipalOutstandingBalance[Nb of Loans])</f>
        <v>0</v>
      </c>
      <c r="F74" s="539">
        <f>SUBTOTAL(109,PrincipalOutstandingBalance[% of Total (Amount)])</f>
        <v>0</v>
      </c>
    </row>
    <row r="75" spans="1:8" x14ac:dyDescent="0.35">
      <c r="A75" s="544"/>
      <c r="B75" s="535"/>
      <c r="C75" s="541"/>
      <c r="H75" s="618" t="s">
        <v>1115</v>
      </c>
    </row>
    <row r="76" spans="1:8" hidden="1" x14ac:dyDescent="0.35">
      <c r="A76" s="544" t="s">
        <v>367</v>
      </c>
      <c r="B76" s="542" t="s">
        <v>368</v>
      </c>
      <c r="C76" s="543"/>
    </row>
    <row r="77" spans="1:8" hidden="1" x14ac:dyDescent="0.35">
      <c r="A77" s="544" t="s">
        <v>369</v>
      </c>
      <c r="B77" s="542" t="s">
        <v>370</v>
      </c>
      <c r="C77" s="543"/>
    </row>
    <row r="78" spans="1:8" hidden="1" x14ac:dyDescent="0.35">
      <c r="A78" s="544" t="s">
        <v>371</v>
      </c>
      <c r="B78" s="542" t="s">
        <v>372</v>
      </c>
      <c r="C78" s="543"/>
    </row>
    <row r="79" spans="1:8" x14ac:dyDescent="0.35">
      <c r="A79" s="544"/>
      <c r="B79" s="535"/>
      <c r="C79" s="535"/>
    </row>
    <row r="80" spans="1:8" x14ac:dyDescent="0.35">
      <c r="A80" s="544"/>
      <c r="B80" s="535" t="s">
        <v>373</v>
      </c>
      <c r="C80" s="535"/>
    </row>
    <row r="81" spans="1:7" x14ac:dyDescent="0.35">
      <c r="A81" s="544"/>
      <c r="B81" s="535"/>
      <c r="C81" s="535"/>
    </row>
    <row r="82" spans="1:7" ht="33" customHeight="1" x14ac:dyDescent="0.35">
      <c r="A82" s="544"/>
      <c r="B82" s="525" t="s">
        <v>374</v>
      </c>
      <c r="C82" s="525" t="s">
        <v>281</v>
      </c>
      <c r="D82" s="525" t="s">
        <v>318</v>
      </c>
      <c r="E82" s="525" t="s">
        <v>319</v>
      </c>
      <c r="F82" s="525" t="s">
        <v>320</v>
      </c>
      <c r="G82" s="536"/>
    </row>
    <row r="83" spans="1:7" x14ac:dyDescent="0.35">
      <c r="A83" s="544" t="s">
        <v>375</v>
      </c>
      <c r="B83" s="537" t="s">
        <v>322</v>
      </c>
      <c r="C83" s="538"/>
      <c r="D83" s="539"/>
      <c r="E83" s="540"/>
      <c r="F83" s="539"/>
    </row>
    <row r="84" spans="1:7" x14ac:dyDescent="0.35">
      <c r="A84" s="544" t="s">
        <v>376</v>
      </c>
      <c r="B84" s="537" t="s">
        <v>324</v>
      </c>
      <c r="C84" s="538"/>
      <c r="D84" s="539"/>
      <c r="E84" s="540"/>
      <c r="F84" s="539"/>
    </row>
    <row r="85" spans="1:7" x14ac:dyDescent="0.35">
      <c r="A85" s="544" t="s">
        <v>377</v>
      </c>
      <c r="B85" s="537" t="s">
        <v>326</v>
      </c>
      <c r="C85" s="538"/>
      <c r="D85" s="539"/>
      <c r="E85" s="540"/>
      <c r="F85" s="539"/>
    </row>
    <row r="86" spans="1:7" x14ac:dyDescent="0.35">
      <c r="A86" s="544" t="s">
        <v>378</v>
      </c>
      <c r="B86" s="537" t="s">
        <v>328</v>
      </c>
      <c r="C86" s="538"/>
      <c r="D86" s="539"/>
      <c r="E86" s="540"/>
      <c r="F86" s="539"/>
    </row>
    <row r="87" spans="1:7" x14ac:dyDescent="0.35">
      <c r="A87" s="544" t="s">
        <v>379</v>
      </c>
      <c r="B87" s="537" t="s">
        <v>330</v>
      </c>
      <c r="C87" s="538"/>
      <c r="D87" s="539"/>
      <c r="E87" s="540"/>
      <c r="F87" s="539"/>
    </row>
    <row r="88" spans="1:7" x14ac:dyDescent="0.35">
      <c r="A88" s="544" t="s">
        <v>380</v>
      </c>
      <c r="B88" s="537" t="s">
        <v>332</v>
      </c>
      <c r="C88" s="538"/>
      <c r="D88" s="539"/>
      <c r="E88" s="540"/>
      <c r="F88" s="539"/>
    </row>
    <row r="89" spans="1:7" x14ac:dyDescent="0.35">
      <c r="A89" s="544" t="s">
        <v>381</v>
      </c>
      <c r="B89" s="537" t="s">
        <v>334</v>
      </c>
      <c r="C89" s="538"/>
      <c r="D89" s="539"/>
      <c r="E89" s="540"/>
      <c r="F89" s="539"/>
    </row>
    <row r="90" spans="1:7" x14ac:dyDescent="0.35">
      <c r="A90" s="544" t="s">
        <v>382</v>
      </c>
      <c r="B90" s="537" t="s">
        <v>336</v>
      </c>
      <c r="C90" s="538"/>
      <c r="D90" s="539"/>
      <c r="E90" s="540"/>
      <c r="F90" s="539"/>
    </row>
    <row r="91" spans="1:7" x14ac:dyDescent="0.35">
      <c r="A91" s="544" t="s">
        <v>383</v>
      </c>
      <c r="B91" s="537" t="s">
        <v>338</v>
      </c>
      <c r="C91" s="538"/>
      <c r="D91" s="539"/>
      <c r="E91" s="540"/>
      <c r="F91" s="539"/>
    </row>
    <row r="92" spans="1:7" x14ac:dyDescent="0.35">
      <c r="A92" s="544" t="s">
        <v>384</v>
      </c>
      <c r="B92" s="537" t="s">
        <v>340</v>
      </c>
      <c r="C92" s="538"/>
      <c r="D92" s="539"/>
      <c r="E92" s="540"/>
      <c r="F92" s="539"/>
    </row>
    <row r="93" spans="1:7" x14ac:dyDescent="0.35">
      <c r="A93" s="544" t="s">
        <v>385</v>
      </c>
      <c r="B93" s="537" t="s">
        <v>342</v>
      </c>
      <c r="C93" s="538"/>
      <c r="D93" s="539"/>
      <c r="E93" s="540"/>
      <c r="F93" s="539"/>
    </row>
    <row r="94" spans="1:7" x14ac:dyDescent="0.35">
      <c r="A94" s="544" t="s">
        <v>386</v>
      </c>
      <c r="B94" s="537" t="s">
        <v>344</v>
      </c>
      <c r="C94" s="538"/>
      <c r="D94" s="539"/>
      <c r="E94" s="540"/>
      <c r="F94" s="539"/>
    </row>
    <row r="95" spans="1:7" x14ac:dyDescent="0.35">
      <c r="A95" s="544" t="s">
        <v>387</v>
      </c>
      <c r="B95" s="537" t="s">
        <v>346</v>
      </c>
      <c r="C95" s="538"/>
      <c r="D95" s="539"/>
      <c r="E95" s="540"/>
      <c r="F95" s="539"/>
    </row>
    <row r="96" spans="1:7" x14ac:dyDescent="0.35">
      <c r="A96" s="544" t="s">
        <v>388</v>
      </c>
      <c r="B96" s="537" t="s">
        <v>348</v>
      </c>
      <c r="C96" s="538"/>
      <c r="D96" s="539"/>
      <c r="E96" s="540"/>
      <c r="F96" s="539"/>
    </row>
    <row r="97" spans="1:8" x14ac:dyDescent="0.35">
      <c r="A97" s="544" t="s">
        <v>389</v>
      </c>
      <c r="B97" s="537" t="s">
        <v>350</v>
      </c>
      <c r="C97" s="538"/>
      <c r="D97" s="539"/>
      <c r="E97" s="540"/>
      <c r="F97" s="539"/>
    </row>
    <row r="98" spans="1:8" x14ac:dyDescent="0.35">
      <c r="A98" s="544" t="s">
        <v>390</v>
      </c>
      <c r="B98" s="537" t="s">
        <v>352</v>
      </c>
      <c r="C98" s="538"/>
      <c r="D98" s="539"/>
      <c r="E98" s="540"/>
      <c r="F98" s="539"/>
    </row>
    <row r="99" spans="1:8" x14ac:dyDescent="0.35">
      <c r="A99" s="544" t="s">
        <v>391</v>
      </c>
      <c r="B99" s="537" t="s">
        <v>354</v>
      </c>
      <c r="C99" s="538"/>
      <c r="D99" s="539"/>
      <c r="E99" s="540"/>
      <c r="F99" s="539"/>
    </row>
    <row r="100" spans="1:8" x14ac:dyDescent="0.35">
      <c r="A100" s="544" t="s">
        <v>392</v>
      </c>
      <c r="B100" s="537" t="s">
        <v>356</v>
      </c>
      <c r="C100" s="538"/>
      <c r="D100" s="539"/>
      <c r="E100" s="540"/>
      <c r="F100" s="539"/>
    </row>
    <row r="101" spans="1:8" x14ac:dyDescent="0.35">
      <c r="A101" s="544" t="s">
        <v>393</v>
      </c>
      <c r="B101" s="537" t="s">
        <v>358</v>
      </c>
      <c r="C101" s="538"/>
      <c r="D101" s="539"/>
      <c r="E101" s="540"/>
      <c r="F101" s="539"/>
    </row>
    <row r="102" spans="1:8" x14ac:dyDescent="0.35">
      <c r="A102" s="544" t="s">
        <v>394</v>
      </c>
      <c r="B102" s="537" t="s">
        <v>360</v>
      </c>
      <c r="C102" s="538"/>
      <c r="D102" s="539"/>
      <c r="E102" s="540"/>
      <c r="F102" s="539"/>
    </row>
    <row r="103" spans="1:8" x14ac:dyDescent="0.35">
      <c r="A103" s="544" t="s">
        <v>395</v>
      </c>
      <c r="B103" s="537" t="s">
        <v>362</v>
      </c>
      <c r="C103" s="538"/>
      <c r="D103" s="539"/>
      <c r="E103" s="540"/>
      <c r="F103" s="539"/>
    </row>
    <row r="104" spans="1:8" x14ac:dyDescent="0.35">
      <c r="A104" s="544" t="s">
        <v>396</v>
      </c>
      <c r="B104" s="537" t="s">
        <v>364</v>
      </c>
      <c r="C104" s="538"/>
      <c r="D104" s="539"/>
      <c r="E104" s="540"/>
      <c r="F104" s="539"/>
    </row>
    <row r="105" spans="1:8" x14ac:dyDescent="0.35">
      <c r="A105" s="544" t="s">
        <v>397</v>
      </c>
      <c r="B105" s="537" t="s">
        <v>366</v>
      </c>
      <c r="C105" s="538"/>
      <c r="D105" s="539"/>
      <c r="E105" s="540"/>
      <c r="F105" s="539"/>
    </row>
    <row r="106" spans="1:8" x14ac:dyDescent="0.35">
      <c r="A106" s="544"/>
      <c r="B106" s="537" t="s">
        <v>2</v>
      </c>
      <c r="C106" s="538">
        <f>SUBTOTAL(109,PrincipalOOriginalBalance6[Principal Outstanding Balance])</f>
        <v>0</v>
      </c>
      <c r="D106" s="539">
        <f>SUBTOTAL(109,PrincipalOOriginalBalance6[% of Total (Amount)])</f>
        <v>0</v>
      </c>
      <c r="E106" s="540">
        <f>SUBTOTAL(109,PrincipalOOriginalBalance6[Nb of Loans])</f>
        <v>0</v>
      </c>
      <c r="F106" s="539">
        <f>SUBTOTAL(109,PrincipalOOriginalBalance6[% of Total (Amount)])</f>
        <v>0</v>
      </c>
    </row>
    <row r="107" spans="1:8" x14ac:dyDescent="0.35">
      <c r="A107" s="544"/>
      <c r="B107" s="537"/>
      <c r="C107" s="538"/>
      <c r="D107" s="539"/>
      <c r="E107" s="540"/>
      <c r="F107" s="539"/>
      <c r="H107" s="618" t="s">
        <v>1115</v>
      </c>
    </row>
    <row r="108" spans="1:8" hidden="1" x14ac:dyDescent="0.35">
      <c r="A108" s="544" t="s">
        <v>398</v>
      </c>
      <c r="B108" s="542" t="s">
        <v>368</v>
      </c>
      <c r="C108" s="543"/>
      <c r="D108" s="539"/>
      <c r="E108" s="540"/>
      <c r="F108" s="539"/>
    </row>
    <row r="109" spans="1:8" hidden="1" x14ac:dyDescent="0.35">
      <c r="A109" s="544" t="s">
        <v>399</v>
      </c>
      <c r="B109" s="542" t="s">
        <v>370</v>
      </c>
      <c r="C109" s="543"/>
      <c r="D109" s="539"/>
      <c r="E109" s="540"/>
      <c r="F109" s="539"/>
    </row>
    <row r="110" spans="1:8" hidden="1" x14ac:dyDescent="0.35">
      <c r="A110" s="544" t="s">
        <v>400</v>
      </c>
      <c r="B110" s="542" t="s">
        <v>372</v>
      </c>
      <c r="C110" s="543"/>
      <c r="D110" s="539"/>
      <c r="E110" s="540"/>
      <c r="F110" s="539"/>
    </row>
    <row r="111" spans="1:8" x14ac:dyDescent="0.35">
      <c r="A111" s="544"/>
      <c r="B111" s="537"/>
      <c r="C111" s="538"/>
      <c r="D111" s="539"/>
      <c r="E111" s="540"/>
      <c r="F111" s="539"/>
    </row>
    <row r="112" spans="1:8" x14ac:dyDescent="0.35">
      <c r="A112" s="544"/>
      <c r="B112" s="535" t="s">
        <v>401</v>
      </c>
      <c r="C112" s="535"/>
    </row>
    <row r="113" spans="1:7" x14ac:dyDescent="0.35">
      <c r="A113" s="544"/>
      <c r="B113" s="535"/>
      <c r="C113" s="535"/>
    </row>
    <row r="114" spans="1:7" ht="33" customHeight="1" x14ac:dyDescent="0.35">
      <c r="A114" s="544"/>
      <c r="B114" s="525" t="s">
        <v>402</v>
      </c>
      <c r="C114" s="525" t="s">
        <v>281</v>
      </c>
      <c r="D114" s="525" t="s">
        <v>318</v>
      </c>
      <c r="E114" s="525" t="s">
        <v>319</v>
      </c>
      <c r="F114" s="525" t="s">
        <v>320</v>
      </c>
      <c r="G114" s="536"/>
    </row>
    <row r="115" spans="1:7" x14ac:dyDescent="0.35">
      <c r="A115" s="545" t="s">
        <v>403</v>
      </c>
      <c r="B115" s="537" t="s">
        <v>404</v>
      </c>
      <c r="C115" s="538"/>
      <c r="D115" s="539"/>
      <c r="E115" s="540"/>
      <c r="F115" s="539"/>
    </row>
    <row r="116" spans="1:7" x14ac:dyDescent="0.35">
      <c r="A116" s="545" t="s">
        <v>405</v>
      </c>
      <c r="B116" s="537" t="s">
        <v>406</v>
      </c>
      <c r="C116" s="538"/>
      <c r="D116" s="539"/>
      <c r="E116" s="540"/>
      <c r="F116" s="539"/>
    </row>
    <row r="117" spans="1:7" x14ac:dyDescent="0.35">
      <c r="A117" s="545" t="s">
        <v>407</v>
      </c>
      <c r="B117" s="537" t="s">
        <v>408</v>
      </c>
      <c r="C117" s="538"/>
      <c r="D117" s="539"/>
      <c r="E117" s="540"/>
      <c r="F117" s="539"/>
    </row>
    <row r="118" spans="1:7" x14ac:dyDescent="0.35">
      <c r="A118" s="545" t="s">
        <v>409</v>
      </c>
      <c r="B118" s="537" t="s">
        <v>410</v>
      </c>
      <c r="C118" s="538"/>
      <c r="D118" s="539"/>
      <c r="E118" s="540"/>
      <c r="F118" s="539"/>
    </row>
    <row r="119" spans="1:7" x14ac:dyDescent="0.35">
      <c r="A119" s="545" t="s">
        <v>411</v>
      </c>
      <c r="B119" s="537" t="s">
        <v>412</v>
      </c>
      <c r="C119" s="538"/>
      <c r="D119" s="539"/>
      <c r="E119" s="540"/>
      <c r="F119" s="539"/>
    </row>
    <row r="120" spans="1:7" x14ac:dyDescent="0.35">
      <c r="A120" s="545" t="s">
        <v>413</v>
      </c>
      <c r="B120" s="537" t="s">
        <v>414</v>
      </c>
      <c r="C120" s="538"/>
      <c r="D120" s="539"/>
      <c r="E120" s="540"/>
      <c r="F120" s="539"/>
    </row>
    <row r="121" spans="1:7" x14ac:dyDescent="0.35">
      <c r="A121" s="545" t="s">
        <v>415</v>
      </c>
      <c r="B121" s="537" t="s">
        <v>416</v>
      </c>
      <c r="C121" s="538"/>
      <c r="D121" s="539"/>
      <c r="E121" s="540"/>
      <c r="F121" s="539"/>
    </row>
    <row r="122" spans="1:7" x14ac:dyDescent="0.35">
      <c r="A122" s="545" t="s">
        <v>417</v>
      </c>
      <c r="B122" s="537" t="s">
        <v>418</v>
      </c>
      <c r="C122" s="538"/>
      <c r="D122" s="539"/>
      <c r="E122" s="540"/>
      <c r="F122" s="539"/>
    </row>
    <row r="123" spans="1:7" x14ac:dyDescent="0.35">
      <c r="A123" s="545" t="s">
        <v>419</v>
      </c>
      <c r="B123" s="537" t="s">
        <v>420</v>
      </c>
      <c r="C123" s="538"/>
      <c r="D123" s="539"/>
      <c r="E123" s="540"/>
      <c r="F123" s="539"/>
    </row>
    <row r="124" spans="1:7" x14ac:dyDescent="0.35">
      <c r="A124" s="545" t="s">
        <v>421</v>
      </c>
      <c r="B124" s="537" t="s">
        <v>422</v>
      </c>
      <c r="C124" s="538"/>
      <c r="D124" s="539"/>
      <c r="E124" s="540"/>
      <c r="F124" s="539"/>
    </row>
    <row r="125" spans="1:7" x14ac:dyDescent="0.35">
      <c r="A125" s="545" t="s">
        <v>423</v>
      </c>
      <c r="B125" s="537" t="s">
        <v>424</v>
      </c>
      <c r="C125" s="538"/>
      <c r="D125" s="539"/>
      <c r="E125" s="540"/>
      <c r="F125" s="539"/>
    </row>
    <row r="126" spans="1:7" x14ac:dyDescent="0.35">
      <c r="A126" s="545" t="s">
        <v>425</v>
      </c>
      <c r="B126" s="537" t="s">
        <v>426</v>
      </c>
      <c r="C126" s="538"/>
      <c r="D126" s="539"/>
      <c r="E126" s="540"/>
      <c r="F126" s="539"/>
    </row>
    <row r="127" spans="1:7" x14ac:dyDescent="0.35">
      <c r="A127" s="545" t="s">
        <v>427</v>
      </c>
      <c r="B127" s="537" t="s">
        <v>428</v>
      </c>
      <c r="C127" s="538"/>
      <c r="D127" s="539"/>
      <c r="E127" s="540"/>
      <c r="F127" s="539"/>
    </row>
    <row r="128" spans="1:7" x14ac:dyDescent="0.35">
      <c r="A128" s="545" t="s">
        <v>429</v>
      </c>
      <c r="B128" s="537" t="s">
        <v>430</v>
      </c>
      <c r="C128" s="538"/>
      <c r="D128" s="539"/>
      <c r="E128" s="540"/>
      <c r="F128" s="539"/>
    </row>
    <row r="129" spans="1:8" x14ac:dyDescent="0.35">
      <c r="A129" s="545" t="s">
        <v>431</v>
      </c>
      <c r="B129" s="537" t="s">
        <v>432</v>
      </c>
      <c r="C129" s="538"/>
      <c r="D129" s="539"/>
      <c r="E129" s="540"/>
      <c r="F129" s="539"/>
    </row>
    <row r="130" spans="1:8" x14ac:dyDescent="0.35">
      <c r="A130" s="544"/>
      <c r="B130" s="537" t="s">
        <v>2</v>
      </c>
      <c r="C130" s="538">
        <f>SUBTOTAL(109,Seasonning[Principal Outstanding Balance])</f>
        <v>0</v>
      </c>
      <c r="D130" s="539">
        <f>SUBTOTAL(109,Seasonning[% of Total (Amount)])</f>
        <v>0</v>
      </c>
      <c r="E130" s="540">
        <f>SUBTOTAL(109,Seasonning[Nb of Loans])</f>
        <v>0</v>
      </c>
      <c r="F130" s="539">
        <f>SUBTOTAL(109,Seasonning[% of Total (Amount)])</f>
        <v>0</v>
      </c>
    </row>
    <row r="131" spans="1:8" x14ac:dyDescent="0.35">
      <c r="A131" s="544"/>
      <c r="B131" s="537"/>
      <c r="C131" s="538"/>
      <c r="D131" s="539"/>
      <c r="E131" s="540"/>
      <c r="F131" s="539"/>
      <c r="H131" s="618" t="s">
        <v>1115</v>
      </c>
    </row>
    <row r="132" spans="1:8" hidden="1" x14ac:dyDescent="0.35">
      <c r="A132" s="544" t="s">
        <v>433</v>
      </c>
      <c r="B132" s="542" t="s">
        <v>368</v>
      </c>
      <c r="C132" s="543"/>
      <c r="D132" s="539"/>
      <c r="E132" s="540"/>
      <c r="F132" s="539"/>
    </row>
    <row r="133" spans="1:8" hidden="1" x14ac:dyDescent="0.35">
      <c r="A133" s="544" t="s">
        <v>434</v>
      </c>
      <c r="B133" s="542" t="s">
        <v>370</v>
      </c>
      <c r="C133" s="543"/>
      <c r="D133" s="539"/>
      <c r="E133" s="540"/>
      <c r="F133" s="539"/>
    </row>
    <row r="134" spans="1:8" hidden="1" x14ac:dyDescent="0.35">
      <c r="A134" s="544" t="s">
        <v>435</v>
      </c>
      <c r="B134" s="542" t="s">
        <v>372</v>
      </c>
      <c r="C134" s="543"/>
      <c r="D134" s="539"/>
      <c r="E134" s="540"/>
      <c r="F134" s="539"/>
    </row>
    <row r="135" spans="1:8" x14ac:dyDescent="0.35">
      <c r="A135" s="544"/>
      <c r="B135" s="535"/>
      <c r="C135" s="535"/>
    </row>
    <row r="136" spans="1:8" ht="15" customHeight="1" x14ac:dyDescent="0.35">
      <c r="A136" s="544"/>
      <c r="B136" s="535" t="s">
        <v>436</v>
      </c>
      <c r="C136" s="535"/>
    </row>
    <row r="137" spans="1:8" ht="15" customHeight="1" x14ac:dyDescent="0.35">
      <c r="A137" s="544"/>
      <c r="B137" s="535"/>
      <c r="C137" s="535"/>
    </row>
    <row r="138" spans="1:8" ht="33" customHeight="1" x14ac:dyDescent="0.35">
      <c r="A138" s="544"/>
      <c r="B138" s="525" t="s">
        <v>437</v>
      </c>
      <c r="C138" s="525" t="s">
        <v>281</v>
      </c>
      <c r="D138" s="525" t="s">
        <v>318</v>
      </c>
      <c r="E138" s="525" t="s">
        <v>319</v>
      </c>
      <c r="F138" s="525" t="s">
        <v>320</v>
      </c>
      <c r="G138" s="536"/>
    </row>
    <row r="139" spans="1:8" x14ac:dyDescent="0.35">
      <c r="A139" s="544" t="s">
        <v>438</v>
      </c>
      <c r="B139" s="537" t="s">
        <v>404</v>
      </c>
      <c r="C139" s="538"/>
      <c r="D139" s="539"/>
      <c r="E139" s="540"/>
      <c r="F139" s="539"/>
    </row>
    <row r="140" spans="1:8" x14ac:dyDescent="0.35">
      <c r="A140" s="544" t="s">
        <v>439</v>
      </c>
      <c r="B140" s="537" t="s">
        <v>406</v>
      </c>
      <c r="C140" s="538"/>
      <c r="D140" s="539"/>
      <c r="E140" s="540"/>
      <c r="F140" s="539"/>
    </row>
    <row r="141" spans="1:8" x14ac:dyDescent="0.35">
      <c r="A141" s="544" t="s">
        <v>440</v>
      </c>
      <c r="B141" s="537" t="s">
        <v>408</v>
      </c>
      <c r="C141" s="538"/>
      <c r="D141" s="539"/>
      <c r="E141" s="540"/>
      <c r="F141" s="539"/>
    </row>
    <row r="142" spans="1:8" x14ac:dyDescent="0.35">
      <c r="A142" s="544" t="s">
        <v>441</v>
      </c>
      <c r="B142" s="537" t="s">
        <v>410</v>
      </c>
      <c r="C142" s="538"/>
      <c r="D142" s="539"/>
      <c r="E142" s="540"/>
      <c r="F142" s="539"/>
    </row>
    <row r="143" spans="1:8" x14ac:dyDescent="0.35">
      <c r="A143" s="544" t="s">
        <v>442</v>
      </c>
      <c r="B143" s="537" t="s">
        <v>412</v>
      </c>
      <c r="C143" s="538"/>
      <c r="D143" s="539"/>
      <c r="E143" s="540"/>
      <c r="F143" s="539"/>
    </row>
    <row r="144" spans="1:8" x14ac:dyDescent="0.35">
      <c r="A144" s="544" t="s">
        <v>443</v>
      </c>
      <c r="B144" s="537" t="s">
        <v>414</v>
      </c>
      <c r="C144" s="538"/>
      <c r="D144" s="539"/>
      <c r="E144" s="540"/>
      <c r="F144" s="539"/>
    </row>
    <row r="145" spans="1:8" x14ac:dyDescent="0.35">
      <c r="A145" s="544" t="s">
        <v>444</v>
      </c>
      <c r="B145" s="537" t="s">
        <v>416</v>
      </c>
      <c r="C145" s="538"/>
      <c r="D145" s="539"/>
      <c r="E145" s="540"/>
      <c r="F145" s="539"/>
    </row>
    <row r="146" spans="1:8" x14ac:dyDescent="0.35">
      <c r="A146" s="544" t="s">
        <v>445</v>
      </c>
      <c r="B146" s="537" t="s">
        <v>418</v>
      </c>
      <c r="C146" s="538"/>
      <c r="D146" s="539"/>
      <c r="E146" s="540"/>
      <c r="F146" s="539"/>
    </row>
    <row r="147" spans="1:8" x14ac:dyDescent="0.35">
      <c r="A147" s="544" t="s">
        <v>446</v>
      </c>
      <c r="B147" s="537" t="s">
        <v>420</v>
      </c>
      <c r="C147" s="538"/>
      <c r="D147" s="539"/>
      <c r="E147" s="540"/>
      <c r="F147" s="539"/>
    </row>
    <row r="148" spans="1:8" x14ac:dyDescent="0.35">
      <c r="A148" s="544" t="s">
        <v>447</v>
      </c>
      <c r="B148" s="537" t="s">
        <v>422</v>
      </c>
      <c r="C148" s="538"/>
      <c r="D148" s="539"/>
      <c r="E148" s="540"/>
      <c r="F148" s="539"/>
    </row>
    <row r="149" spans="1:8" x14ac:dyDescent="0.35">
      <c r="A149" s="544" t="s">
        <v>448</v>
      </c>
      <c r="B149" s="537" t="s">
        <v>424</v>
      </c>
      <c r="C149" s="538"/>
      <c r="D149" s="539"/>
      <c r="E149" s="540"/>
      <c r="F149" s="539"/>
    </row>
    <row r="150" spans="1:8" x14ac:dyDescent="0.35">
      <c r="A150" s="544" t="s">
        <v>449</v>
      </c>
      <c r="B150" s="537" t="s">
        <v>426</v>
      </c>
      <c r="C150" s="538"/>
      <c r="D150" s="539"/>
      <c r="E150" s="540"/>
      <c r="F150" s="539"/>
    </row>
    <row r="151" spans="1:8" x14ac:dyDescent="0.35">
      <c r="A151" s="544" t="s">
        <v>450</v>
      </c>
      <c r="B151" s="537" t="s">
        <v>428</v>
      </c>
      <c r="C151" s="538"/>
      <c r="D151" s="539"/>
      <c r="E151" s="540"/>
      <c r="F151" s="539"/>
    </row>
    <row r="152" spans="1:8" x14ac:dyDescent="0.35">
      <c r="A152" s="544" t="s">
        <v>451</v>
      </c>
      <c r="B152" s="537" t="s">
        <v>430</v>
      </c>
      <c r="C152" s="538"/>
      <c r="D152" s="539"/>
      <c r="E152" s="540"/>
      <c r="F152" s="539"/>
    </row>
    <row r="153" spans="1:8" x14ac:dyDescent="0.35">
      <c r="A153" s="544" t="s">
        <v>452</v>
      </c>
      <c r="B153" s="537" t="s">
        <v>432</v>
      </c>
      <c r="C153" s="538"/>
      <c r="D153" s="539"/>
      <c r="E153" s="540"/>
      <c r="F153" s="539"/>
    </row>
    <row r="154" spans="1:8" x14ac:dyDescent="0.35">
      <c r="A154" s="544"/>
      <c r="B154" s="537" t="s">
        <v>2</v>
      </c>
      <c r="C154" s="538">
        <f>SUBTOTAL(109,RemainingTermToMaturity[Principal Outstanding Balance])</f>
        <v>0</v>
      </c>
      <c r="D154" s="539">
        <f>SUBTOTAL(109,RemainingTermToMaturity[% of Total (Amount)])</f>
        <v>0</v>
      </c>
      <c r="E154" s="540">
        <f>SUBTOTAL(109,RemainingTermToMaturity[Nb of Loans])</f>
        <v>0</v>
      </c>
      <c r="F154" s="539">
        <f>SUBTOTAL(109,RemainingTermToMaturity[% of Total (Amount)])</f>
        <v>0</v>
      </c>
    </row>
    <row r="155" spans="1:8" ht="14.5" customHeight="1" x14ac:dyDescent="0.35">
      <c r="A155" s="544"/>
      <c r="B155" s="537"/>
      <c r="C155" s="538"/>
      <c r="D155" s="539"/>
      <c r="E155" s="540"/>
      <c r="F155" s="539"/>
      <c r="H155" s="618" t="s">
        <v>1115</v>
      </c>
    </row>
    <row r="156" spans="1:8" hidden="1" x14ac:dyDescent="0.35">
      <c r="A156" s="545" t="s">
        <v>453</v>
      </c>
      <c r="B156" s="542" t="s">
        <v>368</v>
      </c>
      <c r="C156" s="543"/>
      <c r="D156" s="539"/>
      <c r="E156" s="540"/>
      <c r="F156" s="539"/>
    </row>
    <row r="157" spans="1:8" hidden="1" x14ac:dyDescent="0.35">
      <c r="A157" s="545" t="s">
        <v>454</v>
      </c>
      <c r="B157" s="542" t="s">
        <v>370</v>
      </c>
      <c r="C157" s="543"/>
      <c r="D157" s="539"/>
      <c r="E157" s="540"/>
      <c r="F157" s="539"/>
    </row>
    <row r="158" spans="1:8" hidden="1" x14ac:dyDescent="0.35">
      <c r="A158" s="545" t="s">
        <v>455</v>
      </c>
      <c r="B158" s="542" t="s">
        <v>372</v>
      </c>
      <c r="C158" s="543"/>
      <c r="D158" s="539"/>
      <c r="E158" s="540"/>
      <c r="F158" s="539"/>
    </row>
    <row r="159" spans="1:8" ht="15" customHeight="1" x14ac:dyDescent="0.35">
      <c r="A159" s="544"/>
      <c r="B159" s="535"/>
      <c r="C159" s="535"/>
    </row>
    <row r="160" spans="1:8" x14ac:dyDescent="0.35">
      <c r="A160" s="544"/>
      <c r="B160" s="535" t="s">
        <v>456</v>
      </c>
      <c r="C160" s="535"/>
    </row>
    <row r="161" spans="1:8" ht="15" customHeight="1" x14ac:dyDescent="0.35">
      <c r="A161" s="544"/>
      <c r="B161" s="535"/>
      <c r="C161" s="535"/>
    </row>
    <row r="162" spans="1:8" ht="33" customHeight="1" x14ac:dyDescent="0.35">
      <c r="A162" s="544"/>
      <c r="B162" s="525" t="s">
        <v>457</v>
      </c>
      <c r="C162" s="525" t="s">
        <v>281</v>
      </c>
      <c r="D162" s="525" t="s">
        <v>318</v>
      </c>
      <c r="E162" s="525" t="s">
        <v>319</v>
      </c>
      <c r="F162" s="525" t="s">
        <v>320</v>
      </c>
      <c r="G162" s="536"/>
    </row>
    <row r="163" spans="1:8" x14ac:dyDescent="0.35">
      <c r="A163" s="545" t="s">
        <v>458</v>
      </c>
      <c r="B163" s="537">
        <v>2015</v>
      </c>
      <c r="C163" s="538"/>
      <c r="D163" s="539"/>
      <c r="E163" s="540"/>
      <c r="F163" s="539"/>
    </row>
    <row r="164" spans="1:8" x14ac:dyDescent="0.35">
      <c r="A164" s="545" t="s">
        <v>459</v>
      </c>
      <c r="B164" s="537">
        <v>2016</v>
      </c>
      <c r="C164" s="538"/>
      <c r="D164" s="539"/>
      <c r="E164" s="540"/>
      <c r="F164" s="539"/>
    </row>
    <row r="165" spans="1:8" x14ac:dyDescent="0.35">
      <c r="A165" s="545" t="s">
        <v>460</v>
      </c>
      <c r="B165" s="537">
        <v>2017</v>
      </c>
      <c r="C165" s="538"/>
      <c r="D165" s="539"/>
      <c r="E165" s="540"/>
      <c r="F165" s="539"/>
    </row>
    <row r="166" spans="1:8" x14ac:dyDescent="0.35">
      <c r="A166" s="545" t="s">
        <v>461</v>
      </c>
      <c r="B166" s="537">
        <v>2018</v>
      </c>
      <c r="C166" s="538"/>
      <c r="D166" s="539"/>
      <c r="E166" s="540"/>
      <c r="F166" s="539"/>
    </row>
    <row r="167" spans="1:8" x14ac:dyDescent="0.35">
      <c r="A167" s="545" t="s">
        <v>462</v>
      </c>
      <c r="B167" s="537">
        <v>2019</v>
      </c>
      <c r="C167" s="538"/>
      <c r="D167" s="539"/>
      <c r="E167" s="540"/>
      <c r="F167" s="539"/>
    </row>
    <row r="168" spans="1:8" x14ac:dyDescent="0.35">
      <c r="A168" s="545" t="s">
        <v>463</v>
      </c>
      <c r="B168" s="537">
        <v>2020</v>
      </c>
      <c r="C168" s="538"/>
      <c r="D168" s="539"/>
      <c r="E168" s="540"/>
      <c r="F168" s="539"/>
    </row>
    <row r="169" spans="1:8" x14ac:dyDescent="0.35">
      <c r="A169" s="545" t="s">
        <v>464</v>
      </c>
      <c r="B169" s="537">
        <v>2021</v>
      </c>
      <c r="C169" s="538"/>
      <c r="D169" s="539"/>
      <c r="E169" s="540"/>
      <c r="F169" s="539"/>
    </row>
    <row r="170" spans="1:8" x14ac:dyDescent="0.35">
      <c r="A170" s="545" t="s">
        <v>465</v>
      </c>
      <c r="B170" s="537">
        <v>2022</v>
      </c>
      <c r="C170" s="538"/>
      <c r="D170" s="539"/>
      <c r="E170" s="540"/>
      <c r="F170" s="539"/>
    </row>
    <row r="171" spans="1:8" x14ac:dyDescent="0.35">
      <c r="A171" s="545" t="s">
        <v>466</v>
      </c>
      <c r="B171" s="537">
        <v>2023</v>
      </c>
      <c r="C171" s="538"/>
      <c r="D171" s="539"/>
      <c r="E171" s="540"/>
      <c r="F171" s="539"/>
    </row>
    <row r="172" spans="1:8" x14ac:dyDescent="0.35">
      <c r="A172" s="544"/>
      <c r="B172" s="537" t="s">
        <v>2</v>
      </c>
      <c r="C172" s="538">
        <f>SUBTOTAL(109,OriginationYear[Principal Outstanding Balance])</f>
        <v>0</v>
      </c>
      <c r="D172" s="539">
        <f>SUBTOTAL(109,OriginationYear[% of Total (Amount)])</f>
        <v>0</v>
      </c>
      <c r="E172" s="540">
        <f>SUBTOTAL(109,OriginationYear[Nb of Loans])</f>
        <v>0</v>
      </c>
      <c r="F172" s="539">
        <f>SUBTOTAL(109,OriginationYear[% of Total (Amount)])</f>
        <v>0</v>
      </c>
    </row>
    <row r="173" spans="1:8" x14ac:dyDescent="0.35">
      <c r="A173" s="544"/>
      <c r="B173" s="537"/>
      <c r="C173" s="538"/>
      <c r="D173" s="539"/>
      <c r="E173" s="540"/>
      <c r="F173" s="539"/>
      <c r="H173" s="618" t="s">
        <v>1115</v>
      </c>
    </row>
    <row r="174" spans="1:8" hidden="1" x14ac:dyDescent="0.35">
      <c r="A174" s="544" t="s">
        <v>467</v>
      </c>
      <c r="B174" s="542" t="s">
        <v>368</v>
      </c>
      <c r="C174" s="543"/>
      <c r="D174" s="539"/>
      <c r="E174" s="540"/>
      <c r="F174" s="539"/>
    </row>
    <row r="175" spans="1:8" hidden="1" x14ac:dyDescent="0.35">
      <c r="A175" s="544" t="s">
        <v>468</v>
      </c>
      <c r="B175" s="542" t="s">
        <v>370</v>
      </c>
      <c r="C175" s="543"/>
      <c r="D175" s="539"/>
      <c r="E175" s="540"/>
      <c r="F175" s="539"/>
    </row>
    <row r="176" spans="1:8" hidden="1" x14ac:dyDescent="0.35">
      <c r="A176" s="544" t="s">
        <v>469</v>
      </c>
      <c r="B176" s="542" t="s">
        <v>372</v>
      </c>
      <c r="C176" s="543"/>
      <c r="D176" s="539"/>
      <c r="E176" s="540"/>
      <c r="F176" s="539"/>
    </row>
    <row r="177" spans="1:7" ht="15" customHeight="1" x14ac:dyDescent="0.35">
      <c r="A177" s="544"/>
      <c r="B177" s="535"/>
      <c r="C177" s="535"/>
    </row>
    <row r="178" spans="1:7" x14ac:dyDescent="0.35">
      <c r="A178" s="544"/>
      <c r="B178" s="535" t="s">
        <v>470</v>
      </c>
      <c r="C178" s="535"/>
    </row>
    <row r="179" spans="1:7" ht="15" customHeight="1" x14ac:dyDescent="0.35">
      <c r="A179" s="544"/>
      <c r="B179" s="535"/>
      <c r="C179" s="535"/>
    </row>
    <row r="180" spans="1:7" ht="33" customHeight="1" x14ac:dyDescent="0.35">
      <c r="A180" s="544"/>
      <c r="B180" s="525" t="s">
        <v>471</v>
      </c>
      <c r="C180" s="525" t="s">
        <v>281</v>
      </c>
      <c r="D180" s="525" t="s">
        <v>318</v>
      </c>
      <c r="E180" s="525" t="s">
        <v>319</v>
      </c>
      <c r="F180" s="525" t="s">
        <v>320</v>
      </c>
      <c r="G180" s="536"/>
    </row>
    <row r="181" spans="1:7" x14ac:dyDescent="0.35">
      <c r="A181" s="544" t="s">
        <v>472</v>
      </c>
      <c r="B181" s="537" t="s">
        <v>473</v>
      </c>
      <c r="C181" s="538"/>
      <c r="D181" s="539"/>
      <c r="E181" s="540"/>
      <c r="F181" s="539"/>
    </row>
    <row r="182" spans="1:7" x14ac:dyDescent="0.35">
      <c r="A182" s="544" t="s">
        <v>474</v>
      </c>
      <c r="B182" s="537" t="s">
        <v>475</v>
      </c>
      <c r="C182" s="538"/>
      <c r="D182" s="539"/>
      <c r="E182" s="540"/>
      <c r="F182" s="539"/>
    </row>
    <row r="183" spans="1:7" x14ac:dyDescent="0.35">
      <c r="A183" s="544" t="s">
        <v>476</v>
      </c>
      <c r="B183" s="537" t="s">
        <v>477</v>
      </c>
      <c r="C183" s="538"/>
      <c r="D183" s="539"/>
      <c r="E183" s="540"/>
      <c r="F183" s="539"/>
    </row>
    <row r="184" spans="1:7" x14ac:dyDescent="0.35">
      <c r="A184" s="544" t="s">
        <v>478</v>
      </c>
      <c r="B184" s="537" t="s">
        <v>479</v>
      </c>
      <c r="C184" s="538"/>
      <c r="D184" s="539"/>
      <c r="E184" s="540"/>
      <c r="F184" s="539"/>
    </row>
    <row r="185" spans="1:7" x14ac:dyDescent="0.35">
      <c r="A185" s="544" t="s">
        <v>480</v>
      </c>
      <c r="B185" s="537" t="s">
        <v>481</v>
      </c>
      <c r="C185" s="538"/>
      <c r="D185" s="539"/>
      <c r="E185" s="540"/>
      <c r="F185" s="539"/>
    </row>
    <row r="186" spans="1:7" x14ac:dyDescent="0.35">
      <c r="A186" s="544" t="s">
        <v>482</v>
      </c>
      <c r="B186" s="537" t="s">
        <v>483</v>
      </c>
      <c r="C186" s="538"/>
      <c r="D186" s="539"/>
      <c r="E186" s="540"/>
      <c r="F186" s="539"/>
    </row>
    <row r="187" spans="1:7" x14ac:dyDescent="0.35">
      <c r="A187" s="544" t="s">
        <v>484</v>
      </c>
      <c r="B187" s="537" t="s">
        <v>485</v>
      </c>
      <c r="C187" s="538"/>
      <c r="D187" s="539"/>
      <c r="E187" s="540"/>
      <c r="F187" s="539"/>
    </row>
    <row r="188" spans="1:7" x14ac:dyDescent="0.35">
      <c r="A188" s="544" t="s">
        <v>486</v>
      </c>
      <c r="B188" s="537" t="s">
        <v>487</v>
      </c>
      <c r="C188" s="538"/>
      <c r="D188" s="539"/>
      <c r="E188" s="540"/>
      <c r="F188" s="539"/>
    </row>
    <row r="189" spans="1:7" x14ac:dyDescent="0.35">
      <c r="A189" s="544" t="s">
        <v>488</v>
      </c>
      <c r="B189" s="537" t="s">
        <v>489</v>
      </c>
      <c r="C189" s="538"/>
      <c r="D189" s="539"/>
      <c r="E189" s="540"/>
      <c r="F189" s="539"/>
    </row>
    <row r="190" spans="1:7" x14ac:dyDescent="0.35">
      <c r="A190" s="544" t="s">
        <v>490</v>
      </c>
      <c r="B190" s="537" t="s">
        <v>491</v>
      </c>
      <c r="C190" s="538"/>
      <c r="D190" s="539"/>
      <c r="E190" s="540"/>
      <c r="F190" s="539"/>
    </row>
    <row r="191" spans="1:7" x14ac:dyDescent="0.35">
      <c r="A191" s="544" t="s">
        <v>492</v>
      </c>
      <c r="B191" s="537" t="s">
        <v>493</v>
      </c>
      <c r="C191" s="538"/>
      <c r="D191" s="539"/>
      <c r="E191" s="540"/>
      <c r="F191" s="539"/>
    </row>
    <row r="192" spans="1:7" x14ac:dyDescent="0.35">
      <c r="A192" s="544" t="s">
        <v>494</v>
      </c>
      <c r="B192" s="537" t="s">
        <v>495</v>
      </c>
      <c r="C192" s="538"/>
      <c r="D192" s="539"/>
      <c r="E192" s="540"/>
      <c r="F192" s="539"/>
    </row>
    <row r="193" spans="1:8" x14ac:dyDescent="0.35">
      <c r="A193" s="544" t="s">
        <v>496</v>
      </c>
      <c r="B193" s="537" t="s">
        <v>497</v>
      </c>
      <c r="C193" s="538"/>
      <c r="D193" s="539"/>
      <c r="E193" s="540"/>
      <c r="F193" s="539"/>
    </row>
    <row r="194" spans="1:8" x14ac:dyDescent="0.35">
      <c r="A194" s="544" t="s">
        <v>498</v>
      </c>
      <c r="B194" s="537" t="s">
        <v>499</v>
      </c>
      <c r="C194" s="538"/>
      <c r="D194" s="539"/>
      <c r="E194" s="540"/>
      <c r="F194" s="539"/>
    </row>
    <row r="195" spans="1:8" x14ac:dyDescent="0.35">
      <c r="A195" s="544" t="s">
        <v>500</v>
      </c>
      <c r="B195" s="537" t="s">
        <v>501</v>
      </c>
      <c r="C195" s="538"/>
      <c r="D195" s="539"/>
      <c r="E195" s="540"/>
      <c r="F195" s="539"/>
    </row>
    <row r="196" spans="1:8" x14ac:dyDescent="0.35">
      <c r="A196" s="544" t="s">
        <v>502</v>
      </c>
      <c r="B196" s="537" t="s">
        <v>503</v>
      </c>
      <c r="C196" s="538"/>
      <c r="D196" s="539"/>
      <c r="E196" s="540"/>
      <c r="F196" s="539"/>
    </row>
    <row r="197" spans="1:8" x14ac:dyDescent="0.35">
      <c r="A197" s="544"/>
      <c r="B197" s="537" t="s">
        <v>2</v>
      </c>
      <c r="C197" s="538">
        <f>SUBTOTAL(109,InterestRate[Principal Outstanding Balance])</f>
        <v>0</v>
      </c>
      <c r="D197" s="539">
        <f>SUBTOTAL(109,InterestRate[% of Total (Amount)])</f>
        <v>0</v>
      </c>
      <c r="E197" s="540">
        <f>SUBTOTAL(109,InterestRate[Nb of Loans])</f>
        <v>0</v>
      </c>
      <c r="F197" s="539">
        <f>SUBTOTAL(109,InterestRate[% of Total (Amount)])</f>
        <v>0</v>
      </c>
    </row>
    <row r="198" spans="1:8" x14ac:dyDescent="0.35">
      <c r="A198" s="544"/>
      <c r="B198" s="537"/>
      <c r="C198" s="538"/>
      <c r="D198" s="539"/>
      <c r="E198" s="540"/>
      <c r="F198" s="539"/>
      <c r="H198" s="618" t="s">
        <v>1115</v>
      </c>
    </row>
    <row r="199" spans="1:8" hidden="1" x14ac:dyDescent="0.35">
      <c r="A199" s="544" t="s">
        <v>504</v>
      </c>
      <c r="B199" s="542" t="s">
        <v>368</v>
      </c>
      <c r="C199" s="543"/>
      <c r="D199" s="539"/>
      <c r="E199" s="540"/>
      <c r="F199" s="539"/>
    </row>
    <row r="200" spans="1:8" hidden="1" x14ac:dyDescent="0.35">
      <c r="A200" s="544" t="s">
        <v>505</v>
      </c>
      <c r="B200" s="542" t="s">
        <v>370</v>
      </c>
      <c r="C200" s="543"/>
      <c r="D200" s="539"/>
      <c r="E200" s="540"/>
      <c r="F200" s="539"/>
    </row>
    <row r="201" spans="1:8" hidden="1" x14ac:dyDescent="0.35">
      <c r="A201" s="544" t="s">
        <v>506</v>
      </c>
      <c r="B201" s="542" t="s">
        <v>372</v>
      </c>
      <c r="C201" s="543"/>
      <c r="D201" s="539"/>
      <c r="E201" s="540"/>
      <c r="F201" s="539"/>
    </row>
    <row r="202" spans="1:8" ht="15" customHeight="1" x14ac:dyDescent="0.35">
      <c r="A202" s="544"/>
      <c r="B202" s="535"/>
      <c r="C202" s="535"/>
    </row>
    <row r="203" spans="1:8" x14ac:dyDescent="0.35">
      <c r="A203" s="544"/>
      <c r="B203" s="535" t="s">
        <v>507</v>
      </c>
      <c r="C203" s="535"/>
    </row>
    <row r="204" spans="1:8" ht="15" customHeight="1" x14ac:dyDescent="0.35">
      <c r="A204" s="544"/>
      <c r="B204" s="535"/>
      <c r="C204" s="535"/>
    </row>
    <row r="205" spans="1:8" ht="33" customHeight="1" x14ac:dyDescent="0.35">
      <c r="A205" s="544"/>
      <c r="B205" s="525" t="s">
        <v>508</v>
      </c>
      <c r="C205" s="525" t="s">
        <v>281</v>
      </c>
      <c r="D205" s="525" t="s">
        <v>318</v>
      </c>
      <c r="E205" s="525" t="s">
        <v>319</v>
      </c>
      <c r="F205" s="525" t="s">
        <v>320</v>
      </c>
      <c r="G205" s="536"/>
    </row>
    <row r="206" spans="1:8" x14ac:dyDescent="0.35">
      <c r="A206" s="544" t="s">
        <v>509</v>
      </c>
      <c r="B206" s="537" t="s">
        <v>510</v>
      </c>
      <c r="C206" s="538"/>
      <c r="D206" s="539"/>
      <c r="E206" s="540"/>
      <c r="F206" s="539"/>
    </row>
    <row r="207" spans="1:8" ht="28" x14ac:dyDescent="0.35">
      <c r="A207" s="544" t="s">
        <v>511</v>
      </c>
      <c r="B207" s="537" t="s">
        <v>512</v>
      </c>
      <c r="C207" s="538"/>
      <c r="D207" s="539"/>
      <c r="E207" s="540"/>
      <c r="F207" s="539"/>
    </row>
    <row r="208" spans="1:8" x14ac:dyDescent="0.35">
      <c r="A208" s="544" t="s">
        <v>513</v>
      </c>
      <c r="B208" s="537" t="s">
        <v>514</v>
      </c>
      <c r="C208" s="538"/>
      <c r="D208" s="539"/>
      <c r="E208" s="540"/>
      <c r="F208" s="539"/>
    </row>
    <row r="209" spans="1:8" x14ac:dyDescent="0.35">
      <c r="A209" s="544" t="s">
        <v>515</v>
      </c>
      <c r="B209" s="537" t="s">
        <v>516</v>
      </c>
      <c r="C209" s="538"/>
      <c r="D209" s="539"/>
      <c r="E209" s="540"/>
      <c r="F209" s="539"/>
    </row>
    <row r="210" spans="1:8" ht="15" customHeight="1" x14ac:dyDescent="0.35">
      <c r="A210" s="544" t="s">
        <v>517</v>
      </c>
      <c r="B210" s="537" t="s">
        <v>518</v>
      </c>
      <c r="C210" s="538"/>
      <c r="D210" s="539"/>
      <c r="E210" s="540"/>
      <c r="F210" s="539"/>
    </row>
    <row r="211" spans="1:8" x14ac:dyDescent="0.35">
      <c r="A211" s="544" t="s">
        <v>519</v>
      </c>
      <c r="B211" s="537" t="s">
        <v>520</v>
      </c>
      <c r="C211" s="538"/>
      <c r="D211" s="539"/>
      <c r="E211" s="540"/>
      <c r="F211" s="539"/>
    </row>
    <row r="212" spans="1:8" x14ac:dyDescent="0.35">
      <c r="A212" s="544" t="s">
        <v>521</v>
      </c>
      <c r="B212" s="537" t="s">
        <v>522</v>
      </c>
      <c r="C212" s="538"/>
      <c r="D212" s="539"/>
      <c r="E212" s="540"/>
      <c r="F212" s="539"/>
    </row>
    <row r="213" spans="1:8" x14ac:dyDescent="0.35">
      <c r="A213" s="544" t="s">
        <v>523</v>
      </c>
      <c r="B213" s="537" t="s">
        <v>524</v>
      </c>
      <c r="C213" s="538"/>
      <c r="D213" s="539"/>
      <c r="E213" s="540"/>
      <c r="F213" s="539"/>
    </row>
    <row r="214" spans="1:8" x14ac:dyDescent="0.35">
      <c r="A214" s="544" t="s">
        <v>525</v>
      </c>
      <c r="B214" s="537" t="s">
        <v>526</v>
      </c>
      <c r="C214" s="538"/>
      <c r="D214" s="539"/>
      <c r="E214" s="540"/>
      <c r="F214" s="539"/>
    </row>
    <row r="215" spans="1:8" x14ac:dyDescent="0.35">
      <c r="A215" s="544" t="s">
        <v>527</v>
      </c>
      <c r="B215" s="537" t="s">
        <v>528</v>
      </c>
      <c r="C215" s="538"/>
      <c r="D215" s="539"/>
      <c r="E215" s="540"/>
      <c r="F215" s="539"/>
    </row>
    <row r="216" spans="1:8" x14ac:dyDescent="0.35">
      <c r="A216" s="544" t="s">
        <v>529</v>
      </c>
      <c r="B216" s="537" t="s">
        <v>530</v>
      </c>
      <c r="C216" s="538"/>
      <c r="D216" s="539"/>
      <c r="E216" s="540"/>
      <c r="F216" s="539"/>
    </row>
    <row r="217" spans="1:8" x14ac:dyDescent="0.35">
      <c r="A217" s="544" t="s">
        <v>531</v>
      </c>
      <c r="B217" s="537" t="s">
        <v>532</v>
      </c>
      <c r="C217" s="538"/>
      <c r="D217" s="539"/>
      <c r="E217" s="540"/>
      <c r="F217" s="539"/>
    </row>
    <row r="218" spans="1:8" x14ac:dyDescent="0.35">
      <c r="A218" s="544" t="s">
        <v>533</v>
      </c>
      <c r="B218" s="537" t="s">
        <v>534</v>
      </c>
      <c r="C218" s="538"/>
      <c r="D218" s="539"/>
      <c r="E218" s="540"/>
      <c r="F218" s="539"/>
    </row>
    <row r="219" spans="1:8" x14ac:dyDescent="0.35">
      <c r="A219" s="544"/>
      <c r="B219" s="537" t="s">
        <v>2</v>
      </c>
      <c r="C219" s="538">
        <f>SUBTOTAL(109,InterestRateType[Principal Outstanding Balance])</f>
        <v>0</v>
      </c>
      <c r="D219" s="539">
        <f>SUBTOTAL(109,InterestRateType[% of Total (Amount)])</f>
        <v>0</v>
      </c>
      <c r="E219" s="540">
        <f>SUBTOTAL(109,InterestRateType[Nb of Loans])</f>
        <v>0</v>
      </c>
      <c r="F219" s="539">
        <f>SUBTOTAL(109,InterestRateType[% of Total (Amount)])</f>
        <v>0</v>
      </c>
    </row>
    <row r="220" spans="1:8" x14ac:dyDescent="0.35">
      <c r="A220" s="544"/>
      <c r="B220" s="537"/>
      <c r="C220" s="538"/>
      <c r="D220" s="539"/>
      <c r="E220" s="540"/>
      <c r="F220" s="539"/>
      <c r="H220" s="618" t="s">
        <v>1115</v>
      </c>
    </row>
    <row r="221" spans="1:8" hidden="1" x14ac:dyDescent="0.35">
      <c r="A221" s="544" t="s">
        <v>535</v>
      </c>
      <c r="B221" s="542" t="s">
        <v>368</v>
      </c>
      <c r="C221" s="543"/>
      <c r="D221" s="539"/>
      <c r="E221" s="540"/>
      <c r="F221" s="539"/>
    </row>
    <row r="222" spans="1:8" hidden="1" x14ac:dyDescent="0.35">
      <c r="A222" s="544" t="s">
        <v>536</v>
      </c>
      <c r="B222" s="542" t="s">
        <v>370</v>
      </c>
      <c r="C222" s="543"/>
      <c r="D222" s="539"/>
      <c r="E222" s="540"/>
      <c r="F222" s="539"/>
    </row>
    <row r="223" spans="1:8" hidden="1" x14ac:dyDescent="0.35">
      <c r="A223" s="544" t="s">
        <v>537</v>
      </c>
      <c r="B223" s="542" t="s">
        <v>372</v>
      </c>
      <c r="C223" s="543"/>
      <c r="D223" s="539"/>
      <c r="E223" s="540"/>
      <c r="F223" s="539"/>
    </row>
    <row r="224" spans="1:8" ht="15" customHeight="1" x14ac:dyDescent="0.35">
      <c r="A224" s="544"/>
      <c r="B224" s="535"/>
      <c r="C224" s="535"/>
    </row>
    <row r="225" spans="1:7" x14ac:dyDescent="0.35">
      <c r="A225" s="544"/>
      <c r="B225" s="535" t="s">
        <v>538</v>
      </c>
      <c r="C225" s="535"/>
    </row>
    <row r="226" spans="1:7" ht="15" customHeight="1" x14ac:dyDescent="0.35">
      <c r="A226" s="544"/>
      <c r="B226" s="535"/>
      <c r="C226" s="535"/>
    </row>
    <row r="227" spans="1:7" ht="33" customHeight="1" x14ac:dyDescent="0.35">
      <c r="A227" s="544"/>
      <c r="B227" s="525" t="s">
        <v>539</v>
      </c>
      <c r="C227" s="525" t="s">
        <v>281</v>
      </c>
      <c r="D227" s="525" t="s">
        <v>318</v>
      </c>
      <c r="E227" s="525" t="s">
        <v>319</v>
      </c>
      <c r="F227" s="525" t="s">
        <v>320</v>
      </c>
      <c r="G227" s="536"/>
    </row>
    <row r="228" spans="1:7" x14ac:dyDescent="0.35">
      <c r="A228" s="544" t="s">
        <v>540</v>
      </c>
      <c r="B228" s="537" t="s">
        <v>541</v>
      </c>
      <c r="C228" s="538"/>
      <c r="D228" s="539"/>
      <c r="E228" s="540"/>
      <c r="F228" s="539"/>
    </row>
    <row r="229" spans="1:7" x14ac:dyDescent="0.35">
      <c r="A229" s="544" t="s">
        <v>542</v>
      </c>
      <c r="B229" s="537" t="s">
        <v>543</v>
      </c>
      <c r="C229" s="538"/>
      <c r="D229" s="539"/>
      <c r="E229" s="540"/>
      <c r="F229" s="539"/>
    </row>
    <row r="230" spans="1:7" x14ac:dyDescent="0.35">
      <c r="A230" s="544" t="s">
        <v>544</v>
      </c>
      <c r="B230" s="537" t="s">
        <v>545</v>
      </c>
      <c r="C230" s="538"/>
      <c r="D230" s="539"/>
      <c r="E230" s="540"/>
      <c r="F230" s="539"/>
    </row>
    <row r="231" spans="1:7" x14ac:dyDescent="0.35">
      <c r="A231" s="544" t="s">
        <v>546</v>
      </c>
      <c r="B231" s="537" t="s">
        <v>547</v>
      </c>
      <c r="C231" s="538"/>
      <c r="D231" s="539"/>
      <c r="E231" s="540"/>
      <c r="F231" s="539"/>
    </row>
    <row r="232" spans="1:7" x14ac:dyDescent="0.35">
      <c r="A232" s="544" t="s">
        <v>548</v>
      </c>
      <c r="B232" s="537" t="s">
        <v>549</v>
      </c>
      <c r="C232" s="538"/>
      <c r="D232" s="539"/>
      <c r="E232" s="540"/>
      <c r="F232" s="539"/>
    </row>
    <row r="233" spans="1:7" x14ac:dyDescent="0.35">
      <c r="A233" s="544" t="s">
        <v>550</v>
      </c>
      <c r="B233" s="537" t="s">
        <v>551</v>
      </c>
      <c r="C233" s="538"/>
      <c r="D233" s="539"/>
      <c r="E233" s="540"/>
      <c r="F233" s="539"/>
    </row>
    <row r="234" spans="1:7" x14ac:dyDescent="0.35">
      <c r="A234" s="544" t="s">
        <v>552</v>
      </c>
      <c r="B234" s="537" t="s">
        <v>553</v>
      </c>
      <c r="C234" s="538"/>
      <c r="D234" s="539"/>
      <c r="E234" s="540"/>
      <c r="F234" s="539"/>
    </row>
    <row r="235" spans="1:7" x14ac:dyDescent="0.35">
      <c r="A235" s="544" t="s">
        <v>554</v>
      </c>
      <c r="B235" s="537" t="s">
        <v>555</v>
      </c>
      <c r="C235" s="538"/>
      <c r="D235" s="539"/>
      <c r="E235" s="540"/>
      <c r="F235" s="539"/>
    </row>
    <row r="236" spans="1:7" x14ac:dyDescent="0.35">
      <c r="A236" s="544" t="s">
        <v>556</v>
      </c>
      <c r="B236" s="537" t="s">
        <v>557</v>
      </c>
      <c r="C236" s="538"/>
      <c r="D236" s="539"/>
      <c r="E236" s="540"/>
      <c r="F236" s="539"/>
    </row>
    <row r="237" spans="1:7" x14ac:dyDescent="0.35">
      <c r="A237" s="544" t="s">
        <v>558</v>
      </c>
      <c r="B237" s="537" t="s">
        <v>559</v>
      </c>
      <c r="C237" s="538"/>
      <c r="D237" s="539"/>
      <c r="E237" s="540"/>
      <c r="F237" s="539"/>
    </row>
    <row r="238" spans="1:7" x14ac:dyDescent="0.35">
      <c r="A238" s="544" t="s">
        <v>560</v>
      </c>
      <c r="B238" s="537" t="s">
        <v>561</v>
      </c>
      <c r="C238" s="538"/>
      <c r="D238" s="539"/>
      <c r="E238" s="540"/>
      <c r="F238" s="539"/>
    </row>
    <row r="239" spans="1:7" x14ac:dyDescent="0.35">
      <c r="A239" s="544" t="s">
        <v>562</v>
      </c>
      <c r="B239" s="537" t="s">
        <v>563</v>
      </c>
      <c r="C239" s="538"/>
      <c r="D239" s="539"/>
      <c r="E239" s="540"/>
      <c r="F239" s="539"/>
    </row>
    <row r="240" spans="1:7" x14ac:dyDescent="0.35">
      <c r="A240" s="544" t="s">
        <v>564</v>
      </c>
      <c r="B240" s="537" t="s">
        <v>565</v>
      </c>
      <c r="C240" s="538"/>
      <c r="D240" s="539"/>
      <c r="E240" s="540"/>
      <c r="F240" s="539"/>
    </row>
    <row r="241" spans="1:8" x14ac:dyDescent="0.35">
      <c r="A241" s="544" t="s">
        <v>566</v>
      </c>
      <c r="B241" s="537" t="s">
        <v>567</v>
      </c>
      <c r="C241" s="538"/>
      <c r="D241" s="539"/>
      <c r="E241" s="540"/>
      <c r="F241" s="539"/>
    </row>
    <row r="242" spans="1:8" x14ac:dyDescent="0.35">
      <c r="A242" s="544" t="s">
        <v>568</v>
      </c>
      <c r="B242" s="537" t="s">
        <v>569</v>
      </c>
      <c r="C242" s="538"/>
      <c r="D242" s="539"/>
      <c r="E242" s="540"/>
      <c r="F242" s="539"/>
    </row>
    <row r="243" spans="1:8" x14ac:dyDescent="0.35">
      <c r="A243" s="544" t="s">
        <v>570</v>
      </c>
      <c r="B243" s="537" t="s">
        <v>571</v>
      </c>
      <c r="C243" s="538"/>
      <c r="D243" s="539"/>
      <c r="E243" s="540"/>
      <c r="F243" s="539"/>
    </row>
    <row r="244" spans="1:8" x14ac:dyDescent="0.35">
      <c r="A244" s="544"/>
      <c r="B244" s="537" t="s">
        <v>2</v>
      </c>
      <c r="C244" s="538">
        <f>SUBTOTAL(109,CurrentLoanToValue[Principal Outstanding Balance])</f>
        <v>0</v>
      </c>
      <c r="D244" s="539">
        <f>SUBTOTAL(109,CurrentLoanToValue[% of Total (Amount)])</f>
        <v>0</v>
      </c>
      <c r="E244" s="540">
        <f>SUBTOTAL(109,CurrentLoanToValue[Nb of Loans])</f>
        <v>0</v>
      </c>
      <c r="F244" s="539">
        <f>SUBTOTAL(109,CurrentLoanToValue[% of Total (Amount)])</f>
        <v>0</v>
      </c>
    </row>
    <row r="245" spans="1:8" x14ac:dyDescent="0.35">
      <c r="A245" s="544"/>
      <c r="B245" s="537"/>
      <c r="C245" s="538"/>
      <c r="D245" s="539"/>
      <c r="E245" s="540"/>
      <c r="F245" s="539"/>
      <c r="H245" s="618" t="s">
        <v>1115</v>
      </c>
    </row>
    <row r="246" spans="1:8" x14ac:dyDescent="0.35">
      <c r="A246" s="544" t="s">
        <v>572</v>
      </c>
      <c r="B246" s="542" t="s">
        <v>368</v>
      </c>
      <c r="C246" s="543"/>
      <c r="D246" s="539"/>
      <c r="E246" s="540"/>
      <c r="F246" s="539"/>
    </row>
    <row r="247" spans="1:8" x14ac:dyDescent="0.35">
      <c r="A247" s="544" t="s">
        <v>573</v>
      </c>
      <c r="B247" s="542" t="s">
        <v>370</v>
      </c>
      <c r="C247" s="543"/>
      <c r="D247" s="539"/>
      <c r="E247" s="540"/>
      <c r="F247" s="539"/>
    </row>
    <row r="248" spans="1:8" x14ac:dyDescent="0.35">
      <c r="A248" s="544" t="s">
        <v>574</v>
      </c>
      <c r="B248" s="542" t="s">
        <v>372</v>
      </c>
      <c r="C248" s="543"/>
      <c r="D248" s="539"/>
      <c r="E248" s="540"/>
      <c r="F248" s="539"/>
    </row>
    <row r="249" spans="1:8" ht="15" customHeight="1" x14ac:dyDescent="0.35">
      <c r="A249" s="544"/>
      <c r="B249" s="535"/>
      <c r="C249" s="535"/>
    </row>
    <row r="250" spans="1:8" x14ac:dyDescent="0.35">
      <c r="A250" s="544"/>
      <c r="B250" s="535" t="s">
        <v>575</v>
      </c>
      <c r="C250" s="535"/>
    </row>
    <row r="251" spans="1:8" ht="15" customHeight="1" x14ac:dyDescent="0.35">
      <c r="A251" s="544"/>
      <c r="B251" s="535"/>
      <c r="C251" s="535"/>
    </row>
    <row r="252" spans="1:8" ht="33" customHeight="1" x14ac:dyDescent="0.35">
      <c r="A252" s="544"/>
      <c r="B252" s="525" t="s">
        <v>539</v>
      </c>
      <c r="C252" s="525" t="s">
        <v>281</v>
      </c>
      <c r="D252" s="525" t="s">
        <v>318</v>
      </c>
      <c r="E252" s="525" t="s">
        <v>319</v>
      </c>
      <c r="F252" s="525" t="s">
        <v>320</v>
      </c>
      <c r="G252" s="536"/>
    </row>
    <row r="253" spans="1:8" x14ac:dyDescent="0.35">
      <c r="A253" s="544" t="s">
        <v>576</v>
      </c>
      <c r="B253" s="537" t="s">
        <v>541</v>
      </c>
      <c r="C253" s="538"/>
      <c r="D253" s="539"/>
      <c r="E253" s="540"/>
      <c r="F253" s="539"/>
    </row>
    <row r="254" spans="1:8" x14ac:dyDescent="0.35">
      <c r="A254" s="544" t="s">
        <v>577</v>
      </c>
      <c r="B254" s="537" t="s">
        <v>543</v>
      </c>
      <c r="C254" s="538"/>
      <c r="D254" s="539"/>
      <c r="E254" s="540"/>
      <c r="F254" s="539"/>
    </row>
    <row r="255" spans="1:8" x14ac:dyDescent="0.35">
      <c r="A255" s="544" t="s">
        <v>578</v>
      </c>
      <c r="B255" s="537" t="s">
        <v>545</v>
      </c>
      <c r="C255" s="538"/>
      <c r="D255" s="539"/>
      <c r="E255" s="540"/>
      <c r="F255" s="539"/>
    </row>
    <row r="256" spans="1:8" x14ac:dyDescent="0.35">
      <c r="A256" s="544" t="s">
        <v>579</v>
      </c>
      <c r="B256" s="537" t="s">
        <v>547</v>
      </c>
      <c r="C256" s="538"/>
      <c r="D256" s="539"/>
      <c r="E256" s="540"/>
      <c r="F256" s="539"/>
    </row>
    <row r="257" spans="1:8" x14ac:dyDescent="0.35">
      <c r="A257" s="544" t="s">
        <v>580</v>
      </c>
      <c r="B257" s="537" t="s">
        <v>549</v>
      </c>
      <c r="C257" s="538"/>
      <c r="D257" s="539"/>
      <c r="E257" s="540"/>
      <c r="F257" s="539"/>
    </row>
    <row r="258" spans="1:8" x14ac:dyDescent="0.35">
      <c r="A258" s="544" t="s">
        <v>581</v>
      </c>
      <c r="B258" s="537" t="s">
        <v>551</v>
      </c>
      <c r="C258" s="538"/>
      <c r="D258" s="539"/>
      <c r="E258" s="540"/>
      <c r="F258" s="539"/>
    </row>
    <row r="259" spans="1:8" x14ac:dyDescent="0.35">
      <c r="A259" s="544" t="s">
        <v>582</v>
      </c>
      <c r="B259" s="537" t="s">
        <v>553</v>
      </c>
      <c r="C259" s="538"/>
      <c r="D259" s="539"/>
      <c r="E259" s="540"/>
      <c r="F259" s="539"/>
    </row>
    <row r="260" spans="1:8" x14ac:dyDescent="0.35">
      <c r="A260" s="544" t="s">
        <v>583</v>
      </c>
      <c r="B260" s="537" t="s">
        <v>555</v>
      </c>
      <c r="C260" s="538"/>
      <c r="D260" s="539"/>
      <c r="E260" s="540"/>
      <c r="F260" s="539"/>
    </row>
    <row r="261" spans="1:8" x14ac:dyDescent="0.35">
      <c r="A261" s="544" t="s">
        <v>584</v>
      </c>
      <c r="B261" s="537" t="s">
        <v>557</v>
      </c>
      <c r="C261" s="538"/>
      <c r="D261" s="539"/>
      <c r="E261" s="540"/>
      <c r="F261" s="539"/>
    </row>
    <row r="262" spans="1:8" x14ac:dyDescent="0.35">
      <c r="A262" s="544" t="s">
        <v>585</v>
      </c>
      <c r="B262" s="537" t="s">
        <v>559</v>
      </c>
      <c r="C262" s="538"/>
      <c r="D262" s="539"/>
      <c r="E262" s="540"/>
      <c r="F262" s="539"/>
    </row>
    <row r="263" spans="1:8" x14ac:dyDescent="0.35">
      <c r="A263" s="544" t="s">
        <v>586</v>
      </c>
      <c r="B263" s="537" t="s">
        <v>561</v>
      </c>
      <c r="C263" s="538"/>
      <c r="D263" s="539"/>
      <c r="E263" s="540"/>
      <c r="F263" s="539"/>
    </row>
    <row r="264" spans="1:8" x14ac:dyDescent="0.35">
      <c r="A264" s="544" t="s">
        <v>587</v>
      </c>
      <c r="B264" s="537" t="s">
        <v>563</v>
      </c>
      <c r="C264" s="538"/>
      <c r="D264" s="539"/>
      <c r="E264" s="540"/>
      <c r="F264" s="539"/>
    </row>
    <row r="265" spans="1:8" x14ac:dyDescent="0.35">
      <c r="A265" s="544" t="s">
        <v>588</v>
      </c>
      <c r="B265" s="537" t="s">
        <v>565</v>
      </c>
      <c r="C265" s="538"/>
      <c r="D265" s="539"/>
      <c r="E265" s="540"/>
      <c r="F265" s="539"/>
    </row>
    <row r="266" spans="1:8" x14ac:dyDescent="0.35">
      <c r="A266" s="544" t="s">
        <v>589</v>
      </c>
      <c r="B266" s="537" t="s">
        <v>567</v>
      </c>
      <c r="C266" s="538"/>
      <c r="D266" s="539"/>
      <c r="E266" s="540"/>
      <c r="F266" s="539"/>
    </row>
    <row r="267" spans="1:8" x14ac:dyDescent="0.35">
      <c r="A267" s="544" t="s">
        <v>590</v>
      </c>
      <c r="B267" s="537" t="s">
        <v>569</v>
      </c>
      <c r="C267" s="538"/>
      <c r="D267" s="539"/>
      <c r="E267" s="540"/>
      <c r="F267" s="539"/>
    </row>
    <row r="268" spans="1:8" x14ac:dyDescent="0.35">
      <c r="A268" s="544" t="s">
        <v>591</v>
      </c>
      <c r="B268" s="537" t="s">
        <v>571</v>
      </c>
      <c r="C268" s="538"/>
      <c r="D268" s="539"/>
      <c r="E268" s="540"/>
      <c r="F268" s="539"/>
    </row>
    <row r="269" spans="1:8" x14ac:dyDescent="0.35">
      <c r="A269" s="544"/>
      <c r="B269" s="537" t="s">
        <v>2</v>
      </c>
      <c r="C269" s="538">
        <f>SUBTOTAL(109,CurrentLoanToValueMortgage[Principal Outstanding Balance])</f>
        <v>0</v>
      </c>
      <c r="D269" s="539">
        <f>SUBTOTAL(109,CurrentLoanToValueMortgage[% of Total (Amount)])</f>
        <v>0</v>
      </c>
      <c r="E269" s="540">
        <f>SUBTOTAL(109,CurrentLoanToValueMortgage[Nb of Loans])</f>
        <v>0</v>
      </c>
      <c r="F269" s="539">
        <f>SUBTOTAL(109,CurrentLoanToValueMortgage[% of Total (Amount)])</f>
        <v>0</v>
      </c>
    </row>
    <row r="270" spans="1:8" x14ac:dyDescent="0.35">
      <c r="A270" s="544"/>
      <c r="B270" s="537"/>
      <c r="C270" s="538"/>
      <c r="D270" s="539"/>
      <c r="E270" s="540"/>
      <c r="F270" s="539"/>
      <c r="H270" s="618" t="s">
        <v>1115</v>
      </c>
    </row>
    <row r="271" spans="1:8" hidden="1" x14ac:dyDescent="0.35">
      <c r="A271" s="544" t="s">
        <v>592</v>
      </c>
      <c r="B271" s="542" t="s">
        <v>368</v>
      </c>
      <c r="C271" s="543"/>
      <c r="D271" s="539"/>
      <c r="E271" s="540"/>
      <c r="F271" s="539"/>
    </row>
    <row r="272" spans="1:8" hidden="1" x14ac:dyDescent="0.35">
      <c r="A272" s="544" t="s">
        <v>593</v>
      </c>
      <c r="B272" s="542" t="s">
        <v>370</v>
      </c>
      <c r="C272" s="543"/>
      <c r="D272" s="539"/>
      <c r="E272" s="540"/>
      <c r="F272" s="539"/>
    </row>
    <row r="273" spans="1:7" hidden="1" x14ac:dyDescent="0.35">
      <c r="A273" s="544" t="s">
        <v>594</v>
      </c>
      <c r="B273" s="542" t="s">
        <v>372</v>
      </c>
      <c r="C273" s="543"/>
      <c r="D273" s="539"/>
      <c r="E273" s="540"/>
      <c r="F273" s="539"/>
    </row>
    <row r="274" spans="1:7" ht="15" customHeight="1" x14ac:dyDescent="0.35">
      <c r="A274" s="544"/>
      <c r="B274" s="535"/>
      <c r="C274" s="535"/>
    </row>
    <row r="275" spans="1:7" x14ac:dyDescent="0.35">
      <c r="A275" s="544"/>
      <c r="B275" s="534" t="s">
        <v>595</v>
      </c>
      <c r="C275" s="535"/>
    </row>
    <row r="276" spans="1:7" ht="15" customHeight="1" x14ac:dyDescent="0.35">
      <c r="A276" s="544"/>
      <c r="B276" s="535"/>
      <c r="C276" s="535"/>
    </row>
    <row r="277" spans="1:7" ht="33" customHeight="1" x14ac:dyDescent="0.35">
      <c r="A277" s="544"/>
      <c r="B277" s="525" t="s">
        <v>539</v>
      </c>
      <c r="C277" s="525" t="s">
        <v>281</v>
      </c>
      <c r="D277" s="525" t="s">
        <v>318</v>
      </c>
      <c r="E277" s="525" t="s">
        <v>319</v>
      </c>
      <c r="F277" s="525" t="s">
        <v>320</v>
      </c>
      <c r="G277" s="536"/>
    </row>
    <row r="278" spans="1:7" x14ac:dyDescent="0.35">
      <c r="A278" s="544" t="s">
        <v>596</v>
      </c>
      <c r="B278" s="537" t="s">
        <v>541</v>
      </c>
      <c r="C278" s="538"/>
      <c r="D278" s="539"/>
      <c r="E278" s="540"/>
      <c r="F278" s="539"/>
    </row>
    <row r="279" spans="1:7" x14ac:dyDescent="0.35">
      <c r="A279" s="544" t="s">
        <v>597</v>
      </c>
      <c r="B279" s="537" t="s">
        <v>543</v>
      </c>
      <c r="C279" s="538"/>
      <c r="D279" s="539"/>
      <c r="E279" s="540"/>
      <c r="F279" s="539"/>
    </row>
    <row r="280" spans="1:7" x14ac:dyDescent="0.35">
      <c r="A280" s="544" t="s">
        <v>598</v>
      </c>
      <c r="B280" s="537" t="s">
        <v>545</v>
      </c>
      <c r="C280" s="538"/>
      <c r="D280" s="539"/>
      <c r="E280" s="540"/>
      <c r="F280" s="539"/>
    </row>
    <row r="281" spans="1:7" x14ac:dyDescent="0.35">
      <c r="A281" s="544" t="s">
        <v>599</v>
      </c>
      <c r="B281" s="537" t="s">
        <v>547</v>
      </c>
      <c r="C281" s="538"/>
      <c r="D281" s="539"/>
      <c r="E281" s="540"/>
      <c r="F281" s="539"/>
    </row>
    <row r="282" spans="1:7" x14ac:dyDescent="0.35">
      <c r="A282" s="544" t="s">
        <v>600</v>
      </c>
      <c r="B282" s="537" t="s">
        <v>549</v>
      </c>
      <c r="C282" s="538"/>
      <c r="D282" s="539"/>
      <c r="E282" s="540"/>
      <c r="F282" s="539"/>
    </row>
    <row r="283" spans="1:7" x14ac:dyDescent="0.35">
      <c r="A283" s="544" t="s">
        <v>601</v>
      </c>
      <c r="B283" s="537" t="s">
        <v>551</v>
      </c>
      <c r="C283" s="538"/>
      <c r="D283" s="539"/>
      <c r="E283" s="540"/>
      <c r="F283" s="539"/>
    </row>
    <row r="284" spans="1:7" x14ac:dyDescent="0.35">
      <c r="A284" s="544" t="s">
        <v>602</v>
      </c>
      <c r="B284" s="537" t="s">
        <v>553</v>
      </c>
      <c r="C284" s="538"/>
      <c r="D284" s="539"/>
      <c r="E284" s="540"/>
      <c r="F284" s="539"/>
    </row>
    <row r="285" spans="1:7" x14ac:dyDescent="0.35">
      <c r="A285" s="544" t="s">
        <v>603</v>
      </c>
      <c r="B285" s="537" t="s">
        <v>555</v>
      </c>
      <c r="C285" s="538"/>
      <c r="D285" s="539"/>
      <c r="E285" s="540"/>
      <c r="F285" s="539"/>
    </row>
    <row r="286" spans="1:7" x14ac:dyDescent="0.35">
      <c r="A286" s="544" t="s">
        <v>604</v>
      </c>
      <c r="B286" s="537" t="s">
        <v>557</v>
      </c>
      <c r="C286" s="538"/>
      <c r="D286" s="539"/>
      <c r="E286" s="540"/>
      <c r="F286" s="539"/>
    </row>
    <row r="287" spans="1:7" x14ac:dyDescent="0.35">
      <c r="A287" s="544" t="s">
        <v>605</v>
      </c>
      <c r="B287" s="537" t="s">
        <v>559</v>
      </c>
      <c r="C287" s="538"/>
      <c r="D287" s="539"/>
      <c r="E287" s="540"/>
      <c r="F287" s="539"/>
    </row>
    <row r="288" spans="1:7" x14ac:dyDescent="0.35">
      <c r="A288" s="544" t="s">
        <v>606</v>
      </c>
      <c r="B288" s="537" t="s">
        <v>561</v>
      </c>
      <c r="C288" s="538"/>
      <c r="D288" s="539"/>
      <c r="E288" s="540"/>
      <c r="F288" s="539"/>
    </row>
    <row r="289" spans="1:8" x14ac:dyDescent="0.35">
      <c r="A289" s="544" t="s">
        <v>607</v>
      </c>
      <c r="B289" s="537" t="s">
        <v>563</v>
      </c>
      <c r="C289" s="538"/>
      <c r="D289" s="539"/>
      <c r="E289" s="540"/>
      <c r="F289" s="539"/>
    </row>
    <row r="290" spans="1:8" x14ac:dyDescent="0.35">
      <c r="A290" s="544" t="s">
        <v>608</v>
      </c>
      <c r="B290" s="537" t="s">
        <v>565</v>
      </c>
      <c r="C290" s="538"/>
      <c r="D290" s="539"/>
      <c r="E290" s="540"/>
      <c r="F290" s="539"/>
    </row>
    <row r="291" spans="1:8" x14ac:dyDescent="0.35">
      <c r="A291" s="544" t="s">
        <v>609</v>
      </c>
      <c r="B291" s="537" t="s">
        <v>567</v>
      </c>
      <c r="C291" s="538"/>
      <c r="D291" s="539"/>
      <c r="E291" s="540"/>
      <c r="F291" s="539"/>
    </row>
    <row r="292" spans="1:8" x14ac:dyDescent="0.35">
      <c r="A292" s="544" t="s">
        <v>610</v>
      </c>
      <c r="B292" s="537" t="s">
        <v>569</v>
      </c>
      <c r="C292" s="538"/>
      <c r="D292" s="539"/>
      <c r="E292" s="540"/>
      <c r="F292" s="539"/>
    </row>
    <row r="293" spans="1:8" x14ac:dyDescent="0.35">
      <c r="A293" s="544" t="s">
        <v>611</v>
      </c>
      <c r="B293" s="537" t="s">
        <v>571</v>
      </c>
      <c r="C293" s="538"/>
      <c r="D293" s="539"/>
      <c r="E293" s="540"/>
      <c r="F293" s="539"/>
    </row>
    <row r="294" spans="1:8" x14ac:dyDescent="0.35">
      <c r="A294" s="544"/>
      <c r="B294" s="537" t="s">
        <v>2</v>
      </c>
      <c r="C294" s="538">
        <f>SUBTOTAL(109,CurrentLoanToValueGuarantee[Principal Outstanding Balance])</f>
        <v>0</v>
      </c>
      <c r="D294" s="539">
        <f>SUBTOTAL(109,CurrentLoanToValueGuarantee[% of Total (Amount)])</f>
        <v>0</v>
      </c>
      <c r="E294" s="540">
        <f>SUBTOTAL(109,CurrentLoanToValueGuarantee[Nb of Loans])</f>
        <v>0</v>
      </c>
      <c r="F294" s="539">
        <f>SUBTOTAL(109,CurrentLoanToValueGuarantee[% of Total (Amount)])</f>
        <v>0</v>
      </c>
    </row>
    <row r="295" spans="1:8" x14ac:dyDescent="0.35">
      <c r="A295" s="544"/>
      <c r="B295" s="537"/>
      <c r="C295" s="538"/>
      <c r="D295" s="539"/>
      <c r="E295" s="540"/>
      <c r="F295" s="539"/>
      <c r="H295" s="618" t="s">
        <v>1115</v>
      </c>
    </row>
    <row r="296" spans="1:8" hidden="1" x14ac:dyDescent="0.35">
      <c r="A296" s="544" t="s">
        <v>612</v>
      </c>
      <c r="B296" s="542" t="s">
        <v>368</v>
      </c>
      <c r="C296" s="543"/>
      <c r="D296" s="539"/>
      <c r="E296" s="540"/>
      <c r="F296" s="539"/>
    </row>
    <row r="297" spans="1:8" hidden="1" x14ac:dyDescent="0.35">
      <c r="A297" s="544" t="s">
        <v>613</v>
      </c>
      <c r="B297" s="542" t="s">
        <v>370</v>
      </c>
      <c r="C297" s="543"/>
      <c r="D297" s="539"/>
      <c r="E297" s="540"/>
      <c r="F297" s="539"/>
    </row>
    <row r="298" spans="1:8" hidden="1" x14ac:dyDescent="0.35">
      <c r="A298" s="544" t="s">
        <v>614</v>
      </c>
      <c r="B298" s="542" t="s">
        <v>372</v>
      </c>
      <c r="C298" s="543"/>
      <c r="D298" s="539"/>
      <c r="E298" s="540"/>
      <c r="F298" s="539"/>
    </row>
    <row r="299" spans="1:8" ht="15" customHeight="1" x14ac:dyDescent="0.35">
      <c r="A299" s="544"/>
      <c r="B299" s="535"/>
      <c r="C299" s="535"/>
    </row>
    <row r="300" spans="1:8" x14ac:dyDescent="0.35">
      <c r="A300" s="544"/>
      <c r="B300" s="535" t="s">
        <v>615</v>
      </c>
      <c r="C300" s="535"/>
    </row>
    <row r="301" spans="1:8" ht="15" customHeight="1" x14ac:dyDescent="0.35">
      <c r="A301" s="544"/>
      <c r="B301" s="535"/>
      <c r="C301" s="535"/>
    </row>
    <row r="302" spans="1:8" ht="33" customHeight="1" x14ac:dyDescent="0.35">
      <c r="A302" s="544"/>
      <c r="B302" s="525" t="s">
        <v>616</v>
      </c>
      <c r="C302" s="525" t="s">
        <v>281</v>
      </c>
      <c r="D302" s="525" t="s">
        <v>318</v>
      </c>
      <c r="E302" s="525" t="s">
        <v>319</v>
      </c>
      <c r="F302" s="525" t="s">
        <v>320</v>
      </c>
      <c r="G302" s="536"/>
    </row>
    <row r="303" spans="1:8" x14ac:dyDescent="0.35">
      <c r="A303" s="544" t="s">
        <v>617</v>
      </c>
      <c r="B303" s="537" t="s">
        <v>541</v>
      </c>
      <c r="C303" s="538"/>
      <c r="D303" s="539"/>
      <c r="E303" s="540"/>
      <c r="F303" s="539"/>
    </row>
    <row r="304" spans="1:8" x14ac:dyDescent="0.35">
      <c r="A304" s="544" t="s">
        <v>618</v>
      </c>
      <c r="B304" s="537" t="s">
        <v>543</v>
      </c>
      <c r="C304" s="538"/>
      <c r="D304" s="539"/>
      <c r="E304" s="540"/>
      <c r="F304" s="539"/>
    </row>
    <row r="305" spans="1:8" x14ac:dyDescent="0.35">
      <c r="A305" s="544" t="s">
        <v>619</v>
      </c>
      <c r="B305" s="537" t="s">
        <v>545</v>
      </c>
      <c r="C305" s="538"/>
      <c r="D305" s="539"/>
      <c r="E305" s="540"/>
      <c r="F305" s="539"/>
    </row>
    <row r="306" spans="1:8" x14ac:dyDescent="0.35">
      <c r="A306" s="544" t="s">
        <v>620</v>
      </c>
      <c r="B306" s="537" t="s">
        <v>547</v>
      </c>
      <c r="C306" s="538"/>
      <c r="D306" s="539"/>
      <c r="E306" s="540"/>
      <c r="F306" s="539"/>
    </row>
    <row r="307" spans="1:8" x14ac:dyDescent="0.35">
      <c r="A307" s="544" t="s">
        <v>621</v>
      </c>
      <c r="B307" s="537" t="s">
        <v>549</v>
      </c>
      <c r="C307" s="538"/>
      <c r="D307" s="539"/>
      <c r="E307" s="540"/>
      <c r="F307" s="539"/>
    </row>
    <row r="308" spans="1:8" x14ac:dyDescent="0.35">
      <c r="A308" s="544" t="s">
        <v>622</v>
      </c>
      <c r="B308" s="537" t="s">
        <v>551</v>
      </c>
      <c r="C308" s="538"/>
      <c r="D308" s="539"/>
      <c r="E308" s="540"/>
      <c r="F308" s="539"/>
    </row>
    <row r="309" spans="1:8" x14ac:dyDescent="0.35">
      <c r="A309" s="544" t="s">
        <v>623</v>
      </c>
      <c r="B309" s="537" t="s">
        <v>553</v>
      </c>
      <c r="C309" s="538"/>
      <c r="D309" s="539"/>
      <c r="E309" s="540"/>
      <c r="F309" s="539"/>
    </row>
    <row r="310" spans="1:8" x14ac:dyDescent="0.35">
      <c r="A310" s="544" t="s">
        <v>624</v>
      </c>
      <c r="B310" s="537" t="s">
        <v>555</v>
      </c>
      <c r="C310" s="538"/>
      <c r="D310" s="539"/>
      <c r="E310" s="540"/>
      <c r="F310" s="539"/>
    </row>
    <row r="311" spans="1:8" x14ac:dyDescent="0.35">
      <c r="A311" s="544" t="s">
        <v>625</v>
      </c>
      <c r="B311" s="537" t="s">
        <v>557</v>
      </c>
      <c r="C311" s="538"/>
      <c r="D311" s="539"/>
      <c r="E311" s="540"/>
      <c r="F311" s="539"/>
    </row>
    <row r="312" spans="1:8" x14ac:dyDescent="0.35">
      <c r="A312" s="544" t="s">
        <v>626</v>
      </c>
      <c r="B312" s="537" t="s">
        <v>559</v>
      </c>
      <c r="C312" s="538"/>
      <c r="D312" s="539"/>
      <c r="E312" s="540"/>
      <c r="F312" s="539"/>
    </row>
    <row r="313" spans="1:8" x14ac:dyDescent="0.35">
      <c r="A313" s="544" t="s">
        <v>627</v>
      </c>
      <c r="B313" s="537" t="s">
        <v>561</v>
      </c>
      <c r="C313" s="538"/>
      <c r="D313" s="539"/>
      <c r="E313" s="540"/>
      <c r="F313" s="539"/>
    </row>
    <row r="314" spans="1:8" x14ac:dyDescent="0.35">
      <c r="A314" s="544" t="s">
        <v>628</v>
      </c>
      <c r="B314" s="537" t="s">
        <v>563</v>
      </c>
      <c r="C314" s="538"/>
      <c r="D314" s="539"/>
      <c r="E314" s="540"/>
      <c r="F314" s="539"/>
    </row>
    <row r="315" spans="1:8" x14ac:dyDescent="0.35">
      <c r="A315" s="544" t="s">
        <v>629</v>
      </c>
      <c r="B315" s="537" t="s">
        <v>565</v>
      </c>
      <c r="C315" s="538"/>
      <c r="D315" s="539"/>
      <c r="E315" s="540"/>
      <c r="F315" s="539"/>
    </row>
    <row r="316" spans="1:8" x14ac:dyDescent="0.35">
      <c r="A316" s="544" t="s">
        <v>630</v>
      </c>
      <c r="B316" s="537" t="s">
        <v>567</v>
      </c>
      <c r="C316" s="538"/>
      <c r="D316" s="539"/>
      <c r="E316" s="540"/>
      <c r="F316" s="539"/>
    </row>
    <row r="317" spans="1:8" x14ac:dyDescent="0.35">
      <c r="A317" s="544" t="s">
        <v>631</v>
      </c>
      <c r="B317" s="537" t="s">
        <v>569</v>
      </c>
      <c r="C317" s="538"/>
      <c r="D317" s="539"/>
      <c r="E317" s="540"/>
      <c r="F317" s="539"/>
    </row>
    <row r="318" spans="1:8" x14ac:dyDescent="0.35">
      <c r="A318" s="544" t="s">
        <v>632</v>
      </c>
      <c r="B318" s="537" t="s">
        <v>571</v>
      </c>
      <c r="C318" s="538"/>
      <c r="D318" s="539"/>
      <c r="E318" s="540"/>
      <c r="F318" s="539"/>
    </row>
    <row r="319" spans="1:8" x14ac:dyDescent="0.35">
      <c r="A319" s="544"/>
      <c r="B319" s="537" t="s">
        <v>2</v>
      </c>
      <c r="C319" s="538">
        <f>SUBTOTAL(109,OriginalLoanToValue17[Principal Outstanding Balance])</f>
        <v>0</v>
      </c>
      <c r="D319" s="539">
        <f>SUBTOTAL(109,OriginalLoanToValue17[% of Total (Amount)])</f>
        <v>0</v>
      </c>
      <c r="E319" s="540">
        <f>SUBTOTAL(109,OriginalLoanToValue17[Nb of Loans])</f>
        <v>0</v>
      </c>
      <c r="F319" s="539">
        <f>SUBTOTAL(109,OriginalLoanToValue17[% of Total (Amount)])</f>
        <v>0</v>
      </c>
    </row>
    <row r="320" spans="1:8" x14ac:dyDescent="0.35">
      <c r="A320" s="544"/>
      <c r="B320" s="537"/>
      <c r="C320" s="538"/>
      <c r="D320" s="539"/>
      <c r="E320" s="540"/>
      <c r="F320" s="539"/>
      <c r="H320" s="618" t="s">
        <v>1115</v>
      </c>
    </row>
    <row r="321" spans="1:7" hidden="1" x14ac:dyDescent="0.35">
      <c r="A321" s="544" t="s">
        <v>633</v>
      </c>
      <c r="B321" s="542" t="s">
        <v>368</v>
      </c>
      <c r="C321" s="543"/>
      <c r="D321" s="539"/>
      <c r="E321" s="540"/>
      <c r="F321" s="539"/>
    </row>
    <row r="322" spans="1:7" hidden="1" x14ac:dyDescent="0.35">
      <c r="A322" s="544" t="s">
        <v>634</v>
      </c>
      <c r="B322" s="542" t="s">
        <v>370</v>
      </c>
      <c r="C322" s="543"/>
      <c r="D322" s="539"/>
      <c r="E322" s="540"/>
      <c r="F322" s="539"/>
    </row>
    <row r="323" spans="1:7" hidden="1" x14ac:dyDescent="0.35">
      <c r="A323" s="544" t="s">
        <v>635</v>
      </c>
      <c r="B323" s="542" t="s">
        <v>372</v>
      </c>
      <c r="C323" s="543"/>
      <c r="D323" s="539"/>
      <c r="E323" s="540"/>
      <c r="F323" s="539"/>
    </row>
    <row r="324" spans="1:7" ht="15" customHeight="1" x14ac:dyDescent="0.35">
      <c r="A324" s="544"/>
      <c r="B324" s="535"/>
      <c r="C324" s="535"/>
    </row>
    <row r="325" spans="1:7" x14ac:dyDescent="0.35">
      <c r="A325" s="544"/>
      <c r="B325" s="534" t="s">
        <v>636</v>
      </c>
      <c r="C325" s="535"/>
    </row>
    <row r="326" spans="1:7" ht="15" customHeight="1" x14ac:dyDescent="0.35">
      <c r="A326" s="544"/>
      <c r="B326" s="535"/>
      <c r="C326" s="535"/>
    </row>
    <row r="327" spans="1:7" ht="33" customHeight="1" x14ac:dyDescent="0.35">
      <c r="A327" s="544"/>
      <c r="B327" s="525" t="s">
        <v>616</v>
      </c>
      <c r="C327" s="525" t="s">
        <v>281</v>
      </c>
      <c r="D327" s="525" t="s">
        <v>318</v>
      </c>
      <c r="E327" s="525" t="s">
        <v>319</v>
      </c>
      <c r="F327" s="525" t="s">
        <v>320</v>
      </c>
      <c r="G327" s="536"/>
    </row>
    <row r="328" spans="1:7" x14ac:dyDescent="0.35">
      <c r="A328" s="544" t="s">
        <v>637</v>
      </c>
      <c r="B328" s="537" t="s">
        <v>541</v>
      </c>
      <c r="C328" s="538"/>
      <c r="D328" s="539"/>
      <c r="E328" s="540"/>
      <c r="F328" s="539"/>
    </row>
    <row r="329" spans="1:7" x14ac:dyDescent="0.35">
      <c r="A329" s="544" t="s">
        <v>638</v>
      </c>
      <c r="B329" s="537" t="s">
        <v>543</v>
      </c>
      <c r="C329" s="538"/>
      <c r="D329" s="539"/>
      <c r="E329" s="540"/>
      <c r="F329" s="539"/>
    </row>
    <row r="330" spans="1:7" x14ac:dyDescent="0.35">
      <c r="A330" s="544" t="s">
        <v>639</v>
      </c>
      <c r="B330" s="537" t="s">
        <v>545</v>
      </c>
      <c r="C330" s="538"/>
      <c r="D330" s="539"/>
      <c r="E330" s="540"/>
      <c r="F330" s="539"/>
    </row>
    <row r="331" spans="1:7" x14ac:dyDescent="0.35">
      <c r="A331" s="544" t="s">
        <v>640</v>
      </c>
      <c r="B331" s="537" t="s">
        <v>547</v>
      </c>
      <c r="C331" s="538"/>
      <c r="D331" s="539"/>
      <c r="E331" s="540"/>
      <c r="F331" s="539"/>
    </row>
    <row r="332" spans="1:7" x14ac:dyDescent="0.35">
      <c r="A332" s="544" t="s">
        <v>641</v>
      </c>
      <c r="B332" s="537" t="s">
        <v>549</v>
      </c>
      <c r="C332" s="538"/>
      <c r="D332" s="539"/>
      <c r="E332" s="540"/>
      <c r="F332" s="539"/>
    </row>
    <row r="333" spans="1:7" x14ac:dyDescent="0.35">
      <c r="A333" s="544" t="s">
        <v>642</v>
      </c>
      <c r="B333" s="537" t="s">
        <v>551</v>
      </c>
      <c r="C333" s="538"/>
      <c r="D333" s="539"/>
      <c r="E333" s="540"/>
      <c r="F333" s="539"/>
    </row>
    <row r="334" spans="1:7" x14ac:dyDescent="0.35">
      <c r="A334" s="544" t="s">
        <v>643</v>
      </c>
      <c r="B334" s="537" t="s">
        <v>553</v>
      </c>
      <c r="C334" s="538"/>
      <c r="D334" s="539"/>
      <c r="E334" s="540"/>
      <c r="F334" s="539"/>
    </row>
    <row r="335" spans="1:7" x14ac:dyDescent="0.35">
      <c r="A335" s="544" t="s">
        <v>644</v>
      </c>
      <c r="B335" s="537" t="s">
        <v>555</v>
      </c>
      <c r="C335" s="538"/>
      <c r="D335" s="539"/>
      <c r="E335" s="540"/>
      <c r="F335" s="539"/>
    </row>
    <row r="336" spans="1:7" x14ac:dyDescent="0.35">
      <c r="A336" s="544" t="s">
        <v>645</v>
      </c>
      <c r="B336" s="537" t="s">
        <v>557</v>
      </c>
      <c r="C336" s="538"/>
      <c r="D336" s="539"/>
      <c r="E336" s="540"/>
      <c r="F336" s="539"/>
    </row>
    <row r="337" spans="1:8" x14ac:dyDescent="0.35">
      <c r="A337" s="544" t="s">
        <v>646</v>
      </c>
      <c r="B337" s="537" t="s">
        <v>559</v>
      </c>
      <c r="C337" s="538"/>
      <c r="D337" s="539"/>
      <c r="E337" s="540"/>
      <c r="F337" s="539"/>
    </row>
    <row r="338" spans="1:8" x14ac:dyDescent="0.35">
      <c r="A338" s="544" t="s">
        <v>647</v>
      </c>
      <c r="B338" s="537" t="s">
        <v>561</v>
      </c>
      <c r="C338" s="538"/>
      <c r="D338" s="539"/>
      <c r="E338" s="540"/>
      <c r="F338" s="539"/>
    </row>
    <row r="339" spans="1:8" x14ac:dyDescent="0.35">
      <c r="A339" s="544" t="s">
        <v>648</v>
      </c>
      <c r="B339" s="537" t="s">
        <v>563</v>
      </c>
      <c r="C339" s="538"/>
      <c r="D339" s="539"/>
      <c r="E339" s="540"/>
      <c r="F339" s="539"/>
    </row>
    <row r="340" spans="1:8" x14ac:dyDescent="0.35">
      <c r="A340" s="544" t="s">
        <v>649</v>
      </c>
      <c r="B340" s="537" t="s">
        <v>565</v>
      </c>
      <c r="C340" s="538"/>
      <c r="D340" s="539"/>
      <c r="E340" s="540"/>
      <c r="F340" s="539"/>
    </row>
    <row r="341" spans="1:8" x14ac:dyDescent="0.35">
      <c r="A341" s="544" t="s">
        <v>650</v>
      </c>
      <c r="B341" s="537" t="s">
        <v>567</v>
      </c>
      <c r="C341" s="538"/>
      <c r="D341" s="539"/>
      <c r="E341" s="540"/>
      <c r="F341" s="539"/>
    </row>
    <row r="342" spans="1:8" x14ac:dyDescent="0.35">
      <c r="A342" s="544" t="s">
        <v>651</v>
      </c>
      <c r="B342" s="537" t="s">
        <v>569</v>
      </c>
      <c r="C342" s="538"/>
      <c r="D342" s="539"/>
      <c r="E342" s="540"/>
      <c r="F342" s="539"/>
    </row>
    <row r="343" spans="1:8" x14ac:dyDescent="0.35">
      <c r="A343" s="544" t="s">
        <v>652</v>
      </c>
      <c r="B343" s="537" t="s">
        <v>571</v>
      </c>
      <c r="C343" s="538"/>
      <c r="D343" s="539"/>
      <c r="E343" s="540"/>
      <c r="F343" s="539"/>
    </row>
    <row r="344" spans="1:8" x14ac:dyDescent="0.35">
      <c r="A344" s="544"/>
      <c r="B344" s="537" t="s">
        <v>2</v>
      </c>
      <c r="C344" s="538">
        <f>SUBTOTAL(109,OriginalLoanToValueMort[Principal Outstanding Balance])</f>
        <v>0</v>
      </c>
      <c r="D344" s="539">
        <f>SUBTOTAL(109,OriginalLoanToValueMort[% of Total (Amount)])</f>
        <v>0</v>
      </c>
      <c r="E344" s="540">
        <f>SUBTOTAL(109,OriginalLoanToValueMort[Nb of Loans])</f>
        <v>0</v>
      </c>
      <c r="F344" s="539">
        <f>SUBTOTAL(109,OriginalLoanToValueMort[% of Total (Amount)])</f>
        <v>0</v>
      </c>
    </row>
    <row r="345" spans="1:8" x14ac:dyDescent="0.35">
      <c r="A345" s="544"/>
      <c r="B345" s="537"/>
      <c r="C345" s="538"/>
      <c r="D345" s="539"/>
      <c r="E345" s="540"/>
      <c r="F345" s="539"/>
      <c r="H345" s="618" t="s">
        <v>1115</v>
      </c>
    </row>
    <row r="346" spans="1:8" hidden="1" x14ac:dyDescent="0.35">
      <c r="A346" s="544" t="s">
        <v>653</v>
      </c>
      <c r="B346" s="542" t="s">
        <v>368</v>
      </c>
      <c r="C346" s="543"/>
      <c r="D346" s="539"/>
      <c r="E346" s="540"/>
      <c r="F346" s="539"/>
    </row>
    <row r="347" spans="1:8" hidden="1" x14ac:dyDescent="0.35">
      <c r="A347" s="544" t="s">
        <v>654</v>
      </c>
      <c r="B347" s="542" t="s">
        <v>370</v>
      </c>
      <c r="C347" s="543"/>
      <c r="D347" s="539"/>
      <c r="E347" s="540"/>
      <c r="F347" s="539"/>
    </row>
    <row r="348" spans="1:8" hidden="1" x14ac:dyDescent="0.35">
      <c r="A348" s="544" t="s">
        <v>655</v>
      </c>
      <c r="B348" s="542" t="s">
        <v>372</v>
      </c>
      <c r="C348" s="543"/>
      <c r="D348" s="539"/>
      <c r="E348" s="540"/>
      <c r="F348" s="539"/>
    </row>
    <row r="349" spans="1:8" ht="15" customHeight="1" x14ac:dyDescent="0.35">
      <c r="A349" s="544"/>
      <c r="B349" s="535"/>
      <c r="C349" s="535"/>
    </row>
    <row r="350" spans="1:8" x14ac:dyDescent="0.35">
      <c r="A350" s="544"/>
      <c r="B350" s="534" t="s">
        <v>656</v>
      </c>
      <c r="C350" s="535"/>
    </row>
    <row r="351" spans="1:8" ht="15" customHeight="1" x14ac:dyDescent="0.35">
      <c r="A351" s="544"/>
      <c r="B351" s="535"/>
      <c r="C351" s="535"/>
    </row>
    <row r="352" spans="1:8" ht="33" customHeight="1" x14ac:dyDescent="0.35">
      <c r="A352" s="544"/>
      <c r="B352" s="525" t="s">
        <v>616</v>
      </c>
      <c r="C352" s="525" t="s">
        <v>281</v>
      </c>
      <c r="D352" s="525" t="s">
        <v>318</v>
      </c>
      <c r="E352" s="525" t="s">
        <v>319</v>
      </c>
      <c r="F352" s="525" t="s">
        <v>320</v>
      </c>
      <c r="G352" s="536"/>
    </row>
    <row r="353" spans="1:6" x14ac:dyDescent="0.35">
      <c r="A353" s="544" t="s">
        <v>657</v>
      </c>
      <c r="B353" s="537" t="s">
        <v>541</v>
      </c>
      <c r="C353" s="538"/>
      <c r="D353" s="539"/>
      <c r="E353" s="540"/>
      <c r="F353" s="539"/>
    </row>
    <row r="354" spans="1:6" x14ac:dyDescent="0.35">
      <c r="A354" s="544" t="s">
        <v>658</v>
      </c>
      <c r="B354" s="537" t="s">
        <v>543</v>
      </c>
      <c r="C354" s="538"/>
      <c r="D354" s="539"/>
      <c r="E354" s="540"/>
      <c r="F354" s="539"/>
    </row>
    <row r="355" spans="1:6" x14ac:dyDescent="0.35">
      <c r="A355" s="544" t="s">
        <v>659</v>
      </c>
      <c r="B355" s="537" t="s">
        <v>545</v>
      </c>
      <c r="C355" s="538"/>
      <c r="D355" s="539"/>
      <c r="E355" s="540"/>
      <c r="F355" s="539"/>
    </row>
    <row r="356" spans="1:6" x14ac:dyDescent="0.35">
      <c r="A356" s="544" t="s">
        <v>660</v>
      </c>
      <c r="B356" s="537" t="s">
        <v>547</v>
      </c>
      <c r="C356" s="538"/>
      <c r="D356" s="539"/>
      <c r="E356" s="540"/>
      <c r="F356" s="539"/>
    </row>
    <row r="357" spans="1:6" x14ac:dyDescent="0.35">
      <c r="A357" s="544" t="s">
        <v>661</v>
      </c>
      <c r="B357" s="537" t="s">
        <v>549</v>
      </c>
      <c r="C357" s="538"/>
      <c r="D357" s="539"/>
      <c r="E357" s="540"/>
      <c r="F357" s="539"/>
    </row>
    <row r="358" spans="1:6" x14ac:dyDescent="0.35">
      <c r="A358" s="544" t="s">
        <v>662</v>
      </c>
      <c r="B358" s="537" t="s">
        <v>551</v>
      </c>
      <c r="C358" s="538"/>
      <c r="D358" s="539"/>
      <c r="E358" s="540"/>
      <c r="F358" s="539"/>
    </row>
    <row r="359" spans="1:6" x14ac:dyDescent="0.35">
      <c r="A359" s="544" t="s">
        <v>663</v>
      </c>
      <c r="B359" s="537" t="s">
        <v>553</v>
      </c>
      <c r="C359" s="538"/>
      <c r="D359" s="539"/>
      <c r="E359" s="540"/>
      <c r="F359" s="539"/>
    </row>
    <row r="360" spans="1:6" x14ac:dyDescent="0.35">
      <c r="A360" s="544" t="s">
        <v>664</v>
      </c>
      <c r="B360" s="537" t="s">
        <v>555</v>
      </c>
      <c r="C360" s="538"/>
      <c r="D360" s="539"/>
      <c r="E360" s="540"/>
      <c r="F360" s="539"/>
    </row>
    <row r="361" spans="1:6" x14ac:dyDescent="0.35">
      <c r="A361" s="544" t="s">
        <v>665</v>
      </c>
      <c r="B361" s="537" t="s">
        <v>557</v>
      </c>
      <c r="C361" s="538"/>
      <c r="D361" s="539"/>
      <c r="E361" s="540"/>
      <c r="F361" s="539"/>
    </row>
    <row r="362" spans="1:6" x14ac:dyDescent="0.35">
      <c r="A362" s="544" t="s">
        <v>666</v>
      </c>
      <c r="B362" s="537" t="s">
        <v>559</v>
      </c>
      <c r="C362" s="538"/>
      <c r="D362" s="539"/>
      <c r="E362" s="540"/>
      <c r="F362" s="539"/>
    </row>
    <row r="363" spans="1:6" x14ac:dyDescent="0.35">
      <c r="A363" s="544" t="s">
        <v>667</v>
      </c>
      <c r="B363" s="537" t="s">
        <v>561</v>
      </c>
      <c r="C363" s="538"/>
      <c r="D363" s="539"/>
      <c r="E363" s="540"/>
      <c r="F363" s="539"/>
    </row>
    <row r="364" spans="1:6" x14ac:dyDescent="0.35">
      <c r="A364" s="544" t="s">
        <v>668</v>
      </c>
      <c r="B364" s="537" t="s">
        <v>563</v>
      </c>
      <c r="C364" s="538"/>
      <c r="D364" s="539"/>
      <c r="E364" s="540"/>
      <c r="F364" s="539"/>
    </row>
    <row r="365" spans="1:6" x14ac:dyDescent="0.35">
      <c r="A365" s="544" t="s">
        <v>669</v>
      </c>
      <c r="B365" s="537" t="s">
        <v>565</v>
      </c>
      <c r="C365" s="538"/>
      <c r="D365" s="539"/>
      <c r="E365" s="540"/>
      <c r="F365" s="539"/>
    </row>
    <row r="366" spans="1:6" x14ac:dyDescent="0.35">
      <c r="A366" s="544" t="s">
        <v>670</v>
      </c>
      <c r="B366" s="537" t="s">
        <v>567</v>
      </c>
      <c r="C366" s="538"/>
      <c r="D366" s="539"/>
      <c r="E366" s="540"/>
      <c r="F366" s="539"/>
    </row>
    <row r="367" spans="1:6" x14ac:dyDescent="0.35">
      <c r="A367" s="544" t="s">
        <v>671</v>
      </c>
      <c r="B367" s="537" t="s">
        <v>569</v>
      </c>
      <c r="C367" s="538"/>
      <c r="D367" s="539"/>
      <c r="E367" s="540"/>
      <c r="F367" s="539"/>
    </row>
    <row r="368" spans="1:6" x14ac:dyDescent="0.35">
      <c r="A368" s="544" t="s">
        <v>672</v>
      </c>
      <c r="B368" s="537" t="s">
        <v>571</v>
      </c>
      <c r="C368" s="538"/>
      <c r="D368" s="539"/>
      <c r="E368" s="540"/>
      <c r="F368" s="539"/>
    </row>
    <row r="369" spans="1:8" x14ac:dyDescent="0.35">
      <c r="A369" s="544"/>
      <c r="B369" s="537" t="s">
        <v>2</v>
      </c>
      <c r="C369" s="538">
        <f>SUBTOTAL(109,OriginalLoanToValueMortGuaranteed[Principal Outstanding Balance])</f>
        <v>0</v>
      </c>
      <c r="D369" s="539">
        <f>SUBTOTAL(109,OriginalLoanToValueMortGuaranteed[% of Total (Amount)])</f>
        <v>0</v>
      </c>
      <c r="E369" s="540">
        <f>SUBTOTAL(109,OriginalLoanToValueMortGuaranteed[Nb of Loans])</f>
        <v>0</v>
      </c>
      <c r="F369" s="539">
        <f>SUBTOTAL(109,OriginalLoanToValueMortGuaranteed[% of Total (Amount)])</f>
        <v>0</v>
      </c>
    </row>
    <row r="370" spans="1:8" x14ac:dyDescent="0.35">
      <c r="A370" s="544"/>
      <c r="B370" s="537"/>
      <c r="C370" s="538"/>
      <c r="D370" s="539"/>
      <c r="E370" s="540"/>
      <c r="F370" s="539"/>
      <c r="H370" s="618" t="s">
        <v>1115</v>
      </c>
    </row>
    <row r="371" spans="1:8" hidden="1" x14ac:dyDescent="0.35">
      <c r="A371" s="544" t="s">
        <v>673</v>
      </c>
      <c r="B371" s="542" t="s">
        <v>368</v>
      </c>
      <c r="C371" s="543"/>
      <c r="D371" s="539"/>
      <c r="E371" s="540"/>
      <c r="F371" s="539"/>
    </row>
    <row r="372" spans="1:8" hidden="1" x14ac:dyDescent="0.35">
      <c r="A372" s="544" t="s">
        <v>674</v>
      </c>
      <c r="B372" s="542" t="s">
        <v>370</v>
      </c>
      <c r="C372" s="543"/>
      <c r="D372" s="539"/>
      <c r="E372" s="540"/>
      <c r="F372" s="539"/>
    </row>
    <row r="373" spans="1:8" hidden="1" x14ac:dyDescent="0.35">
      <c r="A373" s="544" t="s">
        <v>675</v>
      </c>
      <c r="B373" s="542" t="s">
        <v>372</v>
      </c>
      <c r="C373" s="543"/>
      <c r="D373" s="539"/>
      <c r="E373" s="540"/>
      <c r="F373" s="539"/>
    </row>
    <row r="374" spans="1:8" ht="15" customHeight="1" x14ac:dyDescent="0.35">
      <c r="A374" s="544"/>
      <c r="B374" s="535"/>
      <c r="C374" s="535"/>
    </row>
    <row r="375" spans="1:8" x14ac:dyDescent="0.35">
      <c r="A375" s="544"/>
      <c r="B375" s="535" t="s">
        <v>676</v>
      </c>
      <c r="C375" s="535"/>
    </row>
    <row r="376" spans="1:8" ht="15" customHeight="1" x14ac:dyDescent="0.35">
      <c r="A376" s="544"/>
      <c r="B376" s="535"/>
      <c r="C376" s="535"/>
    </row>
    <row r="377" spans="1:8" ht="33" customHeight="1" x14ac:dyDescent="0.35">
      <c r="A377" s="544"/>
      <c r="B377" s="525" t="s">
        <v>677</v>
      </c>
      <c r="C377" s="525" t="s">
        <v>281</v>
      </c>
      <c r="D377" s="525" t="s">
        <v>318</v>
      </c>
      <c r="E377" s="525" t="s">
        <v>319</v>
      </c>
      <c r="F377" s="525" t="s">
        <v>320</v>
      </c>
      <c r="G377" s="536"/>
    </row>
    <row r="378" spans="1:8" x14ac:dyDescent="0.35">
      <c r="A378" s="544" t="s">
        <v>678</v>
      </c>
      <c r="B378" s="537" t="s">
        <v>541</v>
      </c>
      <c r="C378" s="538"/>
      <c r="D378" s="539"/>
      <c r="E378" s="540"/>
      <c r="F378" s="539"/>
    </row>
    <row r="379" spans="1:8" x14ac:dyDescent="0.35">
      <c r="A379" s="544" t="s">
        <v>679</v>
      </c>
      <c r="B379" s="537" t="s">
        <v>543</v>
      </c>
      <c r="C379" s="538"/>
      <c r="D379" s="539"/>
      <c r="E379" s="540"/>
      <c r="F379" s="539"/>
    </row>
    <row r="380" spans="1:8" x14ac:dyDescent="0.35">
      <c r="A380" s="544" t="s">
        <v>680</v>
      </c>
      <c r="B380" s="537" t="s">
        <v>545</v>
      </c>
      <c r="C380" s="538"/>
      <c r="D380" s="539"/>
      <c r="E380" s="540"/>
      <c r="F380" s="539"/>
    </row>
    <row r="381" spans="1:8" x14ac:dyDescent="0.35">
      <c r="A381" s="544" t="s">
        <v>681</v>
      </c>
      <c r="B381" s="537" t="s">
        <v>547</v>
      </c>
      <c r="C381" s="538"/>
      <c r="D381" s="539"/>
      <c r="E381" s="540"/>
      <c r="F381" s="539"/>
    </row>
    <row r="382" spans="1:8" x14ac:dyDescent="0.35">
      <c r="A382" s="544" t="s">
        <v>682</v>
      </c>
      <c r="B382" s="537" t="s">
        <v>549</v>
      </c>
      <c r="C382" s="538"/>
      <c r="D382" s="539"/>
      <c r="E382" s="540"/>
      <c r="F382" s="539"/>
    </row>
    <row r="383" spans="1:8" x14ac:dyDescent="0.35">
      <c r="A383" s="544" t="s">
        <v>683</v>
      </c>
      <c r="B383" s="537" t="s">
        <v>551</v>
      </c>
      <c r="C383" s="538"/>
      <c r="D383" s="539"/>
      <c r="E383" s="540"/>
      <c r="F383" s="539"/>
    </row>
    <row r="384" spans="1:8" x14ac:dyDescent="0.35">
      <c r="A384" s="544" t="s">
        <v>684</v>
      </c>
      <c r="B384" s="537" t="s">
        <v>553</v>
      </c>
      <c r="C384" s="538"/>
      <c r="D384" s="539"/>
      <c r="E384" s="540"/>
      <c r="F384" s="539"/>
    </row>
    <row r="385" spans="1:8" x14ac:dyDescent="0.35">
      <c r="A385" s="544" t="s">
        <v>685</v>
      </c>
      <c r="B385" s="537" t="s">
        <v>555</v>
      </c>
      <c r="C385" s="538"/>
      <c r="D385" s="539"/>
      <c r="E385" s="540"/>
      <c r="F385" s="539"/>
    </row>
    <row r="386" spans="1:8" x14ac:dyDescent="0.35">
      <c r="A386" s="544" t="s">
        <v>686</v>
      </c>
      <c r="B386" s="537" t="s">
        <v>557</v>
      </c>
      <c r="C386" s="538"/>
      <c r="D386" s="539"/>
      <c r="E386" s="540"/>
      <c r="F386" s="539"/>
    </row>
    <row r="387" spans="1:8" x14ac:dyDescent="0.35">
      <c r="A387" s="544" t="s">
        <v>687</v>
      </c>
      <c r="B387" s="537" t="s">
        <v>559</v>
      </c>
      <c r="C387" s="538"/>
      <c r="D387" s="539"/>
      <c r="E387" s="540"/>
      <c r="F387" s="539"/>
    </row>
    <row r="388" spans="1:8" x14ac:dyDescent="0.35">
      <c r="A388" s="544" t="s">
        <v>688</v>
      </c>
      <c r="B388" s="537" t="s">
        <v>561</v>
      </c>
      <c r="C388" s="538"/>
      <c r="D388" s="539"/>
      <c r="E388" s="540"/>
      <c r="F388" s="539"/>
    </row>
    <row r="389" spans="1:8" x14ac:dyDescent="0.35">
      <c r="A389" s="544" t="s">
        <v>689</v>
      </c>
      <c r="B389" s="537" t="s">
        <v>563</v>
      </c>
      <c r="C389" s="538"/>
      <c r="D389" s="539"/>
      <c r="E389" s="540"/>
      <c r="F389" s="539"/>
    </row>
    <row r="390" spans="1:8" x14ac:dyDescent="0.35">
      <c r="A390" s="544" t="s">
        <v>690</v>
      </c>
      <c r="B390" s="537" t="s">
        <v>565</v>
      </c>
      <c r="C390" s="538"/>
      <c r="D390" s="539"/>
      <c r="E390" s="540"/>
      <c r="F390" s="539"/>
    </row>
    <row r="391" spans="1:8" x14ac:dyDescent="0.35">
      <c r="A391" s="544" t="s">
        <v>691</v>
      </c>
      <c r="B391" s="537" t="s">
        <v>567</v>
      </c>
      <c r="C391" s="538"/>
      <c r="D391" s="539"/>
      <c r="E391" s="540"/>
      <c r="F391" s="539"/>
    </row>
    <row r="392" spans="1:8" x14ac:dyDescent="0.35">
      <c r="A392" s="544" t="s">
        <v>692</v>
      </c>
      <c r="B392" s="537" t="s">
        <v>569</v>
      </c>
      <c r="C392" s="538"/>
      <c r="D392" s="539"/>
      <c r="E392" s="540"/>
      <c r="F392" s="539"/>
    </row>
    <row r="393" spans="1:8" x14ac:dyDescent="0.35">
      <c r="A393" s="544" t="s">
        <v>693</v>
      </c>
      <c r="B393" s="537" t="s">
        <v>571</v>
      </c>
      <c r="C393" s="538"/>
      <c r="D393" s="539"/>
      <c r="E393" s="540"/>
      <c r="F393" s="539"/>
    </row>
    <row r="394" spans="1:8" x14ac:dyDescent="0.35">
      <c r="A394" s="544"/>
      <c r="B394" s="537" t="s">
        <v>2</v>
      </c>
      <c r="C394" s="538">
        <f>SUBTOTAL(109,IndexedLoanToValue1720[Principal Outstanding Balance])</f>
        <v>0</v>
      </c>
      <c r="D394" s="539">
        <f>SUBTOTAL(109,IndexedLoanToValue1720[% of Total (Amount)])</f>
        <v>0</v>
      </c>
      <c r="E394" s="540">
        <f>SUBTOTAL(109,IndexedLoanToValue1720[Nb of Loans])</f>
        <v>0</v>
      </c>
      <c r="F394" s="539">
        <f>SUBTOTAL(109,IndexedLoanToValue1720[% of Total (Amount)])</f>
        <v>0</v>
      </c>
    </row>
    <row r="395" spans="1:8" ht="15.65" customHeight="1" x14ac:dyDescent="0.35">
      <c r="A395" s="544"/>
      <c r="B395" s="537"/>
      <c r="C395" s="538"/>
      <c r="D395" s="539"/>
      <c r="E395" s="540"/>
      <c r="F395" s="539"/>
      <c r="H395" s="618" t="s">
        <v>1115</v>
      </c>
    </row>
    <row r="396" spans="1:8" hidden="1" x14ac:dyDescent="0.35">
      <c r="A396" s="544" t="s">
        <v>694</v>
      </c>
      <c r="B396" s="542" t="s">
        <v>368</v>
      </c>
      <c r="C396" s="543"/>
      <c r="D396" s="539"/>
      <c r="E396" s="540"/>
      <c r="F396" s="539"/>
    </row>
    <row r="397" spans="1:8" hidden="1" x14ac:dyDescent="0.35">
      <c r="A397" s="544" t="s">
        <v>695</v>
      </c>
      <c r="B397" s="542" t="s">
        <v>370</v>
      </c>
      <c r="C397" s="543"/>
      <c r="D397" s="539"/>
      <c r="E397" s="540"/>
      <c r="F397" s="539"/>
    </row>
    <row r="398" spans="1:8" hidden="1" x14ac:dyDescent="0.35">
      <c r="A398" s="544" t="s">
        <v>696</v>
      </c>
      <c r="B398" s="542" t="s">
        <v>372</v>
      </c>
      <c r="C398" s="543"/>
      <c r="D398" s="539"/>
      <c r="E398" s="540"/>
      <c r="F398" s="539"/>
    </row>
    <row r="399" spans="1:8" ht="15" customHeight="1" x14ac:dyDescent="0.35">
      <c r="A399" s="544"/>
      <c r="B399" s="535"/>
      <c r="C399" s="535"/>
    </row>
    <row r="400" spans="1:8" x14ac:dyDescent="0.35">
      <c r="A400" s="544"/>
      <c r="B400" s="534" t="s">
        <v>697</v>
      </c>
      <c r="C400" s="535"/>
    </row>
    <row r="401" spans="1:7" ht="15" customHeight="1" x14ac:dyDescent="0.35">
      <c r="A401" s="544"/>
      <c r="B401" s="535"/>
      <c r="C401" s="535"/>
    </row>
    <row r="402" spans="1:7" ht="33" customHeight="1" x14ac:dyDescent="0.35">
      <c r="A402" s="544"/>
      <c r="B402" s="525" t="s">
        <v>677</v>
      </c>
      <c r="C402" s="525" t="s">
        <v>281</v>
      </c>
      <c r="D402" s="525" t="s">
        <v>318</v>
      </c>
      <c r="E402" s="525" t="s">
        <v>319</v>
      </c>
      <c r="F402" s="525" t="s">
        <v>320</v>
      </c>
      <c r="G402" s="536"/>
    </row>
    <row r="403" spans="1:7" x14ac:dyDescent="0.35">
      <c r="A403" s="544" t="s">
        <v>698</v>
      </c>
      <c r="B403" s="537" t="s">
        <v>541</v>
      </c>
      <c r="C403" s="538"/>
      <c r="D403" s="539"/>
      <c r="E403" s="540"/>
      <c r="F403" s="539"/>
    </row>
    <row r="404" spans="1:7" x14ac:dyDescent="0.35">
      <c r="A404" s="544" t="s">
        <v>699</v>
      </c>
      <c r="B404" s="537" t="s">
        <v>543</v>
      </c>
      <c r="C404" s="538"/>
      <c r="D404" s="539"/>
      <c r="E404" s="540"/>
      <c r="F404" s="539"/>
    </row>
    <row r="405" spans="1:7" x14ac:dyDescent="0.35">
      <c r="A405" s="544" t="s">
        <v>700</v>
      </c>
      <c r="B405" s="537" t="s">
        <v>545</v>
      </c>
      <c r="C405" s="538"/>
      <c r="D405" s="539"/>
      <c r="E405" s="540"/>
      <c r="F405" s="539"/>
    </row>
    <row r="406" spans="1:7" x14ac:dyDescent="0.35">
      <c r="A406" s="544" t="s">
        <v>701</v>
      </c>
      <c r="B406" s="537" t="s">
        <v>547</v>
      </c>
      <c r="C406" s="538"/>
      <c r="D406" s="539"/>
      <c r="E406" s="540"/>
      <c r="F406" s="539"/>
    </row>
    <row r="407" spans="1:7" x14ac:dyDescent="0.35">
      <c r="A407" s="544" t="s">
        <v>702</v>
      </c>
      <c r="B407" s="537" t="s">
        <v>549</v>
      </c>
      <c r="C407" s="538"/>
      <c r="D407" s="539"/>
      <c r="E407" s="540"/>
      <c r="F407" s="539"/>
    </row>
    <row r="408" spans="1:7" x14ac:dyDescent="0.35">
      <c r="A408" s="544" t="s">
        <v>703</v>
      </c>
      <c r="B408" s="537" t="s">
        <v>551</v>
      </c>
      <c r="C408" s="538"/>
      <c r="D408" s="539"/>
      <c r="E408" s="540"/>
      <c r="F408" s="539"/>
    </row>
    <row r="409" spans="1:7" x14ac:dyDescent="0.35">
      <c r="A409" s="544" t="s">
        <v>704</v>
      </c>
      <c r="B409" s="537" t="s">
        <v>553</v>
      </c>
      <c r="C409" s="538"/>
      <c r="D409" s="539"/>
      <c r="E409" s="540"/>
      <c r="F409" s="539"/>
    </row>
    <row r="410" spans="1:7" x14ac:dyDescent="0.35">
      <c r="A410" s="544" t="s">
        <v>705</v>
      </c>
      <c r="B410" s="537" t="s">
        <v>555</v>
      </c>
      <c r="C410" s="538"/>
      <c r="D410" s="539"/>
      <c r="E410" s="540"/>
      <c r="F410" s="539"/>
    </row>
    <row r="411" spans="1:7" x14ac:dyDescent="0.35">
      <c r="A411" s="544" t="s">
        <v>706</v>
      </c>
      <c r="B411" s="537" t="s">
        <v>557</v>
      </c>
      <c r="C411" s="538"/>
      <c r="D411" s="539"/>
      <c r="E411" s="540"/>
      <c r="F411" s="539"/>
    </row>
    <row r="412" spans="1:7" x14ac:dyDescent="0.35">
      <c r="A412" s="544" t="s">
        <v>707</v>
      </c>
      <c r="B412" s="537" t="s">
        <v>559</v>
      </c>
      <c r="C412" s="538"/>
      <c r="D412" s="539"/>
      <c r="E412" s="540"/>
      <c r="F412" s="539"/>
    </row>
    <row r="413" spans="1:7" x14ac:dyDescent="0.35">
      <c r="A413" s="544" t="s">
        <v>708</v>
      </c>
      <c r="B413" s="537" t="s">
        <v>561</v>
      </c>
      <c r="C413" s="538"/>
      <c r="D413" s="539"/>
      <c r="E413" s="540"/>
      <c r="F413" s="539"/>
    </row>
    <row r="414" spans="1:7" x14ac:dyDescent="0.35">
      <c r="A414" s="544" t="s">
        <v>709</v>
      </c>
      <c r="B414" s="537" t="s">
        <v>563</v>
      </c>
      <c r="C414" s="538"/>
      <c r="D414" s="539"/>
      <c r="E414" s="540"/>
      <c r="F414" s="539"/>
    </row>
    <row r="415" spans="1:7" x14ac:dyDescent="0.35">
      <c r="A415" s="544" t="s">
        <v>710</v>
      </c>
      <c r="B415" s="537" t="s">
        <v>565</v>
      </c>
      <c r="C415" s="538"/>
      <c r="D415" s="539"/>
      <c r="E415" s="540"/>
      <c r="F415" s="539"/>
    </row>
    <row r="416" spans="1:7" x14ac:dyDescent="0.35">
      <c r="A416" s="544" t="s">
        <v>711</v>
      </c>
      <c r="B416" s="537" t="s">
        <v>567</v>
      </c>
      <c r="C416" s="538"/>
      <c r="D416" s="539"/>
      <c r="E416" s="540"/>
      <c r="F416" s="539"/>
    </row>
    <row r="417" spans="1:8" x14ac:dyDescent="0.35">
      <c r="A417" s="544" t="s">
        <v>712</v>
      </c>
      <c r="B417" s="537" t="s">
        <v>569</v>
      </c>
      <c r="C417" s="538"/>
      <c r="D417" s="539"/>
      <c r="E417" s="540"/>
      <c r="F417" s="539"/>
    </row>
    <row r="418" spans="1:8" x14ac:dyDescent="0.35">
      <c r="A418" s="544" t="s">
        <v>713</v>
      </c>
      <c r="B418" s="537" t="s">
        <v>571</v>
      </c>
      <c r="C418" s="538"/>
      <c r="D418" s="539"/>
      <c r="E418" s="540"/>
      <c r="F418" s="539"/>
    </row>
    <row r="419" spans="1:8" x14ac:dyDescent="0.35">
      <c r="A419" s="544"/>
      <c r="B419" s="537" t="s">
        <v>2</v>
      </c>
      <c r="C419" s="538">
        <f>SUBTOTAL(109,IndexedLoanToValueMort[Principal Outstanding Balance])</f>
        <v>0</v>
      </c>
      <c r="D419" s="539">
        <f>SUBTOTAL(109,IndexedLoanToValueMort[% of Total (Amount)])</f>
        <v>0</v>
      </c>
      <c r="E419" s="540">
        <f>SUBTOTAL(109,IndexedLoanToValueMort[Nb of Loans])</f>
        <v>0</v>
      </c>
      <c r="F419" s="539">
        <f>SUBTOTAL(109,IndexedLoanToValueMort[% of Total (Amount)])</f>
        <v>0</v>
      </c>
    </row>
    <row r="420" spans="1:8" x14ac:dyDescent="0.35">
      <c r="A420" s="544"/>
      <c r="B420" s="537"/>
      <c r="C420" s="538"/>
      <c r="D420" s="539"/>
      <c r="E420" s="540"/>
      <c r="F420" s="539"/>
      <c r="H420" s="618" t="s">
        <v>1115</v>
      </c>
    </row>
    <row r="421" spans="1:8" hidden="1" x14ac:dyDescent="0.35">
      <c r="A421" s="544" t="s">
        <v>714</v>
      </c>
      <c r="B421" s="542" t="s">
        <v>368</v>
      </c>
      <c r="C421" s="543"/>
      <c r="D421" s="539"/>
      <c r="E421" s="540"/>
      <c r="F421" s="539"/>
    </row>
    <row r="422" spans="1:8" hidden="1" x14ac:dyDescent="0.35">
      <c r="A422" s="544" t="s">
        <v>715</v>
      </c>
      <c r="B422" s="542" t="s">
        <v>370</v>
      </c>
      <c r="C422" s="543"/>
      <c r="D422" s="539"/>
      <c r="E422" s="540"/>
      <c r="F422" s="539"/>
    </row>
    <row r="423" spans="1:8" hidden="1" x14ac:dyDescent="0.35">
      <c r="A423" s="544" t="s">
        <v>716</v>
      </c>
      <c r="B423" s="542" t="s">
        <v>372</v>
      </c>
      <c r="C423" s="543"/>
      <c r="D423" s="539"/>
      <c r="E423" s="540"/>
      <c r="F423" s="539"/>
    </row>
    <row r="424" spans="1:8" ht="15" customHeight="1" x14ac:dyDescent="0.35">
      <c r="A424" s="544"/>
      <c r="B424" s="535"/>
      <c r="C424" s="535"/>
    </row>
    <row r="425" spans="1:8" x14ac:dyDescent="0.35">
      <c r="A425" s="544"/>
      <c r="B425" s="534" t="s">
        <v>717</v>
      </c>
      <c r="C425" s="535"/>
    </row>
    <row r="426" spans="1:8" ht="15" customHeight="1" x14ac:dyDescent="0.35">
      <c r="A426" s="544"/>
      <c r="B426" s="535"/>
      <c r="C426" s="535"/>
    </row>
    <row r="427" spans="1:8" ht="33" customHeight="1" x14ac:dyDescent="0.35">
      <c r="A427" s="544"/>
      <c r="B427" s="525" t="s">
        <v>677</v>
      </c>
      <c r="C427" s="525" t="s">
        <v>281</v>
      </c>
      <c r="D427" s="525" t="s">
        <v>318</v>
      </c>
      <c r="E427" s="525" t="s">
        <v>319</v>
      </c>
      <c r="F427" s="525" t="s">
        <v>320</v>
      </c>
      <c r="G427" s="536"/>
    </row>
    <row r="428" spans="1:8" x14ac:dyDescent="0.35">
      <c r="A428" s="544" t="s">
        <v>718</v>
      </c>
      <c r="B428" s="537" t="s">
        <v>541</v>
      </c>
      <c r="C428" s="538"/>
      <c r="D428" s="539"/>
      <c r="E428" s="540"/>
      <c r="F428" s="539"/>
    </row>
    <row r="429" spans="1:8" x14ac:dyDescent="0.35">
      <c r="A429" s="544" t="s">
        <v>719</v>
      </c>
      <c r="B429" s="537" t="s">
        <v>543</v>
      </c>
      <c r="C429" s="538"/>
      <c r="D429" s="539"/>
      <c r="E429" s="540"/>
      <c r="F429" s="539"/>
    </row>
    <row r="430" spans="1:8" x14ac:dyDescent="0.35">
      <c r="A430" s="544" t="s">
        <v>720</v>
      </c>
      <c r="B430" s="537" t="s">
        <v>545</v>
      </c>
      <c r="C430" s="538"/>
      <c r="D430" s="539"/>
      <c r="E430" s="540"/>
      <c r="F430" s="539"/>
    </row>
    <row r="431" spans="1:8" x14ac:dyDescent="0.35">
      <c r="A431" s="544" t="s">
        <v>721</v>
      </c>
      <c r="B431" s="537" t="s">
        <v>547</v>
      </c>
      <c r="C431" s="538"/>
      <c r="D431" s="539"/>
      <c r="E431" s="540"/>
      <c r="F431" s="539"/>
    </row>
    <row r="432" spans="1:8" x14ac:dyDescent="0.35">
      <c r="A432" s="544" t="s">
        <v>722</v>
      </c>
      <c r="B432" s="537" t="s">
        <v>549</v>
      </c>
      <c r="C432" s="538"/>
      <c r="D432" s="539"/>
      <c r="E432" s="540"/>
      <c r="F432" s="539"/>
    </row>
    <row r="433" spans="1:8" x14ac:dyDescent="0.35">
      <c r="A433" s="544" t="s">
        <v>723</v>
      </c>
      <c r="B433" s="537" t="s">
        <v>551</v>
      </c>
      <c r="C433" s="538"/>
      <c r="D433" s="539"/>
      <c r="E433" s="540"/>
      <c r="F433" s="539"/>
    </row>
    <row r="434" spans="1:8" x14ac:dyDescent="0.35">
      <c r="A434" s="544" t="s">
        <v>724</v>
      </c>
      <c r="B434" s="537" t="s">
        <v>553</v>
      </c>
      <c r="C434" s="538"/>
      <c r="D434" s="539"/>
      <c r="E434" s="540"/>
      <c r="F434" s="539"/>
    </row>
    <row r="435" spans="1:8" x14ac:dyDescent="0.35">
      <c r="A435" s="544" t="s">
        <v>725</v>
      </c>
      <c r="B435" s="537" t="s">
        <v>555</v>
      </c>
      <c r="C435" s="538"/>
      <c r="D435" s="539"/>
      <c r="E435" s="540"/>
      <c r="F435" s="539"/>
    </row>
    <row r="436" spans="1:8" x14ac:dyDescent="0.35">
      <c r="A436" s="544" t="s">
        <v>726</v>
      </c>
      <c r="B436" s="537" t="s">
        <v>557</v>
      </c>
      <c r="C436" s="538"/>
      <c r="D436" s="539"/>
      <c r="E436" s="540"/>
      <c r="F436" s="539"/>
    </row>
    <row r="437" spans="1:8" x14ac:dyDescent="0.35">
      <c r="A437" s="544" t="s">
        <v>727</v>
      </c>
      <c r="B437" s="537" t="s">
        <v>559</v>
      </c>
      <c r="C437" s="538"/>
      <c r="D437" s="539"/>
      <c r="E437" s="540"/>
      <c r="F437" s="539"/>
    </row>
    <row r="438" spans="1:8" x14ac:dyDescent="0.35">
      <c r="A438" s="544" t="s">
        <v>728</v>
      </c>
      <c r="B438" s="537" t="s">
        <v>561</v>
      </c>
      <c r="C438" s="538"/>
      <c r="D438" s="539"/>
      <c r="E438" s="540"/>
      <c r="F438" s="539"/>
    </row>
    <row r="439" spans="1:8" x14ac:dyDescent="0.35">
      <c r="A439" s="544" t="s">
        <v>729</v>
      </c>
      <c r="B439" s="537" t="s">
        <v>563</v>
      </c>
      <c r="C439" s="538"/>
      <c r="D439" s="539"/>
      <c r="E439" s="540"/>
      <c r="F439" s="539"/>
    </row>
    <row r="440" spans="1:8" x14ac:dyDescent="0.35">
      <c r="A440" s="544" t="s">
        <v>730</v>
      </c>
      <c r="B440" s="537" t="s">
        <v>565</v>
      </c>
      <c r="C440" s="538"/>
      <c r="D440" s="539"/>
      <c r="E440" s="540"/>
      <c r="F440" s="539"/>
    </row>
    <row r="441" spans="1:8" x14ac:dyDescent="0.35">
      <c r="A441" s="544" t="s">
        <v>731</v>
      </c>
      <c r="B441" s="537" t="s">
        <v>567</v>
      </c>
      <c r="C441" s="538"/>
      <c r="D441" s="539"/>
      <c r="E441" s="540"/>
      <c r="F441" s="539"/>
    </row>
    <row r="442" spans="1:8" x14ac:dyDescent="0.35">
      <c r="A442" s="544" t="s">
        <v>732</v>
      </c>
      <c r="B442" s="537" t="s">
        <v>569</v>
      </c>
      <c r="C442" s="538"/>
      <c r="D442" s="539"/>
      <c r="E442" s="540"/>
      <c r="F442" s="539"/>
    </row>
    <row r="443" spans="1:8" x14ac:dyDescent="0.35">
      <c r="A443" s="544" t="s">
        <v>733</v>
      </c>
      <c r="B443" s="537" t="s">
        <v>571</v>
      </c>
      <c r="C443" s="538"/>
      <c r="D443" s="539"/>
      <c r="E443" s="540"/>
      <c r="F443" s="539"/>
    </row>
    <row r="444" spans="1:8" x14ac:dyDescent="0.35">
      <c r="A444" s="544"/>
      <c r="B444" s="537" t="s">
        <v>2</v>
      </c>
      <c r="C444" s="538">
        <f>SUBTOTAL(109,IndexedLoanToValueGuaranteed[Principal Outstanding Balance])</f>
        <v>0</v>
      </c>
      <c r="D444" s="539">
        <f>SUBTOTAL(109,IndexedLoanToValueGuaranteed[% of Total (Amount)])</f>
        <v>0</v>
      </c>
      <c r="E444" s="540">
        <f>SUBTOTAL(109,IndexedLoanToValueGuaranteed[Nb of Loans])</f>
        <v>0</v>
      </c>
      <c r="F444" s="539">
        <f>SUBTOTAL(109,IndexedLoanToValueGuaranteed[% of Total (Amount)])</f>
        <v>0</v>
      </c>
    </row>
    <row r="445" spans="1:8" x14ac:dyDescent="0.35">
      <c r="A445" s="544"/>
      <c r="B445" s="537"/>
      <c r="C445" s="538"/>
      <c r="D445" s="539"/>
      <c r="E445" s="540"/>
      <c r="F445" s="539"/>
      <c r="H445" s="618" t="s">
        <v>1115</v>
      </c>
    </row>
    <row r="446" spans="1:8" hidden="1" x14ac:dyDescent="0.35">
      <c r="A446" s="544" t="s">
        <v>734</v>
      </c>
      <c r="B446" s="542" t="s">
        <v>368</v>
      </c>
      <c r="C446" s="543"/>
      <c r="D446" s="539"/>
      <c r="E446" s="540"/>
      <c r="F446" s="539"/>
    </row>
    <row r="447" spans="1:8" hidden="1" x14ac:dyDescent="0.35">
      <c r="A447" s="544" t="s">
        <v>735</v>
      </c>
      <c r="B447" s="542" t="s">
        <v>370</v>
      </c>
      <c r="C447" s="543"/>
      <c r="D447" s="539"/>
      <c r="E447" s="540"/>
      <c r="F447" s="539"/>
    </row>
    <row r="448" spans="1:8" hidden="1" x14ac:dyDescent="0.35">
      <c r="A448" s="544" t="s">
        <v>736</v>
      </c>
      <c r="B448" s="542" t="s">
        <v>372</v>
      </c>
      <c r="C448" s="543"/>
      <c r="D448" s="539"/>
      <c r="E448" s="540"/>
      <c r="F448" s="539"/>
    </row>
    <row r="449" spans="1:8" ht="15" customHeight="1" x14ac:dyDescent="0.35">
      <c r="A449" s="544"/>
      <c r="B449" s="535"/>
      <c r="C449" s="535"/>
    </row>
    <row r="450" spans="1:8" x14ac:dyDescent="0.35">
      <c r="A450" s="544"/>
      <c r="B450" s="535" t="s">
        <v>1104</v>
      </c>
      <c r="C450" s="535"/>
    </row>
    <row r="451" spans="1:8" ht="15" customHeight="1" x14ac:dyDescent="0.35">
      <c r="A451" s="544"/>
      <c r="B451" s="535"/>
      <c r="C451" s="535"/>
    </row>
    <row r="452" spans="1:8" ht="33" customHeight="1" x14ac:dyDescent="0.35">
      <c r="A452" s="544"/>
      <c r="B452" s="525" t="s">
        <v>737</v>
      </c>
      <c r="C452" s="525" t="s">
        <v>281</v>
      </c>
      <c r="D452" s="525" t="s">
        <v>318</v>
      </c>
      <c r="E452" s="525" t="s">
        <v>319</v>
      </c>
      <c r="F452" s="525" t="s">
        <v>320</v>
      </c>
      <c r="G452" s="536"/>
    </row>
    <row r="453" spans="1:8" x14ac:dyDescent="0.35">
      <c r="A453" s="544" t="s">
        <v>738</v>
      </c>
      <c r="B453" s="537" t="s">
        <v>739</v>
      </c>
      <c r="C453" s="538"/>
      <c r="D453" s="539"/>
      <c r="E453" s="540"/>
      <c r="F453" s="539"/>
    </row>
    <row r="454" spans="1:8" x14ac:dyDescent="0.35">
      <c r="A454" s="544" t="s">
        <v>740</v>
      </c>
      <c r="B454" s="537" t="s">
        <v>741</v>
      </c>
      <c r="C454" s="538"/>
      <c r="D454" s="539"/>
      <c r="E454" s="540"/>
      <c r="F454" s="539"/>
    </row>
    <row r="455" spans="1:8" x14ac:dyDescent="0.35">
      <c r="A455" s="544" t="s">
        <v>742</v>
      </c>
      <c r="B455" s="537" t="s">
        <v>743</v>
      </c>
      <c r="C455" s="538"/>
      <c r="D455" s="539"/>
      <c r="E455" s="540"/>
      <c r="F455" s="539"/>
    </row>
    <row r="456" spans="1:8" x14ac:dyDescent="0.35">
      <c r="A456" s="544" t="s">
        <v>744</v>
      </c>
      <c r="B456" s="537" t="s">
        <v>745</v>
      </c>
      <c r="C456" s="538"/>
      <c r="D456" s="539"/>
      <c r="E456" s="540"/>
      <c r="F456" s="539"/>
    </row>
    <row r="457" spans="1:8" ht="28" x14ac:dyDescent="0.35">
      <c r="A457" s="544" t="s">
        <v>746</v>
      </c>
      <c r="B457" s="537" t="s">
        <v>747</v>
      </c>
      <c r="C457" s="538"/>
      <c r="D457" s="539"/>
      <c r="E457" s="540"/>
      <c r="F457" s="539"/>
    </row>
    <row r="458" spans="1:8" ht="42" x14ac:dyDescent="0.35">
      <c r="A458" s="544" t="s">
        <v>748</v>
      </c>
      <c r="B458" s="537" t="s">
        <v>749</v>
      </c>
      <c r="C458" s="538"/>
      <c r="D458" s="539"/>
      <c r="E458" s="540"/>
      <c r="F458" s="539"/>
    </row>
    <row r="459" spans="1:8" x14ac:dyDescent="0.35">
      <c r="A459" s="544" t="s">
        <v>750</v>
      </c>
      <c r="B459" s="537" t="s">
        <v>751</v>
      </c>
      <c r="C459" s="538"/>
      <c r="D459" s="539"/>
      <c r="E459" s="540"/>
      <c r="F459" s="539"/>
    </row>
    <row r="460" spans="1:8" x14ac:dyDescent="0.35">
      <c r="A460" s="544" t="s">
        <v>752</v>
      </c>
      <c r="B460" s="537" t="s">
        <v>753</v>
      </c>
      <c r="C460" s="538"/>
      <c r="D460" s="539"/>
      <c r="E460" s="540"/>
      <c r="F460" s="539"/>
    </row>
    <row r="461" spans="1:8" x14ac:dyDescent="0.35">
      <c r="A461" s="544" t="s">
        <v>754</v>
      </c>
      <c r="B461" s="537" t="s">
        <v>534</v>
      </c>
      <c r="C461" s="538"/>
      <c r="D461" s="539"/>
      <c r="E461" s="540"/>
      <c r="F461" s="539"/>
    </row>
    <row r="462" spans="1:8" x14ac:dyDescent="0.35">
      <c r="A462" s="544"/>
      <c r="B462" s="537" t="s">
        <v>2</v>
      </c>
      <c r="C462" s="538">
        <f>SUBTOTAL(109,PropertyType[Principal Outstanding Balance])</f>
        <v>0</v>
      </c>
      <c r="D462" s="539">
        <f>SUBTOTAL(109,PropertyType[% of Total (Amount)])</f>
        <v>0</v>
      </c>
      <c r="E462" s="540">
        <f>SUBTOTAL(109,PropertyType[Nb of Loans])</f>
        <v>0</v>
      </c>
      <c r="F462" s="539">
        <f>SUBTOTAL(109,PropertyType[% of Total (Amount)])</f>
        <v>0</v>
      </c>
    </row>
    <row r="463" spans="1:8" x14ac:dyDescent="0.35">
      <c r="A463" s="544"/>
      <c r="B463" s="537"/>
      <c r="C463" s="538"/>
      <c r="D463" s="539"/>
      <c r="E463" s="540"/>
      <c r="F463" s="539"/>
      <c r="H463" s="618" t="s">
        <v>1115</v>
      </c>
    </row>
    <row r="464" spans="1:8" hidden="1" x14ac:dyDescent="0.35">
      <c r="A464" s="544" t="s">
        <v>755</v>
      </c>
      <c r="B464" s="542" t="s">
        <v>368</v>
      </c>
      <c r="C464" s="543"/>
      <c r="D464" s="539"/>
      <c r="E464" s="540"/>
      <c r="F464" s="539"/>
    </row>
    <row r="465" spans="1:7" hidden="1" x14ac:dyDescent="0.35">
      <c r="A465" s="544" t="s">
        <v>756</v>
      </c>
      <c r="B465" s="542" t="s">
        <v>370</v>
      </c>
      <c r="C465" s="543"/>
      <c r="D465" s="539"/>
      <c r="E465" s="540"/>
      <c r="F465" s="539"/>
    </row>
    <row r="466" spans="1:7" hidden="1" x14ac:dyDescent="0.35">
      <c r="A466" s="544" t="s">
        <v>757</v>
      </c>
      <c r="B466" s="542" t="s">
        <v>372</v>
      </c>
      <c r="C466" s="543"/>
      <c r="D466" s="539"/>
      <c r="E466" s="540"/>
      <c r="F466" s="539"/>
    </row>
    <row r="467" spans="1:7" ht="15" customHeight="1" x14ac:dyDescent="0.35">
      <c r="A467" s="544"/>
      <c r="B467" s="535"/>
      <c r="C467" s="535"/>
    </row>
    <row r="468" spans="1:7" x14ac:dyDescent="0.35">
      <c r="A468" s="544"/>
      <c r="B468" s="535" t="s">
        <v>1105</v>
      </c>
      <c r="C468" s="535"/>
    </row>
    <row r="469" spans="1:7" ht="15" customHeight="1" x14ac:dyDescent="0.35">
      <c r="A469" s="544"/>
      <c r="B469" s="535"/>
      <c r="C469" s="535"/>
    </row>
    <row r="470" spans="1:7" ht="33" customHeight="1" x14ac:dyDescent="0.35">
      <c r="A470" s="544"/>
      <c r="B470" s="525" t="s">
        <v>758</v>
      </c>
      <c r="C470" s="525" t="s">
        <v>281</v>
      </c>
      <c r="D470" s="525" t="s">
        <v>318</v>
      </c>
      <c r="E470" s="525" t="s">
        <v>319</v>
      </c>
      <c r="F470" s="525" t="s">
        <v>320</v>
      </c>
      <c r="G470" s="536"/>
    </row>
    <row r="471" spans="1:7" x14ac:dyDescent="0.35">
      <c r="A471" s="544" t="s">
        <v>759</v>
      </c>
      <c r="B471" s="537" t="s">
        <v>760</v>
      </c>
      <c r="C471" s="538"/>
      <c r="D471" s="539"/>
      <c r="E471" s="540"/>
      <c r="F471" s="539"/>
    </row>
    <row r="472" spans="1:7" x14ac:dyDescent="0.35">
      <c r="A472" s="544" t="s">
        <v>761</v>
      </c>
      <c r="B472" s="537" t="s">
        <v>762</v>
      </c>
      <c r="C472" s="538"/>
      <c r="D472" s="539"/>
      <c r="E472" s="540"/>
      <c r="F472" s="539"/>
    </row>
    <row r="473" spans="1:7" x14ac:dyDescent="0.35">
      <c r="A473" s="544" t="s">
        <v>763</v>
      </c>
      <c r="B473" s="537" t="s">
        <v>764</v>
      </c>
      <c r="C473" s="538"/>
      <c r="D473" s="539"/>
      <c r="E473" s="540"/>
      <c r="F473" s="539"/>
    </row>
    <row r="474" spans="1:7" x14ac:dyDescent="0.35">
      <c r="A474" s="544" t="s">
        <v>765</v>
      </c>
      <c r="B474" s="537" t="s">
        <v>766</v>
      </c>
      <c r="C474" s="538"/>
      <c r="D474" s="539"/>
      <c r="E474" s="540"/>
      <c r="F474" s="539"/>
    </row>
    <row r="475" spans="1:7" ht="28" x14ac:dyDescent="0.35">
      <c r="A475" s="544" t="s">
        <v>767</v>
      </c>
      <c r="B475" s="537" t="s">
        <v>768</v>
      </c>
      <c r="C475" s="538"/>
      <c r="D475" s="539"/>
      <c r="E475" s="540"/>
      <c r="F475" s="539"/>
    </row>
    <row r="476" spans="1:7" ht="28" x14ac:dyDescent="0.35">
      <c r="A476" s="544" t="s">
        <v>769</v>
      </c>
      <c r="B476" s="537" t="s">
        <v>770</v>
      </c>
      <c r="C476" s="538"/>
      <c r="D476" s="539"/>
      <c r="E476" s="540"/>
      <c r="F476" s="539"/>
    </row>
    <row r="477" spans="1:7" x14ac:dyDescent="0.35">
      <c r="A477" s="544" t="s">
        <v>771</v>
      </c>
      <c r="B477" s="537" t="s">
        <v>772</v>
      </c>
      <c r="C477" s="538"/>
      <c r="D477" s="539"/>
      <c r="E477" s="540"/>
      <c r="F477" s="539"/>
    </row>
    <row r="478" spans="1:7" x14ac:dyDescent="0.35">
      <c r="A478" s="544" t="s">
        <v>773</v>
      </c>
      <c r="B478" s="537" t="s">
        <v>118</v>
      </c>
      <c r="C478" s="538"/>
      <c r="D478" s="539"/>
      <c r="E478" s="540"/>
      <c r="F478" s="539"/>
    </row>
    <row r="479" spans="1:7" x14ac:dyDescent="0.35">
      <c r="A479" s="544" t="s">
        <v>774</v>
      </c>
      <c r="B479" s="537" t="s">
        <v>775</v>
      </c>
      <c r="C479" s="538"/>
      <c r="D479" s="539"/>
      <c r="E479" s="540"/>
      <c r="F479" s="539"/>
    </row>
    <row r="480" spans="1:7" x14ac:dyDescent="0.35">
      <c r="A480" s="544" t="s">
        <v>776</v>
      </c>
      <c r="B480" s="537" t="s">
        <v>777</v>
      </c>
      <c r="C480" s="538"/>
      <c r="D480" s="539"/>
      <c r="E480" s="540"/>
      <c r="F480" s="539"/>
    </row>
    <row r="481" spans="1:8" x14ac:dyDescent="0.35">
      <c r="A481" s="544" t="s">
        <v>778</v>
      </c>
      <c r="B481" s="537" t="s">
        <v>779</v>
      </c>
      <c r="C481" s="538"/>
      <c r="D481" s="539"/>
      <c r="E481" s="540"/>
      <c r="F481" s="539"/>
    </row>
    <row r="482" spans="1:8" x14ac:dyDescent="0.35">
      <c r="A482" s="544" t="s">
        <v>780</v>
      </c>
      <c r="B482" s="537" t="s">
        <v>781</v>
      </c>
      <c r="C482" s="538"/>
      <c r="D482" s="539"/>
      <c r="E482" s="540"/>
      <c r="F482" s="539"/>
    </row>
    <row r="483" spans="1:8" x14ac:dyDescent="0.35">
      <c r="A483" s="544" t="s">
        <v>782</v>
      </c>
      <c r="B483" s="537" t="s">
        <v>783</v>
      </c>
      <c r="C483" s="538"/>
      <c r="D483" s="539"/>
      <c r="E483" s="540"/>
      <c r="F483" s="539"/>
    </row>
    <row r="484" spans="1:8" x14ac:dyDescent="0.35">
      <c r="A484" s="544" t="s">
        <v>784</v>
      </c>
      <c r="B484" s="537" t="s">
        <v>785</v>
      </c>
      <c r="C484" s="538"/>
      <c r="D484" s="539"/>
      <c r="E484" s="540"/>
      <c r="F484" s="539"/>
    </row>
    <row r="485" spans="1:8" x14ac:dyDescent="0.35">
      <c r="A485" s="544" t="s">
        <v>786</v>
      </c>
      <c r="B485" s="537" t="s">
        <v>534</v>
      </c>
      <c r="C485" s="538"/>
      <c r="D485" s="539"/>
      <c r="E485" s="540"/>
      <c r="F485" s="539"/>
    </row>
    <row r="486" spans="1:8" x14ac:dyDescent="0.35">
      <c r="A486" s="544"/>
      <c r="B486" s="537" t="s">
        <v>2</v>
      </c>
      <c r="C486" s="538">
        <f>SUBTOTAL(109,AccountStatus[Principal Outstanding Balance])</f>
        <v>0</v>
      </c>
      <c r="D486" s="539">
        <f>SUBTOTAL(109,AccountStatus[% of Total (Amount)])</f>
        <v>0</v>
      </c>
      <c r="E486" s="540">
        <f>SUBTOTAL(109,AccountStatus[Nb of Loans])</f>
        <v>0</v>
      </c>
      <c r="F486" s="539">
        <f>SUBTOTAL(109,AccountStatus[% of Total (Amount)])</f>
        <v>0</v>
      </c>
    </row>
    <row r="487" spans="1:8" x14ac:dyDescent="0.35">
      <c r="A487" s="544"/>
      <c r="B487" s="537"/>
      <c r="C487" s="538"/>
      <c r="D487" s="539"/>
      <c r="E487" s="540"/>
      <c r="F487" s="539"/>
      <c r="H487" s="618" t="s">
        <v>1115</v>
      </c>
    </row>
    <row r="488" spans="1:8" hidden="1" x14ac:dyDescent="0.35">
      <c r="A488" s="544" t="s">
        <v>787</v>
      </c>
      <c r="B488" s="542" t="s">
        <v>368</v>
      </c>
      <c r="C488" s="543"/>
      <c r="D488" s="539"/>
      <c r="E488" s="540"/>
      <c r="F488" s="539"/>
    </row>
    <row r="489" spans="1:8" hidden="1" x14ac:dyDescent="0.35">
      <c r="A489" s="544" t="s">
        <v>788</v>
      </c>
      <c r="B489" s="542" t="s">
        <v>370</v>
      </c>
      <c r="C489" s="543"/>
      <c r="D489" s="539"/>
      <c r="E489" s="540"/>
      <c r="F489" s="539"/>
    </row>
    <row r="490" spans="1:8" hidden="1" x14ac:dyDescent="0.35">
      <c r="A490" s="544" t="s">
        <v>789</v>
      </c>
      <c r="B490" s="542" t="s">
        <v>372</v>
      </c>
      <c r="C490" s="543"/>
      <c r="D490" s="539"/>
      <c r="E490" s="540"/>
      <c r="F490" s="539"/>
    </row>
    <row r="491" spans="1:8" ht="15" customHeight="1" x14ac:dyDescent="0.35">
      <c r="A491" s="544"/>
      <c r="B491" s="535"/>
      <c r="C491" s="535"/>
    </row>
    <row r="492" spans="1:8" x14ac:dyDescent="0.35">
      <c r="A492" s="544"/>
      <c r="B492" s="535" t="s">
        <v>1106</v>
      </c>
      <c r="C492" s="535"/>
    </row>
    <row r="493" spans="1:8" ht="15" customHeight="1" x14ac:dyDescent="0.35">
      <c r="A493" s="544"/>
      <c r="B493" s="535"/>
      <c r="C493" s="535"/>
    </row>
    <row r="494" spans="1:8" ht="33" customHeight="1" x14ac:dyDescent="0.35">
      <c r="A494" s="544"/>
      <c r="B494" s="525" t="s">
        <v>790</v>
      </c>
      <c r="C494" s="525" t="s">
        <v>281</v>
      </c>
      <c r="D494" s="525" t="s">
        <v>318</v>
      </c>
      <c r="E494" s="525" t="s">
        <v>319</v>
      </c>
      <c r="F494" s="525" t="s">
        <v>320</v>
      </c>
      <c r="G494" s="536"/>
    </row>
    <row r="495" spans="1:8" x14ac:dyDescent="0.35">
      <c r="A495" s="544" t="s">
        <v>791</v>
      </c>
      <c r="B495" s="537" t="s">
        <v>792</v>
      </c>
      <c r="C495" s="538"/>
      <c r="D495" s="539"/>
      <c r="E495" s="540"/>
      <c r="F495" s="539"/>
    </row>
    <row r="496" spans="1:8" x14ac:dyDescent="0.35">
      <c r="A496" s="544" t="s">
        <v>793</v>
      </c>
      <c r="B496" s="537" t="s">
        <v>794</v>
      </c>
      <c r="C496" s="538"/>
      <c r="D496" s="539"/>
      <c r="E496" s="540"/>
      <c r="F496" s="539"/>
    </row>
    <row r="497" spans="1:7" x14ac:dyDescent="0.35">
      <c r="A497" s="544" t="s">
        <v>795</v>
      </c>
      <c r="B497" s="537" t="s">
        <v>796</v>
      </c>
      <c r="C497" s="538"/>
      <c r="D497" s="539"/>
      <c r="E497" s="540"/>
      <c r="F497" s="539"/>
    </row>
    <row r="498" spans="1:7" x14ac:dyDescent="0.35">
      <c r="A498" s="544" t="s">
        <v>797</v>
      </c>
      <c r="B498" s="537" t="s">
        <v>798</v>
      </c>
      <c r="C498" s="538"/>
      <c r="D498" s="539"/>
      <c r="E498" s="540"/>
      <c r="F498" s="539"/>
    </row>
    <row r="499" spans="1:7" x14ac:dyDescent="0.35">
      <c r="A499" s="544" t="s">
        <v>799</v>
      </c>
      <c r="B499" s="537" t="s">
        <v>534</v>
      </c>
      <c r="C499" s="538"/>
      <c r="D499" s="539"/>
      <c r="E499" s="540"/>
      <c r="F499" s="539"/>
    </row>
    <row r="500" spans="1:7" x14ac:dyDescent="0.35">
      <c r="A500" s="544"/>
      <c r="B500" s="537" t="s">
        <v>2</v>
      </c>
      <c r="C500" s="538">
        <f>SUBTOTAL(109,PaymentFrequency[Principal Outstanding Balance])</f>
        <v>0</v>
      </c>
      <c r="D500" s="539">
        <f>SUBTOTAL(109,PaymentFrequency[% of Total (Amount)])</f>
        <v>0</v>
      </c>
      <c r="E500" s="540">
        <f>SUBTOTAL(109,PaymentFrequency[Nb of Loans])</f>
        <v>0</v>
      </c>
      <c r="F500" s="539">
        <f>SUBTOTAL(109,PaymentFrequency[% of Total (Amount)])</f>
        <v>0</v>
      </c>
    </row>
    <row r="501" spans="1:7" x14ac:dyDescent="0.35">
      <c r="A501" s="544"/>
      <c r="B501" s="537"/>
      <c r="C501" s="538"/>
      <c r="D501" s="539"/>
      <c r="E501" s="540"/>
      <c r="F501" s="539"/>
    </row>
    <row r="502" spans="1:7" hidden="1" x14ac:dyDescent="0.35">
      <c r="A502" s="544" t="s">
        <v>800</v>
      </c>
      <c r="B502" s="542" t="s">
        <v>368</v>
      </c>
      <c r="C502" s="543"/>
      <c r="D502" s="539"/>
      <c r="E502" s="540"/>
      <c r="F502" s="539"/>
    </row>
    <row r="503" spans="1:7" hidden="1" x14ac:dyDescent="0.35">
      <c r="A503" s="544" t="s">
        <v>801</v>
      </c>
      <c r="B503" s="542" t="s">
        <v>370</v>
      </c>
      <c r="C503" s="543"/>
      <c r="D503" s="539"/>
      <c r="E503" s="540"/>
      <c r="F503" s="539"/>
    </row>
    <row r="504" spans="1:7" hidden="1" x14ac:dyDescent="0.35">
      <c r="A504" s="544" t="s">
        <v>802</v>
      </c>
      <c r="B504" s="542" t="s">
        <v>372</v>
      </c>
      <c r="C504" s="543"/>
      <c r="D504" s="539"/>
      <c r="E504" s="540"/>
      <c r="F504" s="539"/>
    </row>
    <row r="505" spans="1:7" ht="15" customHeight="1" x14ac:dyDescent="0.35">
      <c r="A505" s="544"/>
      <c r="B505" s="535"/>
      <c r="C505" s="535"/>
    </row>
    <row r="506" spans="1:7" x14ac:dyDescent="0.35">
      <c r="A506" s="544"/>
      <c r="B506" s="535" t="s">
        <v>1107</v>
      </c>
      <c r="C506" s="535"/>
    </row>
    <row r="507" spans="1:7" ht="15" customHeight="1" x14ac:dyDescent="0.35">
      <c r="A507" s="544"/>
      <c r="B507" s="535"/>
      <c r="C507" s="535"/>
    </row>
    <row r="508" spans="1:7" ht="33" customHeight="1" x14ac:dyDescent="0.35">
      <c r="A508" s="544"/>
      <c r="B508" s="525" t="s">
        <v>803</v>
      </c>
      <c r="C508" s="525" t="s">
        <v>281</v>
      </c>
      <c r="D508" s="525" t="s">
        <v>318</v>
      </c>
      <c r="E508" s="525" t="s">
        <v>319</v>
      </c>
      <c r="F508" s="525" t="s">
        <v>320</v>
      </c>
      <c r="G508" s="536"/>
    </row>
    <row r="509" spans="1:7" x14ac:dyDescent="0.35">
      <c r="A509" s="544" t="s">
        <v>804</v>
      </c>
      <c r="B509" s="537" t="s">
        <v>805</v>
      </c>
      <c r="C509" s="538"/>
      <c r="D509" s="539"/>
      <c r="E509" s="540"/>
      <c r="F509" s="539"/>
    </row>
    <row r="510" spans="1:7" x14ac:dyDescent="0.35">
      <c r="A510" s="544" t="s">
        <v>806</v>
      </c>
      <c r="B510" s="537" t="s">
        <v>807</v>
      </c>
      <c r="C510" s="538"/>
      <c r="D510" s="539"/>
      <c r="E510" s="540"/>
      <c r="F510" s="539"/>
    </row>
    <row r="511" spans="1:7" x14ac:dyDescent="0.35">
      <c r="A511" s="544" t="s">
        <v>808</v>
      </c>
      <c r="B511" s="537" t="s">
        <v>809</v>
      </c>
      <c r="C511" s="538"/>
      <c r="D511" s="539"/>
      <c r="E511" s="540"/>
      <c r="F511" s="539"/>
    </row>
    <row r="512" spans="1:7" x14ac:dyDescent="0.35">
      <c r="A512" s="544" t="s">
        <v>810</v>
      </c>
      <c r="B512" s="537" t="s">
        <v>811</v>
      </c>
      <c r="C512" s="538"/>
      <c r="D512" s="539"/>
      <c r="E512" s="540"/>
      <c r="F512" s="539"/>
    </row>
    <row r="513" spans="1:8" x14ac:dyDescent="0.35">
      <c r="A513" s="544" t="s">
        <v>812</v>
      </c>
      <c r="B513" s="537" t="s">
        <v>813</v>
      </c>
      <c r="C513" s="538"/>
      <c r="D513" s="539"/>
      <c r="E513" s="540"/>
      <c r="F513" s="539"/>
    </row>
    <row r="514" spans="1:8" x14ac:dyDescent="0.35">
      <c r="A514" s="544" t="s">
        <v>814</v>
      </c>
      <c r="B514" s="537" t="s">
        <v>815</v>
      </c>
      <c r="C514" s="538"/>
      <c r="D514" s="539"/>
      <c r="E514" s="540"/>
      <c r="F514" s="539"/>
    </row>
    <row r="515" spans="1:8" x14ac:dyDescent="0.35">
      <c r="A515" s="544" t="s">
        <v>816</v>
      </c>
      <c r="B515" s="537" t="s">
        <v>817</v>
      </c>
      <c r="C515" s="538"/>
      <c r="D515" s="539"/>
      <c r="E515" s="540"/>
      <c r="F515" s="539"/>
    </row>
    <row r="516" spans="1:8" x14ac:dyDescent="0.35">
      <c r="A516" s="544" t="s">
        <v>818</v>
      </c>
      <c r="B516" s="537" t="s">
        <v>819</v>
      </c>
      <c r="C516" s="538"/>
      <c r="D516" s="539"/>
      <c r="E516" s="540"/>
      <c r="F516" s="539"/>
    </row>
    <row r="517" spans="1:8" x14ac:dyDescent="0.35">
      <c r="A517" s="544" t="s">
        <v>820</v>
      </c>
      <c r="B517" s="537" t="s">
        <v>534</v>
      </c>
      <c r="C517" s="538"/>
      <c r="D517" s="539"/>
      <c r="E517" s="540"/>
      <c r="F517" s="539"/>
    </row>
    <row r="518" spans="1:8" x14ac:dyDescent="0.35">
      <c r="A518" s="544"/>
      <c r="B518" s="537" t="s">
        <v>2</v>
      </c>
      <c r="C518" s="538">
        <f>SUBTOTAL(109,EmploymentType[Principal Outstanding Balance])</f>
        <v>0</v>
      </c>
      <c r="D518" s="539">
        <f>SUBTOTAL(109,EmploymentType[% of Total (Amount)])</f>
        <v>0</v>
      </c>
      <c r="E518" s="540">
        <f>SUBTOTAL(109,EmploymentType[Nb of Loans])</f>
        <v>0</v>
      </c>
      <c r="F518" s="539">
        <f>SUBTOTAL(109,EmploymentType[% of Total (Amount)])</f>
        <v>0</v>
      </c>
    </row>
    <row r="519" spans="1:8" x14ac:dyDescent="0.35">
      <c r="A519" s="544"/>
      <c r="B519" s="537"/>
      <c r="C519" s="538"/>
      <c r="D519" s="539"/>
      <c r="E519" s="540"/>
      <c r="F519" s="539"/>
      <c r="H519" s="618" t="s">
        <v>1115</v>
      </c>
    </row>
    <row r="520" spans="1:8" hidden="1" x14ac:dyDescent="0.35">
      <c r="A520" s="544" t="s">
        <v>821</v>
      </c>
      <c r="B520" s="542" t="s">
        <v>368</v>
      </c>
      <c r="C520" s="543"/>
      <c r="D520" s="539"/>
      <c r="E520" s="540"/>
      <c r="F520" s="539"/>
    </row>
    <row r="521" spans="1:8" hidden="1" x14ac:dyDescent="0.35">
      <c r="A521" s="544" t="s">
        <v>822</v>
      </c>
      <c r="B521" s="542" t="s">
        <v>370</v>
      </c>
      <c r="C521" s="543"/>
      <c r="D521" s="539"/>
      <c r="E521" s="540"/>
      <c r="F521" s="539"/>
    </row>
    <row r="522" spans="1:8" hidden="1" x14ac:dyDescent="0.35">
      <c r="A522" s="544" t="s">
        <v>823</v>
      </c>
      <c r="B522" s="542" t="s">
        <v>372</v>
      </c>
      <c r="C522" s="543"/>
      <c r="D522" s="539"/>
      <c r="E522" s="540"/>
      <c r="F522" s="539"/>
    </row>
    <row r="523" spans="1:8" ht="15" customHeight="1" x14ac:dyDescent="0.35">
      <c r="A523" s="544"/>
      <c r="B523" s="535"/>
      <c r="C523" s="535"/>
    </row>
    <row r="524" spans="1:8" x14ac:dyDescent="0.35">
      <c r="A524" s="544"/>
      <c r="B524" s="535" t="s">
        <v>1108</v>
      </c>
      <c r="C524" s="535"/>
    </row>
    <row r="525" spans="1:8" ht="15" customHeight="1" x14ac:dyDescent="0.35">
      <c r="A525" s="544"/>
      <c r="B525" s="535"/>
      <c r="C525" s="535"/>
    </row>
    <row r="526" spans="1:8" ht="33" customHeight="1" x14ac:dyDescent="0.35">
      <c r="A526" s="544"/>
      <c r="B526" s="525" t="s">
        <v>824</v>
      </c>
      <c r="C526" s="525" t="s">
        <v>281</v>
      </c>
      <c r="D526" s="525" t="s">
        <v>318</v>
      </c>
      <c r="E526" s="525" t="s">
        <v>319</v>
      </c>
      <c r="F526" s="525" t="s">
        <v>320</v>
      </c>
      <c r="G526" s="536"/>
    </row>
    <row r="527" spans="1:8" x14ac:dyDescent="0.35">
      <c r="A527" s="544" t="s">
        <v>825</v>
      </c>
      <c r="B527" s="537" t="s">
        <v>826</v>
      </c>
      <c r="C527" s="538"/>
      <c r="D527" s="539"/>
      <c r="E527" s="540"/>
      <c r="F527" s="539"/>
    </row>
    <row r="528" spans="1:8" x14ac:dyDescent="0.35">
      <c r="A528" s="544" t="s">
        <v>827</v>
      </c>
      <c r="B528" s="537" t="s">
        <v>828</v>
      </c>
      <c r="C528" s="538"/>
      <c r="D528" s="539"/>
      <c r="E528" s="540"/>
      <c r="F528" s="539"/>
    </row>
    <row r="529" spans="1:6" x14ac:dyDescent="0.35">
      <c r="A529" s="544" t="s">
        <v>829</v>
      </c>
      <c r="B529" s="537" t="s">
        <v>830</v>
      </c>
      <c r="C529" s="538"/>
      <c r="D529" s="539"/>
      <c r="E529" s="540"/>
      <c r="F529" s="539"/>
    </row>
    <row r="530" spans="1:6" x14ac:dyDescent="0.35">
      <c r="A530" s="544" t="s">
        <v>831</v>
      </c>
      <c r="B530" s="537" t="s">
        <v>832</v>
      </c>
      <c r="C530" s="538"/>
      <c r="D530" s="539"/>
      <c r="E530" s="540"/>
      <c r="F530" s="539"/>
    </row>
    <row r="531" spans="1:6" x14ac:dyDescent="0.35">
      <c r="A531" s="544" t="s">
        <v>833</v>
      </c>
      <c r="B531" s="537" t="s">
        <v>834</v>
      </c>
      <c r="C531" s="538"/>
      <c r="D531" s="539"/>
      <c r="E531" s="540"/>
      <c r="F531" s="539"/>
    </row>
    <row r="532" spans="1:6" x14ac:dyDescent="0.35">
      <c r="A532" s="544" t="s">
        <v>835</v>
      </c>
      <c r="B532" s="537" t="s">
        <v>836</v>
      </c>
      <c r="C532" s="538"/>
      <c r="D532" s="539"/>
      <c r="E532" s="540"/>
      <c r="F532" s="539"/>
    </row>
    <row r="533" spans="1:6" x14ac:dyDescent="0.35">
      <c r="A533" s="544" t="s">
        <v>837</v>
      </c>
      <c r="B533" s="537" t="s">
        <v>838</v>
      </c>
      <c r="C533" s="538"/>
      <c r="D533" s="539"/>
      <c r="E533" s="540"/>
      <c r="F533" s="539"/>
    </row>
    <row r="534" spans="1:6" x14ac:dyDescent="0.35">
      <c r="A534" s="544" t="s">
        <v>839</v>
      </c>
      <c r="B534" s="537" t="s">
        <v>840</v>
      </c>
      <c r="C534" s="538"/>
      <c r="D534" s="539"/>
      <c r="E534" s="540"/>
      <c r="F534" s="539"/>
    </row>
    <row r="535" spans="1:6" x14ac:dyDescent="0.35">
      <c r="A535" s="544" t="s">
        <v>841</v>
      </c>
      <c r="B535" s="537" t="s">
        <v>842</v>
      </c>
      <c r="C535" s="538"/>
      <c r="D535" s="539"/>
      <c r="E535" s="540"/>
      <c r="F535" s="539"/>
    </row>
    <row r="536" spans="1:6" x14ac:dyDescent="0.35">
      <c r="A536" s="544" t="s">
        <v>843</v>
      </c>
      <c r="B536" s="537" t="s">
        <v>844</v>
      </c>
      <c r="C536" s="538"/>
      <c r="D536" s="539"/>
      <c r="E536" s="540"/>
      <c r="F536" s="539"/>
    </row>
    <row r="537" spans="1:6" x14ac:dyDescent="0.35">
      <c r="A537" s="544" t="s">
        <v>845</v>
      </c>
      <c r="B537" s="537" t="s">
        <v>1344</v>
      </c>
      <c r="C537" s="538"/>
      <c r="D537" s="866"/>
      <c r="E537" s="867"/>
      <c r="F537" s="866"/>
    </row>
    <row r="538" spans="1:6" x14ac:dyDescent="0.35">
      <c r="A538" s="544" t="s">
        <v>847</v>
      </c>
      <c r="B538" s="537" t="s">
        <v>846</v>
      </c>
      <c r="C538" s="538"/>
      <c r="D538" s="539"/>
      <c r="E538" s="540"/>
      <c r="F538" s="539"/>
    </row>
    <row r="539" spans="1:6" x14ac:dyDescent="0.35">
      <c r="A539" s="544" t="s">
        <v>849</v>
      </c>
      <c r="B539" s="537" t="s">
        <v>848</v>
      </c>
      <c r="C539" s="538"/>
      <c r="D539" s="539"/>
      <c r="E539" s="540"/>
      <c r="F539" s="539"/>
    </row>
    <row r="540" spans="1:6" x14ac:dyDescent="0.35">
      <c r="A540" s="544" t="s">
        <v>851</v>
      </c>
      <c r="B540" s="537" t="s">
        <v>850</v>
      </c>
      <c r="C540" s="538"/>
      <c r="D540" s="539"/>
      <c r="E540" s="540"/>
      <c r="F540" s="539"/>
    </row>
    <row r="541" spans="1:6" x14ac:dyDescent="0.35">
      <c r="A541" s="544" t="s">
        <v>853</v>
      </c>
      <c r="B541" s="537" t="s">
        <v>852</v>
      </c>
      <c r="C541" s="538"/>
      <c r="D541" s="539"/>
      <c r="E541" s="540"/>
      <c r="F541" s="539"/>
    </row>
    <row r="542" spans="1:6" x14ac:dyDescent="0.35">
      <c r="A542" s="544" t="s">
        <v>855</v>
      </c>
      <c r="B542" s="537" t="s">
        <v>854</v>
      </c>
      <c r="C542" s="538"/>
      <c r="D542" s="539"/>
      <c r="E542" s="540"/>
      <c r="F542" s="539"/>
    </row>
    <row r="543" spans="1:6" x14ac:dyDescent="0.35">
      <c r="A543" s="544" t="s">
        <v>1345</v>
      </c>
      <c r="B543" s="537" t="s">
        <v>856</v>
      </c>
      <c r="C543" s="538"/>
      <c r="D543" s="539"/>
      <c r="E543" s="540"/>
      <c r="F543" s="539"/>
    </row>
    <row r="544" spans="1:6" x14ac:dyDescent="0.35">
      <c r="A544" s="544"/>
      <c r="B544" s="868" t="s">
        <v>2</v>
      </c>
      <c r="C544" s="869">
        <f>SUBTOTAL(109,Instalment[Principal Outstanding Balance])</f>
        <v>0</v>
      </c>
      <c r="D544" s="870">
        <f>SUBTOTAL(109,Instalment[% of Total (Amount)])</f>
        <v>0</v>
      </c>
      <c r="E544" s="871">
        <f>SUBTOTAL(109,Instalment[Nb of Loans])</f>
        <v>0</v>
      </c>
      <c r="F544" s="870">
        <f>SUBTOTAL(109,Instalment[% of Total (Amount)])</f>
        <v>0</v>
      </c>
    </row>
    <row r="545" spans="1:8" x14ac:dyDescent="0.35">
      <c r="A545" s="544"/>
      <c r="B545" s="537"/>
      <c r="C545" s="538"/>
      <c r="D545" s="539"/>
      <c r="E545" s="540"/>
      <c r="F545" s="539"/>
      <c r="H545" s="618" t="s">
        <v>1115</v>
      </c>
    </row>
    <row r="546" spans="1:8" hidden="1" x14ac:dyDescent="0.35">
      <c r="A546" s="544" t="s">
        <v>857</v>
      </c>
      <c r="B546" s="542" t="s">
        <v>368</v>
      </c>
      <c r="C546" s="543"/>
      <c r="D546" s="539"/>
      <c r="E546" s="540"/>
      <c r="F546" s="539"/>
    </row>
    <row r="547" spans="1:8" hidden="1" x14ac:dyDescent="0.35">
      <c r="A547" s="544" t="s">
        <v>858</v>
      </c>
      <c r="B547" s="542" t="s">
        <v>370</v>
      </c>
      <c r="C547" s="543"/>
      <c r="D547" s="539"/>
      <c r="E547" s="540"/>
      <c r="F547" s="539"/>
    </row>
    <row r="548" spans="1:8" hidden="1" x14ac:dyDescent="0.35">
      <c r="A548" s="544" t="s">
        <v>859</v>
      </c>
      <c r="B548" s="542" t="s">
        <v>372</v>
      </c>
      <c r="C548" s="543"/>
      <c r="D548" s="539"/>
      <c r="E548" s="540"/>
      <c r="F548" s="539"/>
    </row>
    <row r="549" spans="1:8" ht="15" customHeight="1" x14ac:dyDescent="0.35">
      <c r="A549" s="544"/>
      <c r="B549" s="535"/>
      <c r="C549" s="535"/>
    </row>
    <row r="550" spans="1:8" x14ac:dyDescent="0.35">
      <c r="A550" s="544"/>
      <c r="B550" s="535" t="s">
        <v>1109</v>
      </c>
      <c r="C550" s="535"/>
    </row>
    <row r="551" spans="1:8" ht="15" customHeight="1" x14ac:dyDescent="0.35">
      <c r="A551" s="544"/>
      <c r="B551" s="535"/>
      <c r="C551" s="535"/>
    </row>
    <row r="552" spans="1:8" ht="33" customHeight="1" x14ac:dyDescent="0.35">
      <c r="A552" s="544"/>
      <c r="B552" s="525" t="s">
        <v>860</v>
      </c>
      <c r="C552" s="525" t="s">
        <v>281</v>
      </c>
      <c r="D552" s="525" t="s">
        <v>318</v>
      </c>
      <c r="E552" s="525" t="s">
        <v>319</v>
      </c>
      <c r="F552" s="525" t="s">
        <v>320</v>
      </c>
      <c r="G552" s="536"/>
    </row>
    <row r="553" spans="1:8" x14ac:dyDescent="0.35">
      <c r="A553" s="544" t="s">
        <v>861</v>
      </c>
      <c r="B553" s="537" t="s">
        <v>862</v>
      </c>
      <c r="C553" s="538"/>
      <c r="D553" s="539"/>
      <c r="E553" s="540"/>
      <c r="F553" s="539"/>
    </row>
    <row r="554" spans="1:8" x14ac:dyDescent="0.35">
      <c r="A554" s="544" t="s">
        <v>863</v>
      </c>
      <c r="B554" s="537" t="s">
        <v>864</v>
      </c>
      <c r="C554" s="538"/>
      <c r="D554" s="539"/>
      <c r="E554" s="540"/>
      <c r="F554" s="539"/>
    </row>
    <row r="555" spans="1:8" x14ac:dyDescent="0.35">
      <c r="A555" s="544" t="s">
        <v>865</v>
      </c>
      <c r="B555" s="537" t="s">
        <v>866</v>
      </c>
      <c r="C555" s="538"/>
      <c r="D555" s="539"/>
      <c r="E555" s="540"/>
      <c r="F555" s="539"/>
    </row>
    <row r="556" spans="1:8" x14ac:dyDescent="0.35">
      <c r="A556" s="544" t="s">
        <v>867</v>
      </c>
      <c r="B556" s="537" t="s">
        <v>868</v>
      </c>
      <c r="C556" s="538"/>
      <c r="D556" s="539"/>
      <c r="E556" s="540"/>
      <c r="F556" s="539"/>
    </row>
    <row r="557" spans="1:8" x14ac:dyDescent="0.35">
      <c r="A557" s="544" t="s">
        <v>869</v>
      </c>
      <c r="B557" s="537" t="s">
        <v>870</v>
      </c>
      <c r="C557" s="538"/>
      <c r="D557" s="539"/>
      <c r="E557" s="540"/>
      <c r="F557" s="539"/>
    </row>
    <row r="558" spans="1:8" x14ac:dyDescent="0.35">
      <c r="A558" s="544" t="s">
        <v>871</v>
      </c>
      <c r="B558" s="537" t="s">
        <v>872</v>
      </c>
      <c r="C558" s="538"/>
      <c r="D558" s="539"/>
      <c r="E558" s="540"/>
      <c r="F558" s="539"/>
    </row>
    <row r="559" spans="1:8" x14ac:dyDescent="0.35">
      <c r="A559" s="544" t="s">
        <v>873</v>
      </c>
      <c r="B559" s="537" t="s">
        <v>874</v>
      </c>
      <c r="C559" s="538"/>
      <c r="D559" s="539"/>
      <c r="E559" s="540"/>
      <c r="F559" s="539"/>
    </row>
    <row r="560" spans="1:8" x14ac:dyDescent="0.35">
      <c r="A560" s="544" t="s">
        <v>875</v>
      </c>
      <c r="B560" s="537" t="s">
        <v>876</v>
      </c>
      <c r="C560" s="538"/>
      <c r="D560" s="539"/>
      <c r="E560" s="540"/>
      <c r="F560" s="539"/>
    </row>
    <row r="561" spans="1:8" x14ac:dyDescent="0.35">
      <c r="A561" s="544" t="s">
        <v>877</v>
      </c>
      <c r="B561" s="537" t="s">
        <v>878</v>
      </c>
      <c r="C561" s="538"/>
      <c r="D561" s="539"/>
      <c r="E561" s="540"/>
      <c r="F561" s="539"/>
    </row>
    <row r="562" spans="1:8" x14ac:dyDescent="0.35">
      <c r="A562" s="544" t="s">
        <v>879</v>
      </c>
      <c r="B562" s="537" t="s">
        <v>880</v>
      </c>
      <c r="C562" s="538"/>
      <c r="D562" s="539"/>
      <c r="E562" s="540"/>
      <c r="F562" s="539"/>
    </row>
    <row r="563" spans="1:8" x14ac:dyDescent="0.35">
      <c r="A563" s="544" t="s">
        <v>881</v>
      </c>
      <c r="B563" s="537" t="s">
        <v>882</v>
      </c>
      <c r="C563" s="538"/>
      <c r="D563" s="539"/>
      <c r="E563" s="540"/>
      <c r="F563" s="539"/>
    </row>
    <row r="564" spans="1:8" x14ac:dyDescent="0.35">
      <c r="A564" s="544" t="s">
        <v>883</v>
      </c>
      <c r="B564" s="537" t="s">
        <v>884</v>
      </c>
      <c r="C564" s="538"/>
      <c r="D564" s="539"/>
      <c r="E564" s="540"/>
      <c r="F564" s="539"/>
    </row>
    <row r="565" spans="1:8" x14ac:dyDescent="0.35">
      <c r="A565" s="544" t="s">
        <v>885</v>
      </c>
      <c r="B565" s="537" t="s">
        <v>534</v>
      </c>
      <c r="C565" s="538"/>
      <c r="D565" s="539"/>
      <c r="E565" s="540"/>
      <c r="F565" s="539"/>
    </row>
    <row r="566" spans="1:8" x14ac:dyDescent="0.35">
      <c r="A566" s="544"/>
      <c r="B566" s="537" t="s">
        <v>2</v>
      </c>
      <c r="C566" s="538">
        <f>SUBTOTAL(109,PropertyRegion[Principal Outstanding Balance])</f>
        <v>0</v>
      </c>
      <c r="D566" s="539">
        <f>SUBTOTAL(109,PropertyRegion[% of Total (Amount)])</f>
        <v>0</v>
      </c>
      <c r="E566" s="540">
        <f>SUBTOTAL(109,PropertyRegion[Nb of Loans])</f>
        <v>0</v>
      </c>
      <c r="F566" s="539">
        <f>SUBTOTAL(109,PropertyRegion[% of Total (Amount)])</f>
        <v>0</v>
      </c>
    </row>
    <row r="567" spans="1:8" x14ac:dyDescent="0.35">
      <c r="A567" s="544"/>
      <c r="B567" s="537"/>
      <c r="C567" s="538"/>
      <c r="D567" s="539"/>
      <c r="E567" s="540"/>
      <c r="F567" s="539"/>
      <c r="H567" s="618" t="s">
        <v>1115</v>
      </c>
    </row>
    <row r="568" spans="1:8" hidden="1" x14ac:dyDescent="0.35">
      <c r="A568" s="544" t="s">
        <v>886</v>
      </c>
      <c r="B568" s="542" t="s">
        <v>368</v>
      </c>
      <c r="C568" s="543"/>
      <c r="D568" s="539"/>
      <c r="E568" s="540"/>
      <c r="F568" s="539"/>
    </row>
    <row r="569" spans="1:8" hidden="1" x14ac:dyDescent="0.35">
      <c r="A569" s="544" t="s">
        <v>887</v>
      </c>
      <c r="B569" s="542" t="s">
        <v>370</v>
      </c>
      <c r="C569" s="543"/>
      <c r="D569" s="539"/>
      <c r="E569" s="540"/>
      <c r="F569" s="539"/>
    </row>
    <row r="570" spans="1:8" hidden="1" x14ac:dyDescent="0.35">
      <c r="A570" s="544" t="s">
        <v>888</v>
      </c>
      <c r="B570" s="542" t="s">
        <v>372</v>
      </c>
      <c r="C570" s="543"/>
      <c r="D570" s="539"/>
      <c r="E570" s="540"/>
      <c r="F570" s="539"/>
    </row>
    <row r="571" spans="1:8" ht="15" customHeight="1" x14ac:dyDescent="0.35">
      <c r="A571" s="544"/>
      <c r="B571" s="535"/>
      <c r="C571" s="535"/>
    </row>
    <row r="572" spans="1:8" x14ac:dyDescent="0.35">
      <c r="A572" s="544"/>
      <c r="B572" s="535" t="s">
        <v>1110</v>
      </c>
      <c r="C572" s="535"/>
    </row>
    <row r="573" spans="1:8" ht="15" customHeight="1" x14ac:dyDescent="0.35">
      <c r="A573" s="544"/>
      <c r="B573" s="535"/>
      <c r="C573" s="535"/>
    </row>
    <row r="574" spans="1:8" ht="33" customHeight="1" x14ac:dyDescent="0.35">
      <c r="A574" s="544"/>
      <c r="B574" s="525" t="s">
        <v>889</v>
      </c>
      <c r="C574" s="525" t="s">
        <v>281</v>
      </c>
      <c r="D574" s="525" t="s">
        <v>318</v>
      </c>
      <c r="E574" s="525" t="s">
        <v>319</v>
      </c>
      <c r="F574" s="525" t="s">
        <v>320</v>
      </c>
      <c r="G574" s="536"/>
    </row>
    <row r="575" spans="1:8" x14ac:dyDescent="0.35">
      <c r="A575" s="544" t="s">
        <v>890</v>
      </c>
      <c r="B575" s="537" t="s">
        <v>891</v>
      </c>
      <c r="C575" s="538"/>
      <c r="D575" s="539"/>
      <c r="E575" s="540"/>
      <c r="F575" s="539"/>
    </row>
    <row r="576" spans="1:8" x14ac:dyDescent="0.35">
      <c r="A576" s="544" t="s">
        <v>892</v>
      </c>
      <c r="B576" s="537" t="s">
        <v>893</v>
      </c>
      <c r="C576" s="538"/>
      <c r="D576" s="539"/>
      <c r="E576" s="540"/>
      <c r="F576" s="539"/>
    </row>
    <row r="577" spans="1:7" x14ac:dyDescent="0.35">
      <c r="A577" s="544" t="s">
        <v>894</v>
      </c>
      <c r="B577" s="537" t="s">
        <v>895</v>
      </c>
      <c r="C577" s="538"/>
      <c r="D577" s="539"/>
      <c r="E577" s="540"/>
      <c r="F577" s="539"/>
    </row>
    <row r="578" spans="1:7" x14ac:dyDescent="0.35">
      <c r="A578" s="544" t="s">
        <v>896</v>
      </c>
      <c r="B578" s="537" t="s">
        <v>534</v>
      </c>
      <c r="C578" s="538"/>
      <c r="D578" s="539"/>
      <c r="E578" s="540"/>
      <c r="F578" s="539"/>
    </row>
    <row r="579" spans="1:7" x14ac:dyDescent="0.35">
      <c r="A579" s="544"/>
      <c r="B579" s="537" t="s">
        <v>2</v>
      </c>
      <c r="C579" s="538">
        <f>SUBTOTAL(109,GuaranteeProvider[Principal Outstanding Balance])</f>
        <v>0</v>
      </c>
      <c r="D579" s="539">
        <f>SUBTOTAL(109,GuaranteeProvider[% of Total (Amount)])</f>
        <v>0</v>
      </c>
      <c r="E579" s="540">
        <f>SUBTOTAL(109,GuaranteeProvider[Nb of Loans])</f>
        <v>0</v>
      </c>
      <c r="F579" s="539">
        <f>SUBTOTAL(109,GuaranteeProvider[% of Total (Amount)])</f>
        <v>0</v>
      </c>
    </row>
    <row r="580" spans="1:7" x14ac:dyDescent="0.35">
      <c r="A580" s="544"/>
      <c r="B580" s="537"/>
      <c r="C580" s="538"/>
      <c r="D580" s="539"/>
      <c r="E580" s="540"/>
      <c r="F580" s="539"/>
    </row>
    <row r="581" spans="1:7" x14ac:dyDescent="0.35">
      <c r="A581" s="544"/>
      <c r="B581" s="535" t="s">
        <v>1111</v>
      </c>
      <c r="C581" s="535"/>
    </row>
    <row r="582" spans="1:7" ht="15" customHeight="1" x14ac:dyDescent="0.35">
      <c r="A582" s="544"/>
      <c r="B582" s="535"/>
      <c r="C582" s="535"/>
    </row>
    <row r="583" spans="1:7" ht="33" customHeight="1" x14ac:dyDescent="0.35">
      <c r="A583" s="544"/>
      <c r="B583" s="525" t="s">
        <v>897</v>
      </c>
      <c r="C583" s="525" t="s">
        <v>281</v>
      </c>
      <c r="D583" s="525" t="s">
        <v>318</v>
      </c>
      <c r="E583" s="525" t="s">
        <v>319</v>
      </c>
      <c r="F583" s="525" t="s">
        <v>320</v>
      </c>
      <c r="G583" s="536"/>
    </row>
    <row r="584" spans="1:7" x14ac:dyDescent="0.35">
      <c r="A584" s="544" t="s">
        <v>898</v>
      </c>
      <c r="B584" s="537" t="s">
        <v>899</v>
      </c>
      <c r="C584" s="538"/>
      <c r="D584" s="539"/>
      <c r="E584" s="540"/>
      <c r="F584" s="539"/>
    </row>
    <row r="585" spans="1:7" x14ac:dyDescent="0.35">
      <c r="A585" s="544" t="s">
        <v>900</v>
      </c>
      <c r="B585" s="537" t="s">
        <v>901</v>
      </c>
      <c r="C585" s="538"/>
      <c r="D585" s="539"/>
      <c r="E585" s="540"/>
      <c r="F585" s="539"/>
    </row>
    <row r="586" spans="1:7" x14ac:dyDescent="0.35">
      <c r="A586" s="544" t="s">
        <v>902</v>
      </c>
      <c r="B586" s="537" t="s">
        <v>903</v>
      </c>
      <c r="C586" s="538"/>
      <c r="D586" s="539"/>
      <c r="E586" s="540"/>
      <c r="F586" s="539"/>
    </row>
    <row r="587" spans="1:7" x14ac:dyDescent="0.35">
      <c r="A587" s="544" t="s">
        <v>904</v>
      </c>
      <c r="B587" s="537" t="s">
        <v>905</v>
      </c>
      <c r="C587" s="538"/>
      <c r="D587" s="539"/>
      <c r="E587" s="540"/>
      <c r="F587" s="539"/>
    </row>
    <row r="588" spans="1:7" x14ac:dyDescent="0.35">
      <c r="A588" s="544" t="s">
        <v>906</v>
      </c>
      <c r="B588" s="537" t="s">
        <v>907</v>
      </c>
      <c r="C588" s="538"/>
      <c r="D588" s="539"/>
      <c r="E588" s="540"/>
      <c r="F588" s="539"/>
    </row>
    <row r="589" spans="1:7" x14ac:dyDescent="0.35">
      <c r="A589" s="544" t="s">
        <v>908</v>
      </c>
      <c r="B589" s="537" t="s">
        <v>909</v>
      </c>
      <c r="C589" s="538"/>
      <c r="D589" s="539"/>
      <c r="E589" s="540"/>
      <c r="F589" s="539"/>
    </row>
    <row r="590" spans="1:7" x14ac:dyDescent="0.35">
      <c r="A590" s="544" t="s">
        <v>910</v>
      </c>
      <c r="B590" s="537" t="s">
        <v>911</v>
      </c>
      <c r="C590" s="538"/>
      <c r="D590" s="539"/>
      <c r="E590" s="540"/>
      <c r="F590" s="539"/>
    </row>
    <row r="591" spans="1:7" x14ac:dyDescent="0.35">
      <c r="A591" s="544" t="s">
        <v>912</v>
      </c>
      <c r="B591" s="537" t="s">
        <v>913</v>
      </c>
      <c r="C591" s="538"/>
      <c r="D591" s="539"/>
      <c r="E591" s="540"/>
      <c r="F591" s="539"/>
    </row>
    <row r="592" spans="1:7" x14ac:dyDescent="0.35">
      <c r="A592" s="544" t="s">
        <v>914</v>
      </c>
      <c r="B592" s="537" t="s">
        <v>915</v>
      </c>
      <c r="C592" s="538"/>
      <c r="D592" s="539"/>
      <c r="E592" s="540"/>
      <c r="F592" s="539"/>
    </row>
    <row r="593" spans="1:8" x14ac:dyDescent="0.35">
      <c r="A593" s="544" t="s">
        <v>916</v>
      </c>
      <c r="B593" s="537" t="s">
        <v>917</v>
      </c>
      <c r="C593" s="538"/>
      <c r="D593" s="539"/>
      <c r="E593" s="540"/>
      <c r="F593" s="539"/>
    </row>
    <row r="594" spans="1:8" x14ac:dyDescent="0.35">
      <c r="A594" s="544" t="s">
        <v>918</v>
      </c>
      <c r="B594" s="537" t="s">
        <v>919</v>
      </c>
      <c r="C594" s="538"/>
      <c r="D594" s="539"/>
      <c r="E594" s="540"/>
      <c r="F594" s="539"/>
    </row>
    <row r="595" spans="1:8" x14ac:dyDescent="0.35">
      <c r="A595" s="544" t="s">
        <v>920</v>
      </c>
      <c r="B595" s="537" t="s">
        <v>921</v>
      </c>
      <c r="C595" s="538"/>
      <c r="D595" s="539"/>
      <c r="E595" s="540"/>
      <c r="F595" s="539"/>
    </row>
    <row r="596" spans="1:8" x14ac:dyDescent="0.35">
      <c r="A596" s="544" t="s">
        <v>922</v>
      </c>
      <c r="B596" s="537" t="s">
        <v>534</v>
      </c>
      <c r="C596" s="538"/>
      <c r="D596" s="539"/>
      <c r="E596" s="540"/>
      <c r="F596" s="539"/>
    </row>
    <row r="597" spans="1:8" x14ac:dyDescent="0.35">
      <c r="A597" s="544"/>
      <c r="B597" s="537" t="s">
        <v>2</v>
      </c>
      <c r="C597" s="538">
        <f>SUBTOTAL(109,Purpose[Principal Outstanding Balance])</f>
        <v>0</v>
      </c>
      <c r="D597" s="539">
        <f>SUBTOTAL(109,Purpose[% of Total (Amount)])</f>
        <v>0</v>
      </c>
      <c r="E597" s="540">
        <f>SUBTOTAL(109,Purpose[Nb of Loans])</f>
        <v>0</v>
      </c>
      <c r="F597" s="539">
        <f>SUBTOTAL(109,Purpose[% of Total (Amount)])</f>
        <v>0</v>
      </c>
    </row>
    <row r="598" spans="1:8" x14ac:dyDescent="0.35">
      <c r="A598" s="544"/>
      <c r="B598" s="537"/>
      <c r="C598" s="538"/>
      <c r="D598" s="539"/>
      <c r="E598" s="540"/>
      <c r="F598" s="539"/>
      <c r="H598" s="618" t="s">
        <v>1115</v>
      </c>
    </row>
    <row r="599" spans="1:8" x14ac:dyDescent="0.35">
      <c r="A599" s="544"/>
      <c r="B599" s="535" t="s">
        <v>1112</v>
      </c>
      <c r="C599" s="535"/>
    </row>
    <row r="600" spans="1:8" ht="15" customHeight="1" x14ac:dyDescent="0.35">
      <c r="A600" s="544"/>
      <c r="B600" s="535"/>
      <c r="C600" s="535"/>
    </row>
    <row r="601" spans="1:8" ht="33" customHeight="1" x14ac:dyDescent="0.35">
      <c r="A601" s="544"/>
      <c r="B601" s="525" t="s">
        <v>923</v>
      </c>
      <c r="C601" s="525" t="s">
        <v>281</v>
      </c>
      <c r="D601" s="525" t="s">
        <v>318</v>
      </c>
      <c r="E601" s="525" t="s">
        <v>319</v>
      </c>
      <c r="F601" s="525" t="s">
        <v>320</v>
      </c>
      <c r="G601" s="536"/>
    </row>
    <row r="602" spans="1:8" x14ac:dyDescent="0.35">
      <c r="A602" s="544" t="s">
        <v>924</v>
      </c>
      <c r="B602" s="537" t="s">
        <v>925</v>
      </c>
      <c r="C602" s="538"/>
      <c r="D602" s="539"/>
      <c r="E602" s="540"/>
      <c r="F602" s="539"/>
    </row>
    <row r="603" spans="1:8" x14ac:dyDescent="0.35">
      <c r="A603" s="544" t="s">
        <v>926</v>
      </c>
      <c r="B603" s="537" t="s">
        <v>927</v>
      </c>
      <c r="C603" s="538"/>
      <c r="D603" s="539"/>
      <c r="E603" s="540"/>
      <c r="F603" s="539"/>
    </row>
    <row r="604" spans="1:8" x14ac:dyDescent="0.35">
      <c r="A604" s="544" t="s">
        <v>928</v>
      </c>
      <c r="B604" s="537" t="s">
        <v>929</v>
      </c>
      <c r="C604" s="538"/>
      <c r="D604" s="539"/>
      <c r="E604" s="540"/>
      <c r="F604" s="539"/>
    </row>
    <row r="605" spans="1:8" x14ac:dyDescent="0.35">
      <c r="A605" s="544" t="s">
        <v>930</v>
      </c>
      <c r="B605" s="537" t="s">
        <v>931</v>
      </c>
      <c r="C605" s="538"/>
      <c r="D605" s="539"/>
      <c r="E605" s="540"/>
      <c r="F605" s="539"/>
    </row>
    <row r="606" spans="1:8" x14ac:dyDescent="0.35">
      <c r="A606" s="544" t="s">
        <v>932</v>
      </c>
      <c r="B606" s="537" t="s">
        <v>933</v>
      </c>
      <c r="C606" s="538"/>
      <c r="D606" s="539"/>
      <c r="E606" s="540"/>
      <c r="F606" s="539"/>
    </row>
    <row r="607" spans="1:8" x14ac:dyDescent="0.35">
      <c r="A607" s="544" t="s">
        <v>934</v>
      </c>
      <c r="B607" s="537" t="s">
        <v>935</v>
      </c>
      <c r="C607" s="538"/>
      <c r="D607" s="539"/>
      <c r="E607" s="540"/>
      <c r="F607" s="539"/>
    </row>
    <row r="608" spans="1:8" x14ac:dyDescent="0.35">
      <c r="A608" s="544" t="s">
        <v>936</v>
      </c>
      <c r="B608" s="537" t="s">
        <v>937</v>
      </c>
      <c r="C608" s="538"/>
      <c r="D608" s="539"/>
      <c r="E608" s="540"/>
      <c r="F608" s="539"/>
    </row>
    <row r="609" spans="1:8" x14ac:dyDescent="0.35">
      <c r="A609" s="544" t="s">
        <v>938</v>
      </c>
      <c r="B609" s="537" t="s">
        <v>939</v>
      </c>
      <c r="C609" s="538"/>
      <c r="D609" s="539"/>
      <c r="E609" s="540"/>
      <c r="F609" s="539"/>
    </row>
    <row r="610" spans="1:8" x14ac:dyDescent="0.35">
      <c r="A610" s="544" t="s">
        <v>940</v>
      </c>
      <c r="B610" s="537" t="s">
        <v>941</v>
      </c>
      <c r="C610" s="538"/>
      <c r="D610" s="539"/>
      <c r="E610" s="540"/>
      <c r="F610" s="539"/>
    </row>
    <row r="611" spans="1:8" x14ac:dyDescent="0.35">
      <c r="A611" s="544" t="s">
        <v>942</v>
      </c>
      <c r="B611" s="537" t="s">
        <v>943</v>
      </c>
      <c r="C611" s="538"/>
      <c r="D611" s="539"/>
      <c r="E611" s="540"/>
      <c r="F611" s="539"/>
    </row>
    <row r="612" spans="1:8" x14ac:dyDescent="0.35">
      <c r="A612" s="544" t="s">
        <v>944</v>
      </c>
      <c r="B612" s="537" t="s">
        <v>945</v>
      </c>
      <c r="C612" s="538"/>
      <c r="D612" s="539"/>
      <c r="E612" s="540"/>
      <c r="F612" s="539"/>
    </row>
    <row r="613" spans="1:8" x14ac:dyDescent="0.35">
      <c r="A613" s="544" t="s">
        <v>946</v>
      </c>
      <c r="B613" s="537" t="s">
        <v>947</v>
      </c>
      <c r="C613" s="538"/>
      <c r="D613" s="539"/>
      <c r="E613" s="540"/>
      <c r="F613" s="539"/>
    </row>
    <row r="614" spans="1:8" x14ac:dyDescent="0.35">
      <c r="A614" s="544" t="s">
        <v>948</v>
      </c>
      <c r="B614" s="537" t="s">
        <v>949</v>
      </c>
      <c r="C614" s="538"/>
      <c r="D614" s="539"/>
      <c r="E614" s="540"/>
      <c r="F614" s="539"/>
    </row>
    <row r="615" spans="1:8" x14ac:dyDescent="0.35">
      <c r="A615" s="544" t="s">
        <v>950</v>
      </c>
      <c r="B615" s="537" t="s">
        <v>951</v>
      </c>
      <c r="C615" s="538"/>
      <c r="D615" s="539"/>
      <c r="E615" s="540"/>
      <c r="F615" s="539"/>
    </row>
    <row r="616" spans="1:8" x14ac:dyDescent="0.35">
      <c r="A616" s="544" t="s">
        <v>952</v>
      </c>
      <c r="B616" s="537" t="s">
        <v>953</v>
      </c>
      <c r="C616" s="538"/>
      <c r="D616" s="539"/>
      <c r="E616" s="540"/>
      <c r="F616" s="539"/>
    </row>
    <row r="617" spans="1:8" x14ac:dyDescent="0.35">
      <c r="A617" s="544" t="s">
        <v>954</v>
      </c>
      <c r="B617" s="537" t="s">
        <v>955</v>
      </c>
      <c r="C617" s="538"/>
      <c r="D617" s="539"/>
      <c r="E617" s="540"/>
      <c r="F617" s="539"/>
    </row>
    <row r="618" spans="1:8" x14ac:dyDescent="0.35">
      <c r="A618" s="544" t="s">
        <v>956</v>
      </c>
      <c r="B618" s="537" t="s">
        <v>957</v>
      </c>
      <c r="C618" s="538"/>
      <c r="D618" s="539"/>
      <c r="E618" s="540"/>
      <c r="F618" s="539"/>
    </row>
    <row r="619" spans="1:8" x14ac:dyDescent="0.35">
      <c r="A619" s="544" t="s">
        <v>958</v>
      </c>
      <c r="B619" s="537" t="s">
        <v>959</v>
      </c>
      <c r="C619" s="538"/>
      <c r="D619" s="539"/>
      <c r="E619" s="540"/>
      <c r="F619" s="539"/>
    </row>
    <row r="620" spans="1:8" x14ac:dyDescent="0.35">
      <c r="A620" s="544" t="s">
        <v>960</v>
      </c>
      <c r="B620" s="537" t="s">
        <v>961</v>
      </c>
      <c r="C620" s="538"/>
      <c r="D620" s="539"/>
      <c r="E620" s="540"/>
      <c r="F620" s="539"/>
    </row>
    <row r="621" spans="1:8" x14ac:dyDescent="0.35">
      <c r="A621" s="544" t="s">
        <v>962</v>
      </c>
      <c r="B621" s="537" t="s">
        <v>963</v>
      </c>
      <c r="C621" s="538"/>
      <c r="D621" s="539"/>
      <c r="E621" s="540"/>
      <c r="F621" s="539"/>
    </row>
    <row r="622" spans="1:8" x14ac:dyDescent="0.35">
      <c r="A622" s="544"/>
      <c r="B622" s="537" t="s">
        <v>2</v>
      </c>
      <c r="C622" s="538">
        <f>SUBTOTAL(109,Top20Deb[Principal Outstanding Balance])</f>
        <v>0</v>
      </c>
      <c r="D622" s="539">
        <f>SUBTOTAL(109,Top20Deb[% of Total (Amount)])</f>
        <v>0</v>
      </c>
      <c r="E622" s="540">
        <f>SUBTOTAL(109,Top20Deb[Nb of Loans])</f>
        <v>0</v>
      </c>
      <c r="F622" s="539">
        <f>SUBTOTAL(109,Top20Deb[% of Total (Amount)])</f>
        <v>0</v>
      </c>
    </row>
    <row r="623" spans="1:8" x14ac:dyDescent="0.35">
      <c r="A623" s="544"/>
      <c r="B623" s="537"/>
      <c r="C623" s="538"/>
      <c r="D623" s="539"/>
      <c r="E623" s="540"/>
      <c r="F623" s="539"/>
      <c r="H623" s="618" t="s">
        <v>1115</v>
      </c>
    </row>
    <row r="624" spans="1:8" x14ac:dyDescent="0.35">
      <c r="A624" s="544"/>
      <c r="B624" s="535" t="s">
        <v>1113</v>
      </c>
      <c r="C624" s="535"/>
    </row>
    <row r="625" spans="1:7" ht="15" customHeight="1" x14ac:dyDescent="0.35">
      <c r="A625" s="544"/>
      <c r="B625" s="535"/>
      <c r="C625" s="535"/>
    </row>
    <row r="626" spans="1:7" ht="33" customHeight="1" x14ac:dyDescent="0.35">
      <c r="A626" s="544"/>
      <c r="B626" s="525" t="s">
        <v>964</v>
      </c>
      <c r="C626" s="525" t="s">
        <v>281</v>
      </c>
      <c r="D626" s="525" t="s">
        <v>318</v>
      </c>
      <c r="E626" s="525" t="s">
        <v>319</v>
      </c>
      <c r="F626" s="525" t="s">
        <v>320</v>
      </c>
      <c r="G626" s="536"/>
    </row>
    <row r="627" spans="1:7" ht="30" customHeight="1" x14ac:dyDescent="0.35">
      <c r="A627" s="544" t="s">
        <v>965</v>
      </c>
      <c r="B627" s="537" t="s">
        <v>966</v>
      </c>
      <c r="C627" s="538"/>
      <c r="D627" s="539"/>
      <c r="E627" s="540"/>
      <c r="F627" s="539"/>
    </row>
    <row r="628" spans="1:7" x14ac:dyDescent="0.35">
      <c r="A628" s="544" t="s">
        <v>967</v>
      </c>
      <c r="B628" s="537" t="s">
        <v>968</v>
      </c>
      <c r="C628" s="538"/>
      <c r="D628" s="539"/>
      <c r="E628" s="540"/>
      <c r="F628" s="539"/>
    </row>
    <row r="629" spans="1:7" x14ac:dyDescent="0.35">
      <c r="A629" s="544" t="s">
        <v>969</v>
      </c>
      <c r="B629" s="537" t="s">
        <v>970</v>
      </c>
      <c r="C629" s="538"/>
      <c r="D629" s="539"/>
      <c r="E629" s="540"/>
      <c r="F629" s="539"/>
    </row>
    <row r="630" spans="1:7" x14ac:dyDescent="0.35">
      <c r="A630" s="544" t="s">
        <v>971</v>
      </c>
      <c r="B630" s="537" t="s">
        <v>972</v>
      </c>
      <c r="C630" s="538"/>
      <c r="D630" s="539"/>
      <c r="E630" s="540"/>
      <c r="F630" s="539"/>
    </row>
    <row r="631" spans="1:7" x14ac:dyDescent="0.35">
      <c r="A631" s="544" t="s">
        <v>973</v>
      </c>
      <c r="B631" s="537" t="s">
        <v>534</v>
      </c>
      <c r="C631" s="538"/>
      <c r="D631" s="539"/>
      <c r="E631" s="540"/>
      <c r="F631" s="539"/>
    </row>
    <row r="632" spans="1:7" x14ac:dyDescent="0.35">
      <c r="A632" s="544"/>
      <c r="B632" s="537" t="s">
        <v>2</v>
      </c>
      <c r="C632" s="538">
        <f>SUBTOTAL(109,OccupancyType[Principal Outstanding Balance])</f>
        <v>0</v>
      </c>
      <c r="D632" s="539">
        <f>SUBTOTAL(109,OccupancyType[% of Total (Amount)])</f>
        <v>0</v>
      </c>
      <c r="E632" s="540">
        <f>SUBTOTAL(109,OccupancyType[Nb of Loans])</f>
        <v>0</v>
      </c>
      <c r="F632" s="539">
        <f>SUBTOTAL(109,OccupancyType[% of Total (Amount)])</f>
        <v>0</v>
      </c>
    </row>
    <row r="633" spans="1:7" x14ac:dyDescent="0.35">
      <c r="A633" s="544"/>
      <c r="B633" s="537"/>
      <c r="C633" s="538"/>
      <c r="D633" s="539"/>
      <c r="E633" s="540"/>
      <c r="F633" s="539"/>
    </row>
    <row r="634" spans="1:7" x14ac:dyDescent="0.35">
      <c r="A634" s="544"/>
      <c r="B634" s="535" t="s">
        <v>1114</v>
      </c>
      <c r="C634" s="535"/>
    </row>
    <row r="635" spans="1:7" ht="15" customHeight="1" x14ac:dyDescent="0.35">
      <c r="A635" s="544"/>
      <c r="B635" s="535"/>
      <c r="C635" s="535"/>
    </row>
    <row r="636" spans="1:7" ht="33" customHeight="1" x14ac:dyDescent="0.35">
      <c r="A636" s="544"/>
      <c r="B636" s="525" t="s">
        <v>974</v>
      </c>
      <c r="C636" s="525" t="s">
        <v>281</v>
      </c>
      <c r="D636" s="525" t="s">
        <v>318</v>
      </c>
      <c r="E636" s="525" t="s">
        <v>319</v>
      </c>
      <c r="F636" s="525" t="s">
        <v>320</v>
      </c>
      <c r="G636" s="536"/>
    </row>
    <row r="637" spans="1:7" x14ac:dyDescent="0.35">
      <c r="A637" s="544" t="s">
        <v>975</v>
      </c>
      <c r="B637" s="537" t="s">
        <v>404</v>
      </c>
      <c r="C637" s="538"/>
      <c r="D637" s="539"/>
      <c r="E637" s="540"/>
      <c r="F637" s="539"/>
    </row>
    <row r="638" spans="1:7" x14ac:dyDescent="0.35">
      <c r="A638" s="544" t="s">
        <v>976</v>
      </c>
      <c r="B638" s="537" t="s">
        <v>406</v>
      </c>
      <c r="C638" s="538"/>
      <c r="D638" s="539"/>
      <c r="E638" s="540"/>
      <c r="F638" s="539"/>
    </row>
    <row r="639" spans="1:7" x14ac:dyDescent="0.35">
      <c r="A639" s="544" t="s">
        <v>977</v>
      </c>
      <c r="B639" s="537" t="s">
        <v>408</v>
      </c>
      <c r="C639" s="538"/>
      <c r="D639" s="539"/>
      <c r="E639" s="540"/>
      <c r="F639" s="539"/>
    </row>
    <row r="640" spans="1:7" x14ac:dyDescent="0.35">
      <c r="A640" s="544" t="s">
        <v>978</v>
      </c>
      <c r="B640" s="537" t="s">
        <v>410</v>
      </c>
      <c r="C640" s="538"/>
      <c r="D640" s="539"/>
      <c r="E640" s="540"/>
      <c r="F640" s="539"/>
    </row>
    <row r="641" spans="1:8" x14ac:dyDescent="0.35">
      <c r="A641" s="544" t="s">
        <v>979</v>
      </c>
      <c r="B641" s="537" t="s">
        <v>412</v>
      </c>
      <c r="C641" s="538"/>
      <c r="D641" s="539"/>
      <c r="E641" s="540"/>
      <c r="F641" s="539"/>
    </row>
    <row r="642" spans="1:8" x14ac:dyDescent="0.35">
      <c r="A642" s="544" t="s">
        <v>980</v>
      </c>
      <c r="B642" s="537" t="s">
        <v>414</v>
      </c>
      <c r="C642" s="538"/>
      <c r="D642" s="539"/>
      <c r="E642" s="540"/>
      <c r="F642" s="539"/>
    </row>
    <row r="643" spans="1:8" x14ac:dyDescent="0.35">
      <c r="A643" s="544" t="s">
        <v>981</v>
      </c>
      <c r="B643" s="537" t="s">
        <v>416</v>
      </c>
      <c r="C643" s="538"/>
      <c r="D643" s="539"/>
      <c r="E643" s="540"/>
      <c r="F643" s="539"/>
    </row>
    <row r="644" spans="1:8" x14ac:dyDescent="0.35">
      <c r="A644" s="544" t="s">
        <v>982</v>
      </c>
      <c r="B644" s="537" t="s">
        <v>418</v>
      </c>
      <c r="C644" s="538"/>
      <c r="D644" s="539"/>
      <c r="E644" s="540"/>
      <c r="F644" s="539"/>
    </row>
    <row r="645" spans="1:8" x14ac:dyDescent="0.35">
      <c r="A645" s="544" t="s">
        <v>983</v>
      </c>
      <c r="B645" s="537" t="s">
        <v>420</v>
      </c>
      <c r="C645" s="538"/>
      <c r="D645" s="539"/>
      <c r="E645" s="540"/>
      <c r="F645" s="539"/>
    </row>
    <row r="646" spans="1:8" x14ac:dyDescent="0.35">
      <c r="A646" s="544" t="s">
        <v>984</v>
      </c>
      <c r="B646" s="537" t="s">
        <v>422</v>
      </c>
      <c r="C646" s="538"/>
      <c r="D646" s="539"/>
      <c r="E646" s="540"/>
      <c r="F646" s="539"/>
    </row>
    <row r="647" spans="1:8" x14ac:dyDescent="0.35">
      <c r="A647" s="544" t="s">
        <v>985</v>
      </c>
      <c r="B647" s="537" t="s">
        <v>424</v>
      </c>
      <c r="C647" s="538"/>
      <c r="D647" s="539"/>
      <c r="E647" s="540"/>
      <c r="F647" s="539"/>
    </row>
    <row r="648" spans="1:8" x14ac:dyDescent="0.35">
      <c r="A648" s="544" t="s">
        <v>986</v>
      </c>
      <c r="B648" s="537" t="s">
        <v>426</v>
      </c>
      <c r="C648" s="538"/>
      <c r="D648" s="539"/>
      <c r="E648" s="540"/>
      <c r="F648" s="539"/>
    </row>
    <row r="649" spans="1:8" x14ac:dyDescent="0.35">
      <c r="A649" s="544" t="s">
        <v>987</v>
      </c>
      <c r="B649" s="537" t="s">
        <v>428</v>
      </c>
      <c r="C649" s="538"/>
      <c r="D649" s="539"/>
      <c r="E649" s="540"/>
      <c r="F649" s="539"/>
    </row>
    <row r="650" spans="1:8" x14ac:dyDescent="0.35">
      <c r="A650" s="544" t="s">
        <v>988</v>
      </c>
      <c r="B650" s="537" t="s">
        <v>430</v>
      </c>
      <c r="C650" s="538"/>
      <c r="D650" s="539"/>
      <c r="E650" s="540"/>
      <c r="F650" s="539"/>
    </row>
    <row r="651" spans="1:8" x14ac:dyDescent="0.35">
      <c r="A651" s="544" t="s">
        <v>989</v>
      </c>
      <c r="B651" s="537" t="s">
        <v>432</v>
      </c>
      <c r="C651" s="538"/>
      <c r="D651" s="539"/>
      <c r="E651" s="540"/>
      <c r="F651" s="539"/>
    </row>
    <row r="652" spans="1:8" x14ac:dyDescent="0.35">
      <c r="A652" s="544"/>
      <c r="B652" s="537" t="s">
        <v>2</v>
      </c>
      <c r="C652" s="538">
        <f>SUBTOTAL(109,OriginalTermToMaturity[Principal Outstanding Balance])</f>
        <v>0</v>
      </c>
      <c r="D652" s="539">
        <f>SUBTOTAL(109,OriginalTermToMaturity[% of Total (Amount)])</f>
        <v>0</v>
      </c>
      <c r="E652" s="540">
        <f>SUBTOTAL(109,OriginalTermToMaturity[Nb of Loans])</f>
        <v>0</v>
      </c>
      <c r="F652" s="539">
        <f>SUBTOTAL(109,OriginalTermToMaturity[% of Total (Amount)])</f>
        <v>0</v>
      </c>
    </row>
    <row r="653" spans="1:8" x14ac:dyDescent="0.35">
      <c r="B653" s="537"/>
      <c r="C653" s="538"/>
      <c r="D653" s="539"/>
      <c r="E653" s="540"/>
      <c r="F653" s="539"/>
      <c r="H653" s="618" t="s">
        <v>1115</v>
      </c>
    </row>
    <row r="654" spans="1:8" hidden="1" x14ac:dyDescent="0.35">
      <c r="A654" s="527" t="s">
        <v>990</v>
      </c>
      <c r="B654" s="542" t="s">
        <v>368</v>
      </c>
      <c r="C654" s="543"/>
      <c r="D654" s="539"/>
      <c r="E654" s="540"/>
      <c r="F654" s="539"/>
    </row>
    <row r="655" spans="1:8" hidden="1" x14ac:dyDescent="0.35">
      <c r="A655" s="527" t="s">
        <v>991</v>
      </c>
      <c r="B655" s="542" t="s">
        <v>370</v>
      </c>
      <c r="C655" s="543"/>
      <c r="D655" s="539"/>
      <c r="E655" s="540"/>
      <c r="F655" s="539"/>
    </row>
    <row r="656" spans="1:8" hidden="1" x14ac:dyDescent="0.35">
      <c r="A656" s="527" t="s">
        <v>992</v>
      </c>
      <c r="B656" s="542" t="s">
        <v>372</v>
      </c>
      <c r="C656" s="543"/>
      <c r="D656" s="539"/>
      <c r="E656" s="540"/>
      <c r="F656" s="539"/>
    </row>
    <row r="657" spans="2:3" ht="15" customHeight="1" x14ac:dyDescent="0.35">
      <c r="B657" s="535"/>
      <c r="C657" s="535"/>
    </row>
  </sheetData>
  <mergeCells count="1">
    <mergeCell ref="B28:C28"/>
  </mergeCells>
  <phoneticPr fontId="154" type="noConversion"/>
  <hyperlinks>
    <hyperlink ref="B12" location="Summary" display="Summary Statistics" xr:uid="{3A9176DB-02D9-4FF3-A91E-C24A71C289A0}"/>
    <hyperlink ref="B13" location="'Breakdown Statistics'!B48" display="1. Breakdown by Principal Outstanding Balance" xr:uid="{2F1818B5-D6CA-4A3F-A7A8-1007EC7D7D3D}"/>
    <hyperlink ref="B14" location="'Breakdown Statistics'!B80" display="2. Breakdown by Principal Original Balance" xr:uid="{BC8F6B94-DB0E-48E7-94B4-8ECF141C07C8}"/>
    <hyperlink ref="B15" location="'Breakdown Statistics'!B112" display="3. Breakdown by Seasoning" xr:uid="{7866E37F-73BB-44F0-8B0B-30CB76A960B2}"/>
    <hyperlink ref="B16" location="'Breakdown Statistics'!B136" display="4. Breakdown by Remaining Term to Maturity" xr:uid="{B7ABC129-407E-4380-81D9-59A953A0E239}"/>
    <hyperlink ref="B18" location="'Breakdown Statistics'!B178" display="6. Breakdown by Interest Rate" xr:uid="{8258AE8A-651C-408E-9546-B432C59E19F9}"/>
    <hyperlink ref="B19" location="'Breakdown Statistics'!B203" display="7. Breakdown by Interest Rate Type" xr:uid="{2E00F5ED-5CA3-48F5-94FE-AE1E094B75B0}"/>
    <hyperlink ref="B20" location="'Breakdown Statistics'!B225" display="8. Breakdown by Current Loan-to-Value" xr:uid="{2B216DF3-C4A4-431C-AA0D-D964D345BB45}"/>
    <hyperlink ref="B21" location="'Breakdown Statistics'!B250" display="9 a. Current Loan-to-Value (Mortgages)" xr:uid="{C81AADD5-CA1B-4FFF-8DA3-BA3D40B27CAF}"/>
    <hyperlink ref="B22" location="'Breakdown Statistics'!B275" display="9 b. Current Loan-to-Value (Guaranteed Loans)" xr:uid="{FC48B404-FF53-4A70-90DD-BA0B79895455}"/>
    <hyperlink ref="B23" location="'Breakdown Statistics'!B300" display="10. Breakdown by Original Loan-to-Value" xr:uid="{54EFC024-4B41-42C2-A1A2-F9C54C64CC30}"/>
    <hyperlink ref="B24" location="'Breakdown Statistics'!B325" display="10 a. Breakdown by Original Loan-to-Value (Mortgages)" xr:uid="{8E023788-5502-41BE-88C0-6B3F4E3AECC1}"/>
    <hyperlink ref="B25" location="'Breakdown Statistics'!B350" display="10 b. Breakdown by Original Loan-to-Value (Guaranteed Loans)" xr:uid="{FDBC9CC5-8AE1-43DB-ACC3-337314E7C153}"/>
    <hyperlink ref="C14" location="'Breakdown Statistics'!B425" display="11 b. Breakdown by Indexed Loan-to-Value (Guaranteed Loans)" xr:uid="{5B410989-C583-432F-8727-63A30FBE8839}"/>
    <hyperlink ref="C15" location="'Breakdown Statistics'!B450" display="12. Breakdown by Property Type" xr:uid="{6F26369B-9679-4931-8FC7-18C1B232D7F8}"/>
    <hyperlink ref="C16" location="'Breakdown Statistics'!B468" display="13. Breakdown by Account Status" xr:uid="{4915F9B2-D48B-40BC-814F-818826E8A6A0}"/>
    <hyperlink ref="C17" location="'Breakdown Statistics'!B492" display="14. Breakdown by Payment Frequency" xr:uid="{D01B621D-A61E-4799-AC4B-745F7DDB47B4}"/>
    <hyperlink ref="C18" location="'Breakdown Statistics'!B506" display="15. Breakdown by Employment Type" xr:uid="{57FCAB05-A359-499B-A1B5-38AA5CE32051}"/>
    <hyperlink ref="C19" location="'Breakdown Statistics'!B524" display="16. Breakdown by Instalment" xr:uid="{6038E7E7-6F78-408A-BC24-1134D8B080C4}"/>
    <hyperlink ref="C20" location="'Breakdown Statistics'!B549" display="17. Breakdown by Property Region" xr:uid="{200C0A82-7D49-4728-BBD6-F60032D4B4A6}"/>
    <hyperlink ref="B17" location="'Breakdown Statistics'!B160" display="5. Breakdown by Year of Origination" xr:uid="{3FED3BFF-8995-4EBE-8DE9-DBC5D0E197FB}"/>
    <hyperlink ref="H46" location="'Breakdown Statistics'!A1" display="&gt;&gt; Up" xr:uid="{0E66524D-AC7E-4B7F-A313-4086D44CC864}"/>
    <hyperlink ref="H75" location="'Breakdown Statistics'!A1" display="&gt;&gt; Up" xr:uid="{EB6A7D1A-5B37-4519-94CF-76DF4650B557}"/>
    <hyperlink ref="H107" location="'Breakdown Statistics'!A1" display="&gt;&gt; Up" xr:uid="{4A0E6724-F8D6-4E49-9C66-D22619C449BE}"/>
    <hyperlink ref="H131" location="'Breakdown Statistics'!A1" display="&gt;&gt; Up" xr:uid="{78F66F4C-0F42-4F8E-8175-D0329180BBDD}"/>
    <hyperlink ref="H155" location="'Breakdown Statistics'!A1" display="&gt;&gt; Up" xr:uid="{65FECBC8-F311-470F-8ADF-6BD2290879E0}"/>
    <hyperlink ref="H173" location="'Breakdown Statistics'!A1" display="&gt;&gt; Up" xr:uid="{F5B6ED42-F957-47DF-8A9B-7A3C27B5ABF5}"/>
    <hyperlink ref="H198" location="'Breakdown Statistics'!A1" display="&gt;&gt; Up" xr:uid="{61A990D2-411D-4F31-B795-DC6EC101FFD9}"/>
    <hyperlink ref="H220" location="'Breakdown Statistics'!A1" display="&gt;&gt; Up" xr:uid="{087AC763-B63A-4BFB-B8ED-B6A828B38CA7}"/>
    <hyperlink ref="H245" location="'Breakdown Statistics'!A1" display="&gt;&gt; Up" xr:uid="{387663DC-248E-4981-942A-EF089F03C588}"/>
    <hyperlink ref="H270" location="'Breakdown Statistics'!A1" display="&gt;&gt; Up" xr:uid="{8A7F87E9-4829-47D9-A794-06F5898B965C}"/>
    <hyperlink ref="H295" location="'Breakdown Statistics'!A1" display="&gt;&gt; Up" xr:uid="{58272D95-CD89-4E7F-8C55-66A5F74F94E1}"/>
    <hyperlink ref="H320" location="'Breakdown Statistics'!A1" display="&gt;&gt; Up" xr:uid="{F93B9A98-9D1D-4DC5-A7D8-0D30482AB4FD}"/>
    <hyperlink ref="H345" location="'Breakdown Statistics'!A1" display="&gt;&gt; Up" xr:uid="{21E16618-CF38-427F-B1CA-5FAEA662218A}"/>
    <hyperlink ref="H370" location="'Breakdown Statistics'!A1" display="&gt;&gt; Up" xr:uid="{27BD8A6B-5048-4CED-827F-0675F1C9FD2D}"/>
    <hyperlink ref="H395" location="'Breakdown Statistics'!A1" display="&gt;&gt; Up" xr:uid="{6AABFC81-5B07-43B7-B91F-6179B21A64AD}"/>
    <hyperlink ref="H420" location="'Breakdown Statistics'!A1" display="&gt;&gt; Up" xr:uid="{68A53323-2177-4E2A-A91E-6CEF457170D2}"/>
    <hyperlink ref="H445" location="'Breakdown Statistics'!A1" display="&gt;&gt; Up" xr:uid="{E408B796-AE80-4E18-B7E5-6923923C2B1A}"/>
    <hyperlink ref="H463" location="'Breakdown Statistics'!A1" display="&gt;&gt; Up" xr:uid="{8E5F2C16-0137-4B89-A772-1EA20054A515}"/>
    <hyperlink ref="H487" location="'Breakdown Statistics'!A1" display="&gt;&gt; Up" xr:uid="{CB5E7E37-5B50-472B-A056-2EB7746CDA7E}"/>
    <hyperlink ref="H519" location="'Breakdown Statistics'!A1" display="&gt;&gt; Up" xr:uid="{5ED23CE8-3342-45F7-9952-42F35BC6D505}"/>
    <hyperlink ref="H545" location="'Breakdown Statistics'!A1" display="&gt;&gt; Up" xr:uid="{EB04F76C-3E6E-4D9D-9E46-23DE794FA26B}"/>
    <hyperlink ref="H567" location="'Breakdown Statistics'!A1" display="&gt;&gt; Up" xr:uid="{182B1BEF-E80A-4ADC-8A4F-67F1BED14A5F}"/>
    <hyperlink ref="H598" location="'Breakdown Statistics'!A1" display="&gt;&gt; Up" xr:uid="{31AB34DF-853C-44E3-B4CE-9B8EC8FBDE6E}"/>
    <hyperlink ref="H623" location="'Breakdown Statistics'!A1" display="&gt;&gt; Up" xr:uid="{08DEFC00-01AA-45EC-99DA-BAAD0BD1C8EB}"/>
    <hyperlink ref="H653" location="'Breakdown Statistics'!A1" display="&gt;&gt; Up" xr:uid="{F9444195-2A4A-45F6-AF0E-813349BC0BF9}"/>
    <hyperlink ref="C12" location="'Breakdown Statistics'!B375" display="11. Breakdown by Indexed Loan-to-Value" xr:uid="{8E5A1B7F-4D2B-474A-8FD4-A7FB92E0020E}"/>
    <hyperlink ref="C13" location="'Breakdown Statistics'!B400" display="11 a. Breakdown by Indexed Loan-to-Value (Mortgages)" xr:uid="{AE2B6044-D16A-4A50-902E-7C2DF95F069A}"/>
    <hyperlink ref="C21" location="'Breakdown Statistics'!B571" display="18. Breakdown by Guarantee Provider" xr:uid="{1194C503-57B3-431D-A8A7-AAAFF39B8FDA}"/>
    <hyperlink ref="C22" location="'Breakdown Statistics'!B580" display="19. Breakdown by Purpose" xr:uid="{E0EE6A28-81F8-440C-B8E0-D903C077FFC6}"/>
    <hyperlink ref="C23" location="'Breakdown Statistics'!B598" display="20. Top 20 Borrowers" xr:uid="{6635D1AF-F9C9-46E4-997C-E2A41A22CE21}"/>
    <hyperlink ref="C24" location="'Breakdown Statistics'!B623" display="21. Breakdown by Occupancy Type" xr:uid="{B648FF96-53EC-4488-8A90-B05BF557ECF0}"/>
    <hyperlink ref="C25" location="'Breakdown Statistics'!B633" display="22. Breakdown by Original Term to Maturity" xr:uid="{D48B03EF-9217-4149-B207-3CE3A2ABD89D}"/>
  </hyperlinks>
  <pageMargins left="0.7" right="0.7" top="0.75" bottom="0.75" header="0.3" footer="0.3"/>
  <pageSetup paperSize="9" orientation="portrait" r:id="rId1"/>
  <drawing r:id="rId2"/>
  <tableParts count="27">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M72"/>
  <sheetViews>
    <sheetView showGridLines="0" view="pageBreakPreview" zoomScaleNormal="100" zoomScaleSheetLayoutView="100" workbookViewId="0">
      <selection sqref="A1:XFD1048576"/>
    </sheetView>
  </sheetViews>
  <sheetFormatPr defaultColWidth="10.81640625" defaultRowHeight="14.5" x14ac:dyDescent="0.35"/>
  <cols>
    <col min="1" max="1" width="4.453125" style="528" customWidth="1"/>
    <col min="2" max="2" width="23" style="528" customWidth="1"/>
    <col min="3" max="8" width="29.54296875" style="528" customWidth="1"/>
    <col min="9" max="9" width="3.54296875" style="528" customWidth="1"/>
    <col min="10" max="16384" width="10.81640625" style="528"/>
  </cols>
  <sheetData>
    <row r="1" spans="1:13" x14ac:dyDescent="0.35">
      <c r="A1" s="110"/>
      <c r="B1" s="110"/>
      <c r="C1" s="110"/>
      <c r="D1" s="110"/>
      <c r="E1" s="110"/>
      <c r="F1" s="110"/>
      <c r="G1" s="110"/>
      <c r="H1" s="110"/>
      <c r="I1" s="110"/>
      <c r="J1" s="110"/>
      <c r="K1" s="110"/>
      <c r="L1" s="110"/>
    </row>
    <row r="2" spans="1:13" x14ac:dyDescent="0.35">
      <c r="A2" s="110"/>
      <c r="B2" s="112"/>
      <c r="C2" s="112"/>
      <c r="D2" s="112"/>
      <c r="E2" s="112"/>
      <c r="F2" s="348"/>
      <c r="G2" s="348"/>
      <c r="H2" s="348"/>
      <c r="I2" s="112"/>
      <c r="J2" s="112"/>
      <c r="K2" s="112"/>
      <c r="L2" s="112"/>
    </row>
    <row r="3" spans="1:13" ht="14.5" customHeight="1" x14ac:dyDescent="0.35">
      <c r="A3" s="110"/>
      <c r="B3" s="112"/>
      <c r="C3" s="112"/>
      <c r="D3" s="112"/>
      <c r="E3" s="833"/>
      <c r="F3" s="844"/>
      <c r="G3" s="165" t="s">
        <v>134</v>
      </c>
      <c r="H3" s="845">
        <f>'00 - Cover'!$F$16</f>
        <v>0</v>
      </c>
      <c r="I3" s="111"/>
      <c r="J3" s="111"/>
      <c r="K3" s="111"/>
      <c r="L3" s="111"/>
    </row>
    <row r="4" spans="1:13" ht="14.5" customHeight="1" x14ac:dyDescent="0.35">
      <c r="A4" s="110"/>
      <c r="B4" s="112"/>
      <c r="C4" s="112"/>
      <c r="D4" s="112"/>
      <c r="E4" s="833"/>
      <c r="F4" s="844"/>
      <c r="G4" s="165" t="s">
        <v>1117</v>
      </c>
      <c r="H4" s="845">
        <f>'00 - Cover'!$F$15</f>
        <v>0</v>
      </c>
      <c r="I4" s="111"/>
      <c r="J4" s="111"/>
      <c r="K4" s="111"/>
      <c r="L4" s="111"/>
    </row>
    <row r="5" spans="1:13" ht="14.5" customHeight="1" x14ac:dyDescent="0.35">
      <c r="A5" s="110"/>
      <c r="B5" s="112"/>
      <c r="C5" s="112"/>
      <c r="D5" s="112"/>
      <c r="E5" s="833"/>
      <c r="F5" s="844"/>
      <c r="G5" s="165" t="s">
        <v>94</v>
      </c>
      <c r="H5" s="845">
        <f>'00 - Cover'!$F$16</f>
        <v>0</v>
      </c>
      <c r="I5" s="111"/>
      <c r="J5" s="111"/>
      <c r="K5" s="111"/>
      <c r="L5" s="111"/>
    </row>
    <row r="6" spans="1:13" ht="14.5" customHeight="1" x14ac:dyDescent="0.35">
      <c r="A6" s="110"/>
      <c r="B6" s="112"/>
      <c r="C6" s="112"/>
      <c r="D6" s="112"/>
      <c r="E6" s="833"/>
      <c r="F6" s="844"/>
      <c r="G6" s="165" t="s">
        <v>87</v>
      </c>
      <c r="H6" s="845">
        <f>'00 - Cover'!$F$17</f>
        <v>0</v>
      </c>
      <c r="I6" s="112"/>
      <c r="J6" s="112"/>
      <c r="K6" s="112"/>
      <c r="L6" s="112"/>
    </row>
    <row r="7" spans="1:13" x14ac:dyDescent="0.35">
      <c r="A7" s="110"/>
      <c r="B7" s="112"/>
      <c r="C7" s="112"/>
      <c r="D7" s="112"/>
      <c r="E7" s="112"/>
      <c r="F7" s="112"/>
      <c r="G7" s="112"/>
      <c r="H7" s="112"/>
      <c r="I7" s="112"/>
      <c r="J7" s="112"/>
      <c r="K7" s="112"/>
      <c r="L7" s="112"/>
    </row>
    <row r="8" spans="1:13" x14ac:dyDescent="0.35">
      <c r="A8" s="527"/>
    </row>
    <row r="9" spans="1:13" ht="15.5" x14ac:dyDescent="0.35">
      <c r="B9" s="727" t="s">
        <v>994</v>
      </c>
      <c r="C9" s="728"/>
      <c r="D9" s="729"/>
      <c r="E9" s="729"/>
      <c r="F9" s="729"/>
      <c r="G9" s="729"/>
      <c r="H9" s="729"/>
      <c r="I9" s="729"/>
      <c r="J9" s="729"/>
      <c r="K9" s="729"/>
      <c r="L9" s="729"/>
      <c r="M9" s="729"/>
    </row>
    <row r="10" spans="1:13" ht="15" thickBot="1" x14ac:dyDescent="0.4"/>
    <row r="11" spans="1:13" ht="55.5" customHeight="1" thickBot="1" x14ac:dyDescent="0.4">
      <c r="A11" s="546"/>
      <c r="B11" s="748" t="s">
        <v>1184</v>
      </c>
      <c r="C11" s="749" t="s">
        <v>1002</v>
      </c>
      <c r="D11" s="749" t="s">
        <v>1003</v>
      </c>
      <c r="E11" s="749" t="s">
        <v>1004</v>
      </c>
      <c r="F11" s="749" t="s">
        <v>1005</v>
      </c>
      <c r="G11" s="749" t="s">
        <v>1006</v>
      </c>
      <c r="H11" s="750" t="s">
        <v>1007</v>
      </c>
    </row>
    <row r="12" spans="1:13" x14ac:dyDescent="0.35">
      <c r="A12" s="546"/>
      <c r="B12" s="744"/>
      <c r="C12" s="745"/>
      <c r="D12" s="746"/>
      <c r="E12" s="745"/>
      <c r="F12" s="746"/>
      <c r="G12" s="745"/>
      <c r="H12" s="747"/>
    </row>
    <row r="13" spans="1:13" x14ac:dyDescent="0.35">
      <c r="A13" s="546"/>
      <c r="B13" s="550"/>
      <c r="C13" s="551"/>
      <c r="D13" s="552"/>
      <c r="E13" s="551"/>
      <c r="F13" s="552"/>
      <c r="G13" s="551"/>
      <c r="H13" s="553"/>
    </row>
    <row r="14" spans="1:13" x14ac:dyDescent="0.35">
      <c r="A14" s="546"/>
      <c r="B14" s="550"/>
      <c r="C14" s="551"/>
      <c r="D14" s="552"/>
      <c r="E14" s="551"/>
      <c r="F14" s="552"/>
      <c r="G14" s="551"/>
      <c r="H14" s="553"/>
    </row>
    <row r="15" spans="1:13" x14ac:dyDescent="0.35">
      <c r="B15" s="550"/>
      <c r="C15" s="551"/>
      <c r="D15" s="552"/>
      <c r="E15" s="551"/>
      <c r="F15" s="552"/>
      <c r="G15" s="551"/>
      <c r="H15" s="553"/>
    </row>
    <row r="16" spans="1:13" x14ac:dyDescent="0.35">
      <c r="B16" s="550"/>
      <c r="C16" s="551"/>
      <c r="D16" s="552"/>
      <c r="E16" s="551"/>
      <c r="F16" s="552"/>
      <c r="G16" s="551"/>
      <c r="H16" s="553"/>
    </row>
    <row r="17" spans="2:8" x14ac:dyDescent="0.35">
      <c r="B17" s="550"/>
      <c r="C17" s="551"/>
      <c r="D17" s="552"/>
      <c r="E17" s="551"/>
      <c r="F17" s="552"/>
      <c r="G17" s="551"/>
      <c r="H17" s="553"/>
    </row>
    <row r="18" spans="2:8" x14ac:dyDescent="0.35">
      <c r="B18" s="550"/>
      <c r="C18" s="551"/>
      <c r="D18" s="552"/>
      <c r="E18" s="551"/>
      <c r="F18" s="552"/>
      <c r="G18" s="551"/>
      <c r="H18" s="553"/>
    </row>
    <row r="19" spans="2:8" x14ac:dyDescent="0.35">
      <c r="B19" s="550"/>
      <c r="C19" s="551"/>
      <c r="D19" s="552"/>
      <c r="E19" s="551"/>
      <c r="F19" s="552"/>
      <c r="G19" s="551"/>
      <c r="H19" s="553"/>
    </row>
    <row r="20" spans="2:8" x14ac:dyDescent="0.35">
      <c r="B20" s="550"/>
      <c r="C20" s="551"/>
      <c r="D20" s="552"/>
      <c r="E20" s="551"/>
      <c r="F20" s="552"/>
      <c r="G20" s="551"/>
      <c r="H20" s="553"/>
    </row>
    <row r="21" spans="2:8" x14ac:dyDescent="0.35">
      <c r="B21" s="550"/>
      <c r="C21" s="551"/>
      <c r="D21" s="552"/>
      <c r="E21" s="551"/>
      <c r="F21" s="552"/>
      <c r="G21" s="551"/>
      <c r="H21" s="553"/>
    </row>
    <row r="22" spans="2:8" x14ac:dyDescent="0.35">
      <c r="B22" s="550"/>
      <c r="C22" s="551"/>
      <c r="D22" s="552"/>
      <c r="E22" s="551"/>
      <c r="F22" s="552"/>
      <c r="G22" s="551"/>
      <c r="H22" s="553"/>
    </row>
    <row r="23" spans="2:8" x14ac:dyDescent="0.35">
      <c r="B23" s="550"/>
      <c r="C23" s="551"/>
      <c r="D23" s="552"/>
      <c r="E23" s="551"/>
      <c r="F23" s="552"/>
      <c r="G23" s="551"/>
      <c r="H23" s="553"/>
    </row>
    <row r="24" spans="2:8" x14ac:dyDescent="0.35">
      <c r="B24" s="550"/>
      <c r="C24" s="551"/>
      <c r="D24" s="552"/>
      <c r="E24" s="551"/>
      <c r="F24" s="552"/>
      <c r="G24" s="551"/>
      <c r="H24" s="553"/>
    </row>
    <row r="25" spans="2:8" x14ac:dyDescent="0.35">
      <c r="B25" s="550"/>
      <c r="C25" s="551"/>
      <c r="D25" s="552"/>
      <c r="E25" s="551"/>
      <c r="F25" s="552"/>
      <c r="G25" s="551"/>
      <c r="H25" s="553"/>
    </row>
    <row r="26" spans="2:8" x14ac:dyDescent="0.35">
      <c r="B26" s="550"/>
      <c r="C26" s="551"/>
      <c r="D26" s="552"/>
      <c r="E26" s="551"/>
      <c r="F26" s="552"/>
      <c r="G26" s="551"/>
      <c r="H26" s="553"/>
    </row>
    <row r="27" spans="2:8" x14ac:dyDescent="0.35">
      <c r="B27" s="550"/>
      <c r="C27" s="551"/>
      <c r="D27" s="552"/>
      <c r="E27" s="551"/>
      <c r="F27" s="552"/>
      <c r="G27" s="551"/>
      <c r="H27" s="553"/>
    </row>
    <row r="28" spans="2:8" x14ac:dyDescent="0.35">
      <c r="B28" s="550"/>
      <c r="C28" s="551"/>
      <c r="D28" s="552"/>
      <c r="E28" s="551"/>
      <c r="F28" s="552"/>
      <c r="G28" s="551"/>
      <c r="H28" s="553"/>
    </row>
    <row r="29" spans="2:8" x14ac:dyDescent="0.35">
      <c r="B29" s="550"/>
      <c r="C29" s="551"/>
      <c r="D29" s="552"/>
      <c r="E29" s="551"/>
      <c r="F29" s="552"/>
      <c r="G29" s="551"/>
      <c r="H29" s="553"/>
    </row>
    <row r="30" spans="2:8" x14ac:dyDescent="0.35">
      <c r="B30" s="550"/>
      <c r="C30" s="551"/>
      <c r="D30" s="552"/>
      <c r="E30" s="551"/>
      <c r="F30" s="552"/>
      <c r="G30" s="551"/>
      <c r="H30" s="553"/>
    </row>
    <row r="31" spans="2:8" x14ac:dyDescent="0.35">
      <c r="B31" s="550"/>
      <c r="C31" s="551"/>
      <c r="D31" s="552"/>
      <c r="E31" s="551"/>
      <c r="F31" s="552"/>
      <c r="G31" s="551"/>
      <c r="H31" s="553"/>
    </row>
    <row r="32" spans="2:8" x14ac:dyDescent="0.35">
      <c r="B32" s="550"/>
      <c r="C32" s="551"/>
      <c r="D32" s="552"/>
      <c r="E32" s="551"/>
      <c r="F32" s="552"/>
      <c r="G32" s="551"/>
      <c r="H32" s="553"/>
    </row>
    <row r="33" spans="2:8" x14ac:dyDescent="0.35">
      <c r="B33" s="550"/>
      <c r="C33" s="551"/>
      <c r="D33" s="552"/>
      <c r="E33" s="551"/>
      <c r="F33" s="552"/>
      <c r="G33" s="551"/>
      <c r="H33" s="553"/>
    </row>
    <row r="34" spans="2:8" x14ac:dyDescent="0.35">
      <c r="B34" s="550"/>
      <c r="C34" s="551"/>
      <c r="D34" s="552"/>
      <c r="E34" s="551"/>
      <c r="F34" s="552"/>
      <c r="G34" s="551"/>
      <c r="H34" s="553"/>
    </row>
    <row r="35" spans="2:8" x14ac:dyDescent="0.35">
      <c r="B35" s="550"/>
      <c r="C35" s="551"/>
      <c r="D35" s="552"/>
      <c r="E35" s="551"/>
      <c r="F35" s="552"/>
      <c r="G35" s="551"/>
      <c r="H35" s="553"/>
    </row>
    <row r="36" spans="2:8" x14ac:dyDescent="0.35">
      <c r="B36" s="550"/>
      <c r="C36" s="551"/>
      <c r="D36" s="552"/>
      <c r="E36" s="551"/>
      <c r="F36" s="552"/>
      <c r="G36" s="551"/>
      <c r="H36" s="553"/>
    </row>
    <row r="37" spans="2:8" x14ac:dyDescent="0.35">
      <c r="B37" s="550"/>
      <c r="C37" s="551"/>
      <c r="D37" s="552"/>
      <c r="E37" s="551"/>
      <c r="F37" s="552"/>
      <c r="G37" s="551"/>
      <c r="H37" s="553"/>
    </row>
    <row r="38" spans="2:8" x14ac:dyDescent="0.35">
      <c r="B38" s="550"/>
      <c r="C38" s="551"/>
      <c r="D38" s="552"/>
      <c r="E38" s="551"/>
      <c r="F38" s="552"/>
      <c r="G38" s="551"/>
      <c r="H38" s="553"/>
    </row>
    <row r="39" spans="2:8" x14ac:dyDescent="0.35">
      <c r="B39" s="550"/>
      <c r="C39" s="551"/>
      <c r="D39" s="552"/>
      <c r="E39" s="551"/>
      <c r="F39" s="552"/>
      <c r="G39" s="551"/>
      <c r="H39" s="553"/>
    </row>
    <row r="40" spans="2:8" x14ac:dyDescent="0.35">
      <c r="B40" s="550"/>
      <c r="C40" s="551"/>
      <c r="D40" s="552"/>
      <c r="E40" s="551"/>
      <c r="F40" s="552"/>
      <c r="G40" s="551"/>
      <c r="H40" s="553"/>
    </row>
    <row r="41" spans="2:8" x14ac:dyDescent="0.35">
      <c r="B41" s="550"/>
      <c r="C41" s="551"/>
      <c r="D41" s="552"/>
      <c r="E41" s="551"/>
      <c r="F41" s="552"/>
      <c r="G41" s="551"/>
      <c r="H41" s="553"/>
    </row>
    <row r="42" spans="2:8" x14ac:dyDescent="0.35">
      <c r="B42" s="550"/>
      <c r="C42" s="551"/>
      <c r="D42" s="552"/>
      <c r="E42" s="551"/>
      <c r="F42" s="552"/>
      <c r="G42" s="551"/>
      <c r="H42" s="553"/>
    </row>
    <row r="43" spans="2:8" x14ac:dyDescent="0.35">
      <c r="B43" s="550"/>
      <c r="C43" s="551"/>
      <c r="D43" s="552"/>
      <c r="E43" s="551"/>
      <c r="F43" s="552"/>
      <c r="G43" s="551"/>
      <c r="H43" s="553"/>
    </row>
    <row r="44" spans="2:8" x14ac:dyDescent="0.35">
      <c r="B44" s="550"/>
      <c r="C44" s="551"/>
      <c r="D44" s="552"/>
      <c r="E44" s="551"/>
      <c r="F44" s="552"/>
      <c r="G44" s="551"/>
      <c r="H44" s="553"/>
    </row>
    <row r="45" spans="2:8" x14ac:dyDescent="0.35">
      <c r="B45" s="550"/>
      <c r="C45" s="551"/>
      <c r="D45" s="552"/>
      <c r="E45" s="551"/>
      <c r="F45" s="552"/>
      <c r="G45" s="551"/>
      <c r="H45" s="553"/>
    </row>
    <row r="46" spans="2:8" x14ac:dyDescent="0.35">
      <c r="B46" s="550"/>
      <c r="C46" s="551"/>
      <c r="D46" s="552"/>
      <c r="E46" s="551"/>
      <c r="F46" s="552"/>
      <c r="G46" s="551"/>
      <c r="H46" s="553"/>
    </row>
    <row r="47" spans="2:8" x14ac:dyDescent="0.35">
      <c r="B47" s="550"/>
      <c r="C47" s="551"/>
      <c r="D47" s="552"/>
      <c r="E47" s="551"/>
      <c r="F47" s="552"/>
      <c r="G47" s="551"/>
      <c r="H47" s="553"/>
    </row>
    <row r="48" spans="2:8" x14ac:dyDescent="0.35">
      <c r="B48" s="550"/>
      <c r="C48" s="551"/>
      <c r="D48" s="552"/>
      <c r="E48" s="551"/>
      <c r="F48" s="552"/>
      <c r="G48" s="551"/>
      <c r="H48" s="553"/>
    </row>
    <row r="49" spans="2:8" x14ac:dyDescent="0.35">
      <c r="B49" s="550"/>
      <c r="C49" s="551"/>
      <c r="D49" s="552"/>
      <c r="E49" s="551"/>
      <c r="F49" s="552"/>
      <c r="G49" s="551"/>
      <c r="H49" s="553"/>
    </row>
    <row r="50" spans="2:8" x14ac:dyDescent="0.35">
      <c r="B50" s="550"/>
      <c r="C50" s="551"/>
      <c r="D50" s="552"/>
      <c r="E50" s="551"/>
      <c r="F50" s="552"/>
      <c r="G50" s="551"/>
      <c r="H50" s="553"/>
    </row>
    <row r="51" spans="2:8" x14ac:dyDescent="0.35">
      <c r="B51" s="550"/>
      <c r="C51" s="551"/>
      <c r="D51" s="552"/>
      <c r="E51" s="551"/>
      <c r="F51" s="552"/>
      <c r="G51" s="551"/>
      <c r="H51" s="553"/>
    </row>
    <row r="52" spans="2:8" x14ac:dyDescent="0.35">
      <c r="B52" s="550"/>
      <c r="C52" s="551"/>
      <c r="D52" s="552"/>
      <c r="E52" s="551"/>
      <c r="F52" s="552"/>
      <c r="G52" s="551"/>
      <c r="H52" s="553"/>
    </row>
    <row r="53" spans="2:8" x14ac:dyDescent="0.35">
      <c r="B53" s="550"/>
      <c r="C53" s="551"/>
      <c r="D53" s="552"/>
      <c r="E53" s="551"/>
      <c r="F53" s="552"/>
      <c r="G53" s="551"/>
      <c r="H53" s="553"/>
    </row>
    <row r="54" spans="2:8" x14ac:dyDescent="0.35">
      <c r="B54" s="550"/>
      <c r="C54" s="551"/>
      <c r="D54" s="552"/>
      <c r="E54" s="551"/>
      <c r="F54" s="552"/>
      <c r="G54" s="551"/>
      <c r="H54" s="553"/>
    </row>
    <row r="55" spans="2:8" x14ac:dyDescent="0.35">
      <c r="B55" s="550"/>
      <c r="C55" s="551"/>
      <c r="D55" s="552"/>
      <c r="E55" s="551"/>
      <c r="F55" s="552"/>
      <c r="G55" s="551"/>
      <c r="H55" s="553"/>
    </row>
    <row r="56" spans="2:8" x14ac:dyDescent="0.35">
      <c r="B56" s="550"/>
      <c r="C56" s="551"/>
      <c r="D56" s="552"/>
      <c r="E56" s="551"/>
      <c r="F56" s="552"/>
      <c r="G56" s="551"/>
      <c r="H56" s="553"/>
    </row>
    <row r="57" spans="2:8" x14ac:dyDescent="0.35">
      <c r="B57" s="550"/>
      <c r="C57" s="551"/>
      <c r="D57" s="552"/>
      <c r="E57" s="551"/>
      <c r="F57" s="552"/>
      <c r="G57" s="551"/>
      <c r="H57" s="553"/>
    </row>
    <row r="58" spans="2:8" x14ac:dyDescent="0.35">
      <c r="B58" s="550"/>
      <c r="C58" s="551"/>
      <c r="D58" s="552"/>
      <c r="E58" s="551"/>
      <c r="F58" s="552"/>
      <c r="G58" s="551"/>
      <c r="H58" s="553"/>
    </row>
    <row r="59" spans="2:8" x14ac:dyDescent="0.35">
      <c r="B59" s="550"/>
      <c r="C59" s="551"/>
      <c r="D59" s="552"/>
      <c r="E59" s="551"/>
      <c r="F59" s="552"/>
      <c r="G59" s="551"/>
      <c r="H59" s="553"/>
    </row>
    <row r="60" spans="2:8" x14ac:dyDescent="0.35">
      <c r="B60" s="550"/>
      <c r="C60" s="551"/>
      <c r="D60" s="552"/>
      <c r="E60" s="551"/>
      <c r="F60" s="552"/>
      <c r="G60" s="551"/>
      <c r="H60" s="553"/>
    </row>
    <row r="61" spans="2:8" x14ac:dyDescent="0.35">
      <c r="B61" s="550"/>
      <c r="C61" s="551"/>
      <c r="D61" s="552"/>
      <c r="E61" s="551"/>
      <c r="F61" s="552"/>
      <c r="G61" s="551"/>
      <c r="H61" s="553"/>
    </row>
    <row r="62" spans="2:8" x14ac:dyDescent="0.35">
      <c r="B62" s="550"/>
      <c r="C62" s="551"/>
      <c r="D62" s="552"/>
      <c r="E62" s="551"/>
      <c r="F62" s="552"/>
      <c r="G62" s="551"/>
      <c r="H62" s="553"/>
    </row>
    <row r="63" spans="2:8" x14ac:dyDescent="0.35">
      <c r="B63" s="550"/>
      <c r="C63" s="551"/>
      <c r="D63" s="552"/>
      <c r="E63" s="551"/>
      <c r="F63" s="552"/>
      <c r="G63" s="551"/>
      <c r="H63" s="553"/>
    </row>
    <row r="64" spans="2:8" x14ac:dyDescent="0.35">
      <c r="B64" s="550"/>
      <c r="C64" s="551"/>
      <c r="D64" s="552"/>
      <c r="E64" s="551"/>
      <c r="F64" s="552"/>
      <c r="G64" s="551"/>
      <c r="H64" s="553"/>
    </row>
    <row r="65" spans="2:8" x14ac:dyDescent="0.35">
      <c r="B65" s="550"/>
      <c r="C65" s="551"/>
      <c r="D65" s="552"/>
      <c r="E65" s="551"/>
      <c r="F65" s="552"/>
      <c r="G65" s="551"/>
      <c r="H65" s="553"/>
    </row>
    <row r="66" spans="2:8" x14ac:dyDescent="0.35">
      <c r="B66" s="550"/>
      <c r="C66" s="551"/>
      <c r="D66" s="552"/>
      <c r="E66" s="551"/>
      <c r="F66" s="552"/>
      <c r="G66" s="551"/>
      <c r="H66" s="553"/>
    </row>
    <row r="67" spans="2:8" x14ac:dyDescent="0.35">
      <c r="B67" s="550"/>
      <c r="C67" s="551"/>
      <c r="D67" s="552"/>
      <c r="E67" s="551"/>
      <c r="F67" s="552"/>
      <c r="G67" s="551"/>
      <c r="H67" s="553"/>
    </row>
    <row r="68" spans="2:8" x14ac:dyDescent="0.35">
      <c r="B68" s="550"/>
      <c r="C68" s="551"/>
      <c r="D68" s="552"/>
      <c r="E68" s="551"/>
      <c r="F68" s="552"/>
      <c r="G68" s="551"/>
      <c r="H68" s="553"/>
    </row>
    <row r="69" spans="2:8" x14ac:dyDescent="0.35">
      <c r="B69" s="550"/>
      <c r="C69" s="551"/>
      <c r="D69" s="552"/>
      <c r="E69" s="551"/>
      <c r="F69" s="552"/>
      <c r="G69" s="551"/>
      <c r="H69" s="553"/>
    </row>
    <row r="70" spans="2:8" x14ac:dyDescent="0.35">
      <c r="B70" s="550"/>
      <c r="C70" s="551"/>
      <c r="D70" s="552"/>
      <c r="E70" s="551"/>
      <c r="F70" s="552"/>
      <c r="G70" s="551"/>
      <c r="H70" s="553"/>
    </row>
    <row r="71" spans="2:8" x14ac:dyDescent="0.35">
      <c r="B71" s="550"/>
      <c r="C71" s="551"/>
      <c r="D71" s="552"/>
      <c r="E71" s="551"/>
      <c r="F71" s="552"/>
      <c r="G71" s="551"/>
      <c r="H71" s="553"/>
    </row>
    <row r="72" spans="2:8" x14ac:dyDescent="0.35">
      <c r="B72" s="550"/>
      <c r="C72" s="551"/>
      <c r="D72" s="552"/>
      <c r="E72" s="551"/>
      <c r="F72" s="552"/>
      <c r="G72" s="551"/>
      <c r="H72" s="553"/>
    </row>
  </sheetData>
  <pageMargins left="0.7" right="0.7" top="0.75" bottom="0.75" header="0.3" footer="0.3"/>
  <pageSetup paperSize="9" scale="3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sheetPr>
    <tabColor theme="0" tint="-0.249977111117893"/>
  </sheetPr>
  <dimension ref="A1:M72"/>
  <sheetViews>
    <sheetView showGridLines="0" workbookViewId="0">
      <selection activeCell="F18" sqref="F18"/>
    </sheetView>
  </sheetViews>
  <sheetFormatPr defaultColWidth="10.81640625" defaultRowHeight="14.5" x14ac:dyDescent="0.35"/>
  <cols>
    <col min="1" max="1" width="4.453125" style="528" customWidth="1"/>
    <col min="2" max="2" width="23" style="528" customWidth="1"/>
    <col min="3" max="4" width="21.81640625" style="528" customWidth="1"/>
    <col min="5" max="5" width="24.54296875" style="528" customWidth="1"/>
    <col min="6" max="6" width="29.54296875" style="528" customWidth="1"/>
    <col min="7" max="7" width="16.26953125" style="528" customWidth="1"/>
    <col min="8" max="9" width="17" style="528" customWidth="1"/>
    <col min="10" max="11" width="20.453125" style="528" customWidth="1"/>
    <col min="12" max="16384" width="10.81640625" style="528"/>
  </cols>
  <sheetData>
    <row r="1" spans="1:13" x14ac:dyDescent="0.35">
      <c r="A1" s="110"/>
      <c r="B1" s="110"/>
      <c r="C1" s="110"/>
      <c r="D1" s="110"/>
      <c r="E1" s="110"/>
      <c r="F1" s="110"/>
      <c r="G1" s="110"/>
      <c r="H1" s="110"/>
      <c r="I1" s="110"/>
      <c r="J1" s="110"/>
      <c r="K1" s="110"/>
      <c r="L1" s="110"/>
    </row>
    <row r="2" spans="1:13" x14ac:dyDescent="0.35">
      <c r="A2" s="110"/>
      <c r="B2" s="112"/>
      <c r="C2" s="112"/>
      <c r="D2" s="112"/>
      <c r="E2" s="112"/>
      <c r="F2" s="112"/>
      <c r="G2" s="112"/>
      <c r="H2" s="112"/>
      <c r="I2" s="112"/>
      <c r="J2" s="112"/>
      <c r="K2" s="112"/>
      <c r="L2" s="112"/>
    </row>
    <row r="3" spans="1:13" ht="14.5" customHeight="1" x14ac:dyDescent="0.35">
      <c r="A3" s="110"/>
      <c r="B3" s="112"/>
      <c r="C3" s="112"/>
      <c r="D3" s="112"/>
      <c r="E3" s="833"/>
      <c r="F3" s="112"/>
      <c r="G3" s="111"/>
      <c r="H3" s="111"/>
      <c r="I3" s="111"/>
      <c r="J3" s="165" t="s">
        <v>134</v>
      </c>
      <c r="K3" s="845">
        <f>'00 - Cover'!$F$16</f>
        <v>0</v>
      </c>
      <c r="L3" s="111"/>
    </row>
    <row r="4" spans="1:13" ht="14.5" customHeight="1" x14ac:dyDescent="0.35">
      <c r="A4" s="110"/>
      <c r="B4" s="112"/>
      <c r="C4" s="112"/>
      <c r="D4" s="112"/>
      <c r="E4" s="833"/>
      <c r="F4" s="112"/>
      <c r="G4" s="111"/>
      <c r="H4" s="111"/>
      <c r="I4" s="111"/>
      <c r="J4" s="165" t="s">
        <v>1117</v>
      </c>
      <c r="K4" s="845">
        <f>'00 - Cover'!$F$15</f>
        <v>0</v>
      </c>
      <c r="L4" s="111"/>
    </row>
    <row r="5" spans="1:13" ht="14.5" customHeight="1" x14ac:dyDescent="0.35">
      <c r="A5" s="110"/>
      <c r="B5" s="112"/>
      <c r="C5" s="112"/>
      <c r="D5" s="112"/>
      <c r="E5" s="833"/>
      <c r="F5" s="112"/>
      <c r="G5" s="111"/>
      <c r="H5" s="111"/>
      <c r="I5" s="111"/>
      <c r="J5" s="165" t="s">
        <v>94</v>
      </c>
      <c r="K5" s="845">
        <f>'00 - Cover'!$F$16</f>
        <v>0</v>
      </c>
      <c r="L5" s="111"/>
    </row>
    <row r="6" spans="1:13" ht="14.5" customHeight="1" x14ac:dyDescent="0.35">
      <c r="A6" s="110"/>
      <c r="B6" s="112"/>
      <c r="C6" s="112"/>
      <c r="D6" s="112"/>
      <c r="E6" s="833"/>
      <c r="F6" s="112"/>
      <c r="G6" s="112"/>
      <c r="H6" s="112"/>
      <c r="I6" s="112"/>
      <c r="J6" s="165" t="s">
        <v>87</v>
      </c>
      <c r="K6" s="845">
        <f>'00 - Cover'!$F$17</f>
        <v>0</v>
      </c>
      <c r="L6" s="112"/>
    </row>
    <row r="7" spans="1:13" x14ac:dyDescent="0.35">
      <c r="A7" s="110"/>
      <c r="B7" s="112"/>
      <c r="C7" s="112"/>
      <c r="D7" s="112"/>
      <c r="E7" s="112"/>
      <c r="F7" s="112"/>
      <c r="G7" s="112"/>
      <c r="H7" s="112"/>
      <c r="I7" s="112"/>
      <c r="J7" s="112"/>
      <c r="K7" s="112"/>
      <c r="L7" s="112"/>
    </row>
    <row r="8" spans="1:13" x14ac:dyDescent="0.35">
      <c r="A8" s="527"/>
    </row>
    <row r="9" spans="1:13" x14ac:dyDescent="0.35">
      <c r="B9" s="1005" t="s">
        <v>1333</v>
      </c>
      <c r="C9" s="1006"/>
      <c r="D9" s="1006"/>
      <c r="E9" s="1006"/>
      <c r="F9" s="1006"/>
      <c r="G9" s="1006"/>
      <c r="H9" s="1006"/>
      <c r="I9" s="1006"/>
      <c r="J9" s="1006"/>
      <c r="K9" s="1006"/>
    </row>
    <row r="10" spans="1:13" ht="15" thickBot="1" x14ac:dyDescent="0.4"/>
    <row r="11" spans="1:13" ht="55.5" customHeight="1" thickBot="1" x14ac:dyDescent="0.4">
      <c r="A11" s="546"/>
      <c r="B11" s="865" t="s">
        <v>1334</v>
      </c>
      <c r="C11" s="848" t="s">
        <v>1339</v>
      </c>
      <c r="D11" s="849" t="s">
        <v>1340</v>
      </c>
      <c r="E11" s="850" t="s">
        <v>1341</v>
      </c>
      <c r="F11" s="848" t="s">
        <v>1335</v>
      </c>
      <c r="G11" s="849" t="s">
        <v>1337</v>
      </c>
      <c r="H11" s="850" t="s">
        <v>1338</v>
      </c>
      <c r="I11" s="861" t="s">
        <v>1343</v>
      </c>
      <c r="J11" s="849" t="s">
        <v>1336</v>
      </c>
      <c r="K11" s="850" t="s">
        <v>1342</v>
      </c>
    </row>
    <row r="12" spans="1:13" x14ac:dyDescent="0.35">
      <c r="A12" s="546"/>
      <c r="B12" s="851"/>
      <c r="C12" s="858"/>
      <c r="D12" s="847"/>
      <c r="E12" s="852"/>
      <c r="F12" s="858"/>
      <c r="G12" s="847"/>
      <c r="H12" s="852">
        <f>MIN(F12-C12+D12+E12,G12)</f>
        <v>0</v>
      </c>
      <c r="I12" s="862"/>
      <c r="J12" s="847"/>
      <c r="K12" s="852">
        <f>IF((F12-C12+D12+E12-G12)&gt;0,MIN((F12-C12+D12+E12+I12-G12),J12),0)</f>
        <v>0</v>
      </c>
    </row>
    <row r="13" spans="1:13" x14ac:dyDescent="0.35">
      <c r="A13" s="546"/>
      <c r="B13" s="853"/>
      <c r="C13" s="859"/>
      <c r="D13" s="846"/>
      <c r="E13" s="854"/>
      <c r="F13" s="859"/>
      <c r="G13" s="846"/>
      <c r="H13" s="854"/>
      <c r="I13" s="863"/>
      <c r="J13" s="846"/>
      <c r="K13" s="854"/>
    </row>
    <row r="14" spans="1:13" x14ac:dyDescent="0.35">
      <c r="A14" s="546"/>
      <c r="B14" s="853"/>
      <c r="C14" s="859"/>
      <c r="D14" s="846"/>
      <c r="E14" s="854"/>
      <c r="F14" s="859"/>
      <c r="G14" s="846"/>
      <c r="H14" s="854"/>
      <c r="I14" s="863"/>
      <c r="J14" s="846"/>
      <c r="K14" s="854"/>
      <c r="M14" s="565"/>
    </row>
    <row r="15" spans="1:13" x14ac:dyDescent="0.35">
      <c r="B15" s="853"/>
      <c r="C15" s="859"/>
      <c r="D15" s="846"/>
      <c r="E15" s="854"/>
      <c r="F15" s="859"/>
      <c r="G15" s="846"/>
      <c r="H15" s="854"/>
      <c r="I15" s="863"/>
      <c r="J15" s="846"/>
      <c r="K15" s="854"/>
    </row>
    <row r="16" spans="1:13" x14ac:dyDescent="0.35">
      <c r="B16" s="853"/>
      <c r="C16" s="859"/>
      <c r="D16" s="846"/>
      <c r="E16" s="854"/>
      <c r="F16" s="859"/>
      <c r="G16" s="846"/>
      <c r="H16" s="854"/>
      <c r="I16" s="863"/>
      <c r="J16" s="846"/>
      <c r="K16" s="854"/>
    </row>
    <row r="17" spans="2:11" x14ac:dyDescent="0.35">
      <c r="B17" s="853"/>
      <c r="C17" s="859"/>
      <c r="D17" s="846"/>
      <c r="E17" s="854"/>
      <c r="F17" s="859"/>
      <c r="G17" s="846"/>
      <c r="H17" s="854"/>
      <c r="I17" s="863"/>
      <c r="J17" s="846"/>
      <c r="K17" s="854"/>
    </row>
    <row r="18" spans="2:11" x14ac:dyDescent="0.35">
      <c r="B18" s="853"/>
      <c r="C18" s="859"/>
      <c r="D18" s="846"/>
      <c r="E18" s="854"/>
      <c r="F18" s="859"/>
      <c r="G18" s="846"/>
      <c r="H18" s="854"/>
      <c r="I18" s="863"/>
      <c r="J18" s="846"/>
      <c r="K18" s="854"/>
    </row>
    <row r="19" spans="2:11" x14ac:dyDescent="0.35">
      <c r="B19" s="853"/>
      <c r="C19" s="859"/>
      <c r="D19" s="846"/>
      <c r="E19" s="854"/>
      <c r="F19" s="859"/>
      <c r="G19" s="846"/>
      <c r="H19" s="854"/>
      <c r="I19" s="863"/>
      <c r="J19" s="846"/>
      <c r="K19" s="854"/>
    </row>
    <row r="20" spans="2:11" x14ac:dyDescent="0.35">
      <c r="B20" s="853"/>
      <c r="C20" s="859"/>
      <c r="D20" s="846"/>
      <c r="E20" s="854"/>
      <c r="F20" s="859"/>
      <c r="G20" s="846"/>
      <c r="H20" s="854"/>
      <c r="I20" s="863"/>
      <c r="J20" s="846"/>
      <c r="K20" s="854"/>
    </row>
    <row r="21" spans="2:11" x14ac:dyDescent="0.35">
      <c r="B21" s="853"/>
      <c r="C21" s="859"/>
      <c r="D21" s="846"/>
      <c r="E21" s="854"/>
      <c r="F21" s="859"/>
      <c r="G21" s="846"/>
      <c r="H21" s="854"/>
      <c r="I21" s="863"/>
      <c r="J21" s="846"/>
      <c r="K21" s="854"/>
    </row>
    <row r="22" spans="2:11" x14ac:dyDescent="0.35">
      <c r="B22" s="853"/>
      <c r="C22" s="859"/>
      <c r="D22" s="846"/>
      <c r="E22" s="854"/>
      <c r="F22" s="859"/>
      <c r="G22" s="846"/>
      <c r="H22" s="854"/>
      <c r="I22" s="863"/>
      <c r="J22" s="846"/>
      <c r="K22" s="854"/>
    </row>
    <row r="23" spans="2:11" x14ac:dyDescent="0.35">
      <c r="B23" s="853"/>
      <c r="C23" s="859"/>
      <c r="D23" s="846"/>
      <c r="E23" s="854"/>
      <c r="F23" s="859"/>
      <c r="G23" s="846"/>
      <c r="H23" s="854"/>
      <c r="I23" s="863"/>
      <c r="J23" s="846"/>
      <c r="K23" s="854"/>
    </row>
    <row r="24" spans="2:11" x14ac:dyDescent="0.35">
      <c r="B24" s="853"/>
      <c r="C24" s="859"/>
      <c r="D24" s="846"/>
      <c r="E24" s="854"/>
      <c r="F24" s="859"/>
      <c r="G24" s="846"/>
      <c r="H24" s="854"/>
      <c r="I24" s="863"/>
      <c r="J24" s="846"/>
      <c r="K24" s="854"/>
    </row>
    <row r="25" spans="2:11" x14ac:dyDescent="0.35">
      <c r="B25" s="853"/>
      <c r="C25" s="859"/>
      <c r="D25" s="846"/>
      <c r="E25" s="854"/>
      <c r="F25" s="859"/>
      <c r="G25" s="846"/>
      <c r="H25" s="854"/>
      <c r="I25" s="863"/>
      <c r="J25" s="846"/>
      <c r="K25" s="854"/>
    </row>
    <row r="26" spans="2:11" x14ac:dyDescent="0.35">
      <c r="B26" s="853"/>
      <c r="C26" s="859"/>
      <c r="D26" s="846"/>
      <c r="E26" s="854"/>
      <c r="F26" s="859"/>
      <c r="G26" s="846"/>
      <c r="H26" s="854"/>
      <c r="I26" s="863"/>
      <c r="J26" s="846"/>
      <c r="K26" s="854"/>
    </row>
    <row r="27" spans="2:11" x14ac:dyDescent="0.35">
      <c r="B27" s="853"/>
      <c r="C27" s="859"/>
      <c r="D27" s="846"/>
      <c r="E27" s="854"/>
      <c r="F27" s="859"/>
      <c r="G27" s="846"/>
      <c r="H27" s="854"/>
      <c r="I27" s="863"/>
      <c r="J27" s="846"/>
      <c r="K27" s="854"/>
    </row>
    <row r="28" spans="2:11" x14ac:dyDescent="0.35">
      <c r="B28" s="853"/>
      <c r="C28" s="859"/>
      <c r="D28" s="846"/>
      <c r="E28" s="854"/>
      <c r="F28" s="859"/>
      <c r="G28" s="846"/>
      <c r="H28" s="854"/>
      <c r="I28" s="863"/>
      <c r="J28" s="846"/>
      <c r="K28" s="854"/>
    </row>
    <row r="29" spans="2:11" x14ac:dyDescent="0.35">
      <c r="B29" s="853"/>
      <c r="C29" s="859"/>
      <c r="D29" s="846"/>
      <c r="E29" s="854"/>
      <c r="F29" s="859"/>
      <c r="G29" s="846"/>
      <c r="H29" s="854"/>
      <c r="I29" s="863"/>
      <c r="J29" s="846"/>
      <c r="K29" s="854"/>
    </row>
    <row r="30" spans="2:11" x14ac:dyDescent="0.35">
      <c r="B30" s="853"/>
      <c r="C30" s="859"/>
      <c r="D30" s="846"/>
      <c r="E30" s="854"/>
      <c r="F30" s="859"/>
      <c r="G30" s="846"/>
      <c r="H30" s="854"/>
      <c r="I30" s="863"/>
      <c r="J30" s="846"/>
      <c r="K30" s="854"/>
    </row>
    <row r="31" spans="2:11" x14ac:dyDescent="0.35">
      <c r="B31" s="853"/>
      <c r="C31" s="859"/>
      <c r="D31" s="846"/>
      <c r="E31" s="854"/>
      <c r="F31" s="859"/>
      <c r="G31" s="846"/>
      <c r="H31" s="854"/>
      <c r="I31" s="863"/>
      <c r="J31" s="846"/>
      <c r="K31" s="854"/>
    </row>
    <row r="32" spans="2:11" x14ac:dyDescent="0.35">
      <c r="B32" s="853"/>
      <c r="C32" s="859"/>
      <c r="D32" s="846"/>
      <c r="E32" s="854"/>
      <c r="F32" s="859"/>
      <c r="G32" s="846"/>
      <c r="H32" s="854"/>
      <c r="I32" s="863"/>
      <c r="J32" s="846"/>
      <c r="K32" s="854"/>
    </row>
    <row r="33" spans="2:11" x14ac:dyDescent="0.35">
      <c r="B33" s="853"/>
      <c r="C33" s="859"/>
      <c r="D33" s="846"/>
      <c r="E33" s="854"/>
      <c r="F33" s="859"/>
      <c r="G33" s="846"/>
      <c r="H33" s="854"/>
      <c r="I33" s="863"/>
      <c r="J33" s="846"/>
      <c r="K33" s="854"/>
    </row>
    <row r="34" spans="2:11" x14ac:dyDescent="0.35">
      <c r="B34" s="853"/>
      <c r="C34" s="859"/>
      <c r="D34" s="846"/>
      <c r="E34" s="854"/>
      <c r="F34" s="859"/>
      <c r="G34" s="846"/>
      <c r="H34" s="854"/>
      <c r="I34" s="863"/>
      <c r="J34" s="846"/>
      <c r="K34" s="854"/>
    </row>
    <row r="35" spans="2:11" x14ac:dyDescent="0.35">
      <c r="B35" s="853"/>
      <c r="C35" s="859"/>
      <c r="D35" s="846"/>
      <c r="E35" s="854"/>
      <c r="F35" s="859"/>
      <c r="G35" s="846"/>
      <c r="H35" s="854"/>
      <c r="I35" s="863"/>
      <c r="J35" s="846"/>
      <c r="K35" s="854"/>
    </row>
    <row r="36" spans="2:11" x14ac:dyDescent="0.35">
      <c r="B36" s="853"/>
      <c r="C36" s="859"/>
      <c r="D36" s="846"/>
      <c r="E36" s="854"/>
      <c r="F36" s="859"/>
      <c r="G36" s="846"/>
      <c r="H36" s="854"/>
      <c r="I36" s="863"/>
      <c r="J36" s="846"/>
      <c r="K36" s="854"/>
    </row>
    <row r="37" spans="2:11" x14ac:dyDescent="0.35">
      <c r="B37" s="853"/>
      <c r="C37" s="859"/>
      <c r="D37" s="846"/>
      <c r="E37" s="854"/>
      <c r="F37" s="859"/>
      <c r="G37" s="846"/>
      <c r="H37" s="854"/>
      <c r="I37" s="863"/>
      <c r="J37" s="846"/>
      <c r="K37" s="854"/>
    </row>
    <row r="38" spans="2:11" x14ac:dyDescent="0.35">
      <c r="B38" s="853"/>
      <c r="C38" s="859"/>
      <c r="D38" s="846"/>
      <c r="E38" s="854"/>
      <c r="F38" s="859"/>
      <c r="G38" s="846"/>
      <c r="H38" s="854"/>
      <c r="I38" s="863"/>
      <c r="J38" s="846"/>
      <c r="K38" s="854"/>
    </row>
    <row r="39" spans="2:11" x14ac:dyDescent="0.35">
      <c r="B39" s="853"/>
      <c r="C39" s="859"/>
      <c r="D39" s="846"/>
      <c r="E39" s="854"/>
      <c r="F39" s="859"/>
      <c r="G39" s="846"/>
      <c r="H39" s="854"/>
      <c r="I39" s="863"/>
      <c r="J39" s="846"/>
      <c r="K39" s="854"/>
    </row>
    <row r="40" spans="2:11" x14ac:dyDescent="0.35">
      <c r="B40" s="853"/>
      <c r="C40" s="859"/>
      <c r="D40" s="846"/>
      <c r="E40" s="854"/>
      <c r="F40" s="859"/>
      <c r="G40" s="846"/>
      <c r="H40" s="854"/>
      <c r="I40" s="863"/>
      <c r="J40" s="846"/>
      <c r="K40" s="854"/>
    </row>
    <row r="41" spans="2:11" x14ac:dyDescent="0.35">
      <c r="B41" s="853"/>
      <c r="C41" s="859"/>
      <c r="D41" s="846"/>
      <c r="E41" s="854"/>
      <c r="F41" s="859"/>
      <c r="G41" s="846"/>
      <c r="H41" s="854"/>
      <c r="I41" s="863"/>
      <c r="J41" s="846"/>
      <c r="K41" s="854"/>
    </row>
    <row r="42" spans="2:11" x14ac:dyDescent="0.35">
      <c r="B42" s="853"/>
      <c r="C42" s="859"/>
      <c r="D42" s="846"/>
      <c r="E42" s="854"/>
      <c r="F42" s="859"/>
      <c r="G42" s="846"/>
      <c r="H42" s="854"/>
      <c r="I42" s="863"/>
      <c r="J42" s="846"/>
      <c r="K42" s="854"/>
    </row>
    <row r="43" spans="2:11" x14ac:dyDescent="0.35">
      <c r="B43" s="853"/>
      <c r="C43" s="859"/>
      <c r="D43" s="846"/>
      <c r="E43" s="854"/>
      <c r="F43" s="859"/>
      <c r="G43" s="846"/>
      <c r="H43" s="854"/>
      <c r="I43" s="863"/>
      <c r="J43" s="846"/>
      <c r="K43" s="854"/>
    </row>
    <row r="44" spans="2:11" x14ac:dyDescent="0.35">
      <c r="B44" s="853"/>
      <c r="C44" s="859"/>
      <c r="D44" s="846"/>
      <c r="E44" s="854"/>
      <c r="F44" s="859"/>
      <c r="G44" s="846"/>
      <c r="H44" s="854"/>
      <c r="I44" s="863"/>
      <c r="J44" s="846"/>
      <c r="K44" s="854"/>
    </row>
    <row r="45" spans="2:11" x14ac:dyDescent="0.35">
      <c r="B45" s="853"/>
      <c r="C45" s="859"/>
      <c r="D45" s="846"/>
      <c r="E45" s="854"/>
      <c r="F45" s="859"/>
      <c r="G45" s="846"/>
      <c r="H45" s="854"/>
      <c r="I45" s="863"/>
      <c r="J45" s="846"/>
      <c r="K45" s="854"/>
    </row>
    <row r="46" spans="2:11" x14ac:dyDescent="0.35">
      <c r="B46" s="853"/>
      <c r="C46" s="859"/>
      <c r="D46" s="846"/>
      <c r="E46" s="854"/>
      <c r="F46" s="859"/>
      <c r="G46" s="846"/>
      <c r="H46" s="854"/>
      <c r="I46" s="863"/>
      <c r="J46" s="846"/>
      <c r="K46" s="854"/>
    </row>
    <row r="47" spans="2:11" x14ac:dyDescent="0.35">
      <c r="B47" s="853"/>
      <c r="C47" s="859"/>
      <c r="D47" s="846"/>
      <c r="E47" s="854"/>
      <c r="F47" s="859"/>
      <c r="G47" s="846"/>
      <c r="H47" s="854"/>
      <c r="I47" s="863"/>
      <c r="J47" s="846"/>
      <c r="K47" s="854"/>
    </row>
    <row r="48" spans="2:11" x14ac:dyDescent="0.35">
      <c r="B48" s="853"/>
      <c r="C48" s="859"/>
      <c r="D48" s="846"/>
      <c r="E48" s="854"/>
      <c r="F48" s="859"/>
      <c r="G48" s="846"/>
      <c r="H48" s="854"/>
      <c r="I48" s="863"/>
      <c r="J48" s="846"/>
      <c r="K48" s="854"/>
    </row>
    <row r="49" spans="2:11" x14ac:dyDescent="0.35">
      <c r="B49" s="853"/>
      <c r="C49" s="859"/>
      <c r="D49" s="846"/>
      <c r="E49" s="854"/>
      <c r="F49" s="859"/>
      <c r="G49" s="846"/>
      <c r="H49" s="854"/>
      <c r="I49" s="863"/>
      <c r="J49" s="846"/>
      <c r="K49" s="854"/>
    </row>
    <row r="50" spans="2:11" x14ac:dyDescent="0.35">
      <c r="B50" s="853"/>
      <c r="C50" s="859"/>
      <c r="D50" s="846"/>
      <c r="E50" s="854"/>
      <c r="F50" s="859"/>
      <c r="G50" s="846"/>
      <c r="H50" s="854"/>
      <c r="I50" s="863"/>
      <c r="J50" s="846"/>
      <c r="K50" s="854"/>
    </row>
    <row r="51" spans="2:11" x14ac:dyDescent="0.35">
      <c r="B51" s="853"/>
      <c r="C51" s="859"/>
      <c r="D51" s="846"/>
      <c r="E51" s="854"/>
      <c r="F51" s="859"/>
      <c r="G51" s="846"/>
      <c r="H51" s="854"/>
      <c r="I51" s="863"/>
      <c r="J51" s="846"/>
      <c r="K51" s="854"/>
    </row>
    <row r="52" spans="2:11" x14ac:dyDescent="0.35">
      <c r="B52" s="853"/>
      <c r="C52" s="859"/>
      <c r="D52" s="846"/>
      <c r="E52" s="854"/>
      <c r="F52" s="859"/>
      <c r="G52" s="846"/>
      <c r="H52" s="854"/>
      <c r="I52" s="863"/>
      <c r="J52" s="846"/>
      <c r="K52" s="854"/>
    </row>
    <row r="53" spans="2:11" x14ac:dyDescent="0.35">
      <c r="B53" s="853"/>
      <c r="C53" s="859"/>
      <c r="D53" s="846"/>
      <c r="E53" s="854"/>
      <c r="F53" s="859"/>
      <c r="G53" s="846"/>
      <c r="H53" s="854"/>
      <c r="I53" s="863"/>
      <c r="J53" s="846"/>
      <c r="K53" s="854"/>
    </row>
    <row r="54" spans="2:11" x14ac:dyDescent="0.35">
      <c r="B54" s="853"/>
      <c r="C54" s="859"/>
      <c r="D54" s="846"/>
      <c r="E54" s="854"/>
      <c r="F54" s="859"/>
      <c r="G54" s="846"/>
      <c r="H54" s="854"/>
      <c r="I54" s="863"/>
      <c r="J54" s="846"/>
      <c r="K54" s="854"/>
    </row>
    <row r="55" spans="2:11" x14ac:dyDescent="0.35">
      <c r="B55" s="853"/>
      <c r="C55" s="859"/>
      <c r="D55" s="846"/>
      <c r="E55" s="854"/>
      <c r="F55" s="859"/>
      <c r="G55" s="846"/>
      <c r="H55" s="854"/>
      <c r="I55" s="863"/>
      <c r="J55" s="846"/>
      <c r="K55" s="854"/>
    </row>
    <row r="56" spans="2:11" x14ac:dyDescent="0.35">
      <c r="B56" s="853"/>
      <c r="C56" s="859"/>
      <c r="D56" s="846"/>
      <c r="E56" s="854"/>
      <c r="F56" s="859"/>
      <c r="G56" s="846"/>
      <c r="H56" s="854"/>
      <c r="I56" s="863"/>
      <c r="J56" s="846"/>
      <c r="K56" s="854"/>
    </row>
    <row r="57" spans="2:11" x14ac:dyDescent="0.35">
      <c r="B57" s="853"/>
      <c r="C57" s="859"/>
      <c r="D57" s="846"/>
      <c r="E57" s="854"/>
      <c r="F57" s="859"/>
      <c r="G57" s="846"/>
      <c r="H57" s="854"/>
      <c r="I57" s="863"/>
      <c r="J57" s="846"/>
      <c r="K57" s="854"/>
    </row>
    <row r="58" spans="2:11" x14ac:dyDescent="0.35">
      <c r="B58" s="853"/>
      <c r="C58" s="859"/>
      <c r="D58" s="846"/>
      <c r="E58" s="854"/>
      <c r="F58" s="859"/>
      <c r="G58" s="846"/>
      <c r="H58" s="854"/>
      <c r="I58" s="863"/>
      <c r="J58" s="846"/>
      <c r="K58" s="854"/>
    </row>
    <row r="59" spans="2:11" x14ac:dyDescent="0.35">
      <c r="B59" s="853"/>
      <c r="C59" s="859"/>
      <c r="D59" s="846"/>
      <c r="E59" s="854"/>
      <c r="F59" s="859"/>
      <c r="G59" s="846"/>
      <c r="H59" s="854"/>
      <c r="I59" s="863"/>
      <c r="J59" s="846"/>
      <c r="K59" s="854"/>
    </row>
    <row r="60" spans="2:11" x14ac:dyDescent="0.35">
      <c r="B60" s="853"/>
      <c r="C60" s="859"/>
      <c r="D60" s="846"/>
      <c r="E60" s="854"/>
      <c r="F60" s="859"/>
      <c r="G60" s="846"/>
      <c r="H60" s="854"/>
      <c r="I60" s="863"/>
      <c r="J60" s="846"/>
      <c r="K60" s="854"/>
    </row>
    <row r="61" spans="2:11" x14ac:dyDescent="0.35">
      <c r="B61" s="853"/>
      <c r="C61" s="859"/>
      <c r="D61" s="846"/>
      <c r="E61" s="854"/>
      <c r="F61" s="859"/>
      <c r="G61" s="846"/>
      <c r="H61" s="854"/>
      <c r="I61" s="863"/>
      <c r="J61" s="846"/>
      <c r="K61" s="854"/>
    </row>
    <row r="62" spans="2:11" x14ac:dyDescent="0.35">
      <c r="B62" s="853"/>
      <c r="C62" s="859"/>
      <c r="D62" s="846"/>
      <c r="E62" s="854"/>
      <c r="F62" s="859"/>
      <c r="G62" s="846"/>
      <c r="H62" s="854"/>
      <c r="I62" s="863"/>
      <c r="J62" s="846"/>
      <c r="K62" s="854"/>
    </row>
    <row r="63" spans="2:11" x14ac:dyDescent="0.35">
      <c r="B63" s="853"/>
      <c r="C63" s="859"/>
      <c r="D63" s="846"/>
      <c r="E63" s="854"/>
      <c r="F63" s="859"/>
      <c r="G63" s="846"/>
      <c r="H63" s="854"/>
      <c r="I63" s="863"/>
      <c r="J63" s="846"/>
      <c r="K63" s="854"/>
    </row>
    <row r="64" spans="2:11" x14ac:dyDescent="0.35">
      <c r="B64" s="853"/>
      <c r="C64" s="859"/>
      <c r="D64" s="846"/>
      <c r="E64" s="854"/>
      <c r="F64" s="859"/>
      <c r="G64" s="846"/>
      <c r="H64" s="854"/>
      <c r="I64" s="863"/>
      <c r="J64" s="846"/>
      <c r="K64" s="854"/>
    </row>
    <row r="65" spans="2:11" x14ac:dyDescent="0.35">
      <c r="B65" s="853"/>
      <c r="C65" s="859"/>
      <c r="D65" s="846"/>
      <c r="E65" s="854"/>
      <c r="F65" s="859"/>
      <c r="G65" s="846"/>
      <c r="H65" s="854"/>
      <c r="I65" s="863"/>
      <c r="J65" s="846"/>
      <c r="K65" s="854"/>
    </row>
    <row r="66" spans="2:11" x14ac:dyDescent="0.35">
      <c r="B66" s="853"/>
      <c r="C66" s="859"/>
      <c r="D66" s="846"/>
      <c r="E66" s="854"/>
      <c r="F66" s="859"/>
      <c r="G66" s="846"/>
      <c r="H66" s="854"/>
      <c r="I66" s="863"/>
      <c r="J66" s="846"/>
      <c r="K66" s="854"/>
    </row>
    <row r="67" spans="2:11" x14ac:dyDescent="0.35">
      <c r="B67" s="853"/>
      <c r="C67" s="859"/>
      <c r="D67" s="846"/>
      <c r="E67" s="854"/>
      <c r="F67" s="859"/>
      <c r="G67" s="846"/>
      <c r="H67" s="854"/>
      <c r="I67" s="863"/>
      <c r="J67" s="846"/>
      <c r="K67" s="854"/>
    </row>
    <row r="68" spans="2:11" x14ac:dyDescent="0.35">
      <c r="B68" s="853"/>
      <c r="C68" s="859"/>
      <c r="D68" s="846"/>
      <c r="E68" s="854"/>
      <c r="F68" s="859"/>
      <c r="G68" s="846"/>
      <c r="H68" s="854"/>
      <c r="I68" s="863"/>
      <c r="J68" s="846"/>
      <c r="K68" s="854"/>
    </row>
    <row r="69" spans="2:11" x14ac:dyDescent="0.35">
      <c r="B69" s="853"/>
      <c r="C69" s="859"/>
      <c r="D69" s="846"/>
      <c r="E69" s="854"/>
      <c r="F69" s="859"/>
      <c r="G69" s="846"/>
      <c r="H69" s="854"/>
      <c r="I69" s="863"/>
      <c r="J69" s="846"/>
      <c r="K69" s="854"/>
    </row>
    <row r="70" spans="2:11" x14ac:dyDescent="0.35">
      <c r="B70" s="853"/>
      <c r="C70" s="859"/>
      <c r="D70" s="846"/>
      <c r="E70" s="854"/>
      <c r="F70" s="859"/>
      <c r="G70" s="846"/>
      <c r="H70" s="854"/>
      <c r="I70" s="863"/>
      <c r="J70" s="846"/>
      <c r="K70" s="854"/>
    </row>
    <row r="71" spans="2:11" x14ac:dyDescent="0.35">
      <c r="B71" s="853"/>
      <c r="C71" s="859"/>
      <c r="D71" s="846"/>
      <c r="E71" s="854"/>
      <c r="F71" s="859"/>
      <c r="G71" s="846"/>
      <c r="H71" s="854"/>
      <c r="I71" s="863"/>
      <c r="J71" s="846"/>
      <c r="K71" s="854"/>
    </row>
    <row r="72" spans="2:11" ht="15" thickBot="1" x14ac:dyDescent="0.4">
      <c r="B72" s="855"/>
      <c r="C72" s="860"/>
      <c r="D72" s="856"/>
      <c r="E72" s="857"/>
      <c r="F72" s="860"/>
      <c r="G72" s="856"/>
      <c r="H72" s="857"/>
      <c r="I72" s="864"/>
      <c r="J72" s="856"/>
      <c r="K72" s="857"/>
    </row>
  </sheetData>
  <mergeCells count="1">
    <mergeCell ref="B9:K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L72"/>
  <sheetViews>
    <sheetView showGridLines="0" view="pageBreakPreview" zoomScaleNormal="100" zoomScaleSheetLayoutView="100" workbookViewId="0">
      <selection activeCell="H28" sqref="H28"/>
    </sheetView>
  </sheetViews>
  <sheetFormatPr defaultColWidth="10.81640625" defaultRowHeight="14.5" x14ac:dyDescent="0.35"/>
  <cols>
    <col min="1" max="1" width="3.453125" style="528" customWidth="1"/>
    <col min="2" max="2" width="20.1796875" style="528" customWidth="1"/>
    <col min="3" max="8" width="23.54296875" style="528" customWidth="1"/>
    <col min="9" max="9" width="4.453125" style="528" customWidth="1"/>
    <col min="10" max="16384" width="10.81640625" style="528"/>
  </cols>
  <sheetData>
    <row r="1" spans="1:12" x14ac:dyDescent="0.35">
      <c r="A1" s="110"/>
      <c r="B1" s="110"/>
      <c r="C1" s="110"/>
      <c r="D1" s="110"/>
      <c r="E1" s="110"/>
      <c r="F1" s="110"/>
      <c r="G1" s="110"/>
      <c r="H1" s="110"/>
      <c r="I1" s="110"/>
      <c r="J1" s="110"/>
      <c r="K1" s="110"/>
      <c r="L1" s="110"/>
    </row>
    <row r="2" spans="1:12" x14ac:dyDescent="0.35">
      <c r="A2" s="110"/>
      <c r="B2" s="112"/>
      <c r="C2" s="112"/>
      <c r="D2" s="112"/>
      <c r="E2" s="112"/>
      <c r="F2" s="112"/>
      <c r="G2" s="348"/>
      <c r="H2" s="348"/>
      <c r="I2" s="112"/>
      <c r="J2" s="112"/>
      <c r="K2" s="112"/>
      <c r="L2" s="112"/>
    </row>
    <row r="3" spans="1:12" ht="14.5" customHeight="1" x14ac:dyDescent="0.35">
      <c r="A3" s="110"/>
      <c r="B3" s="112"/>
      <c r="C3" s="112"/>
      <c r="D3" s="112"/>
      <c r="E3" s="833"/>
      <c r="F3" s="833"/>
      <c r="G3" s="165" t="s">
        <v>134</v>
      </c>
      <c r="H3" s="845">
        <f>'Default &amp; Recovery Stat'!H3</f>
        <v>0</v>
      </c>
      <c r="I3" s="111"/>
      <c r="J3" s="111"/>
      <c r="K3" s="111"/>
      <c r="L3" s="111"/>
    </row>
    <row r="4" spans="1:12" ht="14.5" customHeight="1" x14ac:dyDescent="0.35">
      <c r="A4" s="110"/>
      <c r="B4" s="112"/>
      <c r="C4" s="112"/>
      <c r="D4" s="112"/>
      <c r="E4" s="833"/>
      <c r="F4" s="833"/>
      <c r="G4" s="165" t="s">
        <v>1117</v>
      </c>
      <c r="H4" s="845">
        <f>'Default &amp; Recovery Stat'!H4</f>
        <v>0</v>
      </c>
      <c r="I4" s="111"/>
      <c r="J4" s="111"/>
      <c r="K4" s="111"/>
      <c r="L4" s="111"/>
    </row>
    <row r="5" spans="1:12" ht="14.5" customHeight="1" x14ac:dyDescent="0.35">
      <c r="A5" s="110"/>
      <c r="B5" s="112"/>
      <c r="C5" s="112"/>
      <c r="D5" s="112"/>
      <c r="E5" s="833"/>
      <c r="F5" s="833"/>
      <c r="G5" s="165" t="s">
        <v>94</v>
      </c>
      <c r="H5" s="845">
        <f>'Default &amp; Recovery Stat'!H5</f>
        <v>0</v>
      </c>
      <c r="I5" s="111"/>
      <c r="J5" s="111"/>
      <c r="K5" s="111"/>
      <c r="L5" s="111"/>
    </row>
    <row r="6" spans="1:12" ht="14.5" customHeight="1" x14ac:dyDescent="0.35">
      <c r="A6" s="110"/>
      <c r="B6" s="112"/>
      <c r="C6" s="112"/>
      <c r="D6" s="112"/>
      <c r="E6" s="833"/>
      <c r="F6" s="833"/>
      <c r="G6" s="165" t="s">
        <v>87</v>
      </c>
      <c r="H6" s="845">
        <f>'Default &amp; Recovery Stat'!H6</f>
        <v>0</v>
      </c>
      <c r="I6" s="112"/>
      <c r="J6" s="112"/>
      <c r="K6" s="112"/>
      <c r="L6" s="112"/>
    </row>
    <row r="7" spans="1:12" x14ac:dyDescent="0.35">
      <c r="A7" s="110"/>
      <c r="B7" s="112"/>
      <c r="C7" s="112"/>
      <c r="D7" s="112"/>
      <c r="E7" s="112"/>
      <c r="F7" s="112"/>
      <c r="G7" s="348"/>
      <c r="H7" s="348"/>
      <c r="I7" s="112"/>
      <c r="J7" s="112"/>
      <c r="K7" s="112"/>
      <c r="L7" s="112"/>
    </row>
    <row r="8" spans="1:12" x14ac:dyDescent="0.35">
      <c r="A8" s="527"/>
    </row>
    <row r="9" spans="1:12" x14ac:dyDescent="0.35">
      <c r="B9" s="727" t="s">
        <v>995</v>
      </c>
      <c r="C9" s="777"/>
      <c r="D9" s="778"/>
      <c r="E9" s="778"/>
      <c r="F9" s="778"/>
      <c r="G9" s="778"/>
      <c r="H9" s="778"/>
    </row>
    <row r="10" spans="1:12" x14ac:dyDescent="0.35">
      <c r="C10" s="544" t="s">
        <v>698</v>
      </c>
      <c r="D10" s="544" t="s">
        <v>699</v>
      </c>
      <c r="E10" s="544" t="s">
        <v>700</v>
      </c>
      <c r="F10" s="544" t="s">
        <v>701</v>
      </c>
      <c r="G10" s="544" t="s">
        <v>702</v>
      </c>
      <c r="H10" s="544" t="s">
        <v>703</v>
      </c>
    </row>
    <row r="11" spans="1:12" ht="54.75" customHeight="1" thickBot="1" x14ac:dyDescent="0.4">
      <c r="B11" s="766" t="s">
        <v>95</v>
      </c>
      <c r="C11" s="766" t="s">
        <v>996</v>
      </c>
      <c r="D11" s="766" t="s">
        <v>997</v>
      </c>
      <c r="E11" s="766" t="s">
        <v>998</v>
      </c>
      <c r="F11" s="766" t="s">
        <v>999</v>
      </c>
      <c r="G11" s="766" t="s">
        <v>1000</v>
      </c>
      <c r="H11" s="766" t="s">
        <v>1001</v>
      </c>
    </row>
    <row r="12" spans="1:12" ht="15" thickTop="1" x14ac:dyDescent="0.35">
      <c r="A12" s="554"/>
      <c r="B12" s="547"/>
      <c r="C12" s="548"/>
      <c r="D12" s="555"/>
      <c r="E12" s="556"/>
      <c r="F12" s="557"/>
      <c r="G12" s="558"/>
      <c r="H12" s="549"/>
    </row>
    <row r="13" spans="1:12" x14ac:dyDescent="0.35">
      <c r="B13" s="550"/>
      <c r="C13" s="551"/>
      <c r="D13" s="559"/>
      <c r="E13" s="559"/>
      <c r="F13" s="559"/>
      <c r="G13" s="559"/>
      <c r="H13" s="560"/>
    </row>
    <row r="14" spans="1:12" x14ac:dyDescent="0.35">
      <c r="B14" s="550"/>
      <c r="C14" s="551"/>
      <c r="D14" s="559"/>
      <c r="E14" s="559"/>
      <c r="F14" s="559"/>
      <c r="G14" s="559"/>
      <c r="H14" s="560"/>
    </row>
    <row r="15" spans="1:12" x14ac:dyDescent="0.35">
      <c r="B15" s="550"/>
      <c r="C15" s="551"/>
      <c r="D15" s="559"/>
      <c r="E15" s="559"/>
      <c r="F15" s="559"/>
      <c r="G15" s="559"/>
      <c r="H15" s="560"/>
    </row>
    <row r="16" spans="1:12" x14ac:dyDescent="0.35">
      <c r="B16" s="550"/>
      <c r="C16" s="551"/>
      <c r="D16" s="559"/>
      <c r="E16" s="559"/>
      <c r="F16" s="559"/>
      <c r="G16" s="559"/>
      <c r="H16" s="560"/>
    </row>
    <row r="17" spans="2:8" x14ac:dyDescent="0.35">
      <c r="B17" s="550"/>
      <c r="C17" s="551"/>
      <c r="D17" s="559"/>
      <c r="E17" s="559"/>
      <c r="F17" s="559"/>
      <c r="G17" s="559"/>
      <c r="H17" s="560"/>
    </row>
    <row r="18" spans="2:8" x14ac:dyDescent="0.35">
      <c r="B18" s="550"/>
      <c r="C18" s="551"/>
      <c r="D18" s="559"/>
      <c r="E18" s="559"/>
      <c r="F18" s="559"/>
      <c r="G18" s="559"/>
      <c r="H18" s="560"/>
    </row>
    <row r="19" spans="2:8" x14ac:dyDescent="0.35">
      <c r="B19" s="550"/>
      <c r="C19" s="551"/>
      <c r="D19" s="559"/>
      <c r="E19" s="559"/>
      <c r="F19" s="559"/>
      <c r="G19" s="559"/>
      <c r="H19" s="560"/>
    </row>
    <row r="20" spans="2:8" x14ac:dyDescent="0.35">
      <c r="B20" s="550"/>
      <c r="C20" s="551"/>
      <c r="D20" s="559"/>
      <c r="E20" s="559"/>
      <c r="F20" s="559"/>
      <c r="G20" s="559"/>
      <c r="H20" s="560"/>
    </row>
    <row r="21" spans="2:8" x14ac:dyDescent="0.35">
      <c r="B21" s="550"/>
      <c r="C21" s="551"/>
      <c r="D21" s="559"/>
      <c r="E21" s="559"/>
      <c r="F21" s="559"/>
      <c r="G21" s="559"/>
      <c r="H21" s="560"/>
    </row>
    <row r="22" spans="2:8" x14ac:dyDescent="0.35">
      <c r="B22" s="550"/>
      <c r="C22" s="551"/>
      <c r="D22" s="559"/>
      <c r="E22" s="559"/>
      <c r="F22" s="559"/>
      <c r="G22" s="559"/>
      <c r="H22" s="560"/>
    </row>
    <row r="23" spans="2:8" x14ac:dyDescent="0.35">
      <c r="B23" s="550"/>
      <c r="C23" s="551"/>
      <c r="D23" s="559"/>
      <c r="E23" s="559"/>
      <c r="F23" s="559"/>
      <c r="G23" s="559"/>
      <c r="H23" s="560"/>
    </row>
    <row r="24" spans="2:8" x14ac:dyDescent="0.35">
      <c r="B24" s="550"/>
      <c r="C24" s="551"/>
      <c r="D24" s="559"/>
      <c r="E24" s="559"/>
      <c r="F24" s="559"/>
      <c r="G24" s="559"/>
      <c r="H24" s="560"/>
    </row>
    <row r="25" spans="2:8" x14ac:dyDescent="0.35">
      <c r="B25" s="550"/>
      <c r="C25" s="551"/>
      <c r="D25" s="559"/>
      <c r="E25" s="559"/>
      <c r="F25" s="559"/>
      <c r="G25" s="559"/>
      <c r="H25" s="560"/>
    </row>
    <row r="26" spans="2:8" x14ac:dyDescent="0.35">
      <c r="B26" s="550"/>
      <c r="C26" s="551"/>
      <c r="D26" s="559"/>
      <c r="E26" s="559"/>
      <c r="F26" s="559"/>
      <c r="G26" s="559"/>
      <c r="H26" s="560"/>
    </row>
    <row r="27" spans="2:8" x14ac:dyDescent="0.35">
      <c r="B27" s="550"/>
      <c r="C27" s="551"/>
      <c r="D27" s="559"/>
      <c r="E27" s="559"/>
      <c r="F27" s="559"/>
      <c r="G27" s="559"/>
      <c r="H27" s="560"/>
    </row>
    <row r="28" spans="2:8" x14ac:dyDescent="0.35">
      <c r="B28" s="550"/>
      <c r="C28" s="551"/>
      <c r="D28" s="559"/>
      <c r="E28" s="559"/>
      <c r="F28" s="559"/>
      <c r="G28" s="559"/>
      <c r="H28" s="560"/>
    </row>
    <row r="29" spans="2:8" x14ac:dyDescent="0.35">
      <c r="B29" s="550"/>
      <c r="C29" s="551"/>
      <c r="D29" s="559"/>
      <c r="E29" s="559"/>
      <c r="F29" s="559"/>
      <c r="G29" s="559"/>
      <c r="H29" s="560"/>
    </row>
    <row r="30" spans="2:8" x14ac:dyDescent="0.35">
      <c r="B30" s="550"/>
      <c r="C30" s="551"/>
      <c r="D30" s="559"/>
      <c r="E30" s="559"/>
      <c r="F30" s="559"/>
      <c r="G30" s="559"/>
      <c r="H30" s="560"/>
    </row>
    <row r="31" spans="2:8" x14ac:dyDescent="0.35">
      <c r="B31" s="550"/>
      <c r="C31" s="551"/>
      <c r="D31" s="559"/>
      <c r="E31" s="559"/>
      <c r="F31" s="559"/>
      <c r="G31" s="559"/>
      <c r="H31" s="560"/>
    </row>
    <row r="32" spans="2:8" x14ac:dyDescent="0.35">
      <c r="B32" s="550"/>
      <c r="C32" s="551"/>
      <c r="D32" s="559"/>
      <c r="E32" s="559"/>
      <c r="F32" s="559"/>
      <c r="G32" s="559"/>
      <c r="H32" s="560"/>
    </row>
    <row r="33" spans="2:8" x14ac:dyDescent="0.35">
      <c r="B33" s="550"/>
      <c r="C33" s="551"/>
      <c r="D33" s="559"/>
      <c r="E33" s="559"/>
      <c r="F33" s="559"/>
      <c r="G33" s="559"/>
      <c r="H33" s="560"/>
    </row>
    <row r="34" spans="2:8" x14ac:dyDescent="0.35">
      <c r="B34" s="550"/>
      <c r="C34" s="551"/>
      <c r="D34" s="559"/>
      <c r="E34" s="559"/>
      <c r="F34" s="559"/>
      <c r="G34" s="559"/>
      <c r="H34" s="560"/>
    </row>
    <row r="35" spans="2:8" x14ac:dyDescent="0.35">
      <c r="B35" s="550"/>
      <c r="C35" s="551"/>
      <c r="D35" s="559"/>
      <c r="E35" s="559"/>
      <c r="F35" s="559"/>
      <c r="G35" s="559"/>
      <c r="H35" s="560"/>
    </row>
    <row r="36" spans="2:8" x14ac:dyDescent="0.35">
      <c r="B36" s="550"/>
      <c r="C36" s="551"/>
      <c r="D36" s="559"/>
      <c r="E36" s="559"/>
      <c r="F36" s="559"/>
      <c r="G36" s="559"/>
      <c r="H36" s="560"/>
    </row>
    <row r="37" spans="2:8" x14ac:dyDescent="0.35">
      <c r="B37" s="550"/>
      <c r="C37" s="551"/>
      <c r="D37" s="559"/>
      <c r="E37" s="559"/>
      <c r="F37" s="559"/>
      <c r="G37" s="559"/>
      <c r="H37" s="560"/>
    </row>
    <row r="38" spans="2:8" x14ac:dyDescent="0.35">
      <c r="B38" s="550"/>
      <c r="C38" s="551"/>
      <c r="D38" s="559"/>
      <c r="E38" s="559"/>
      <c r="F38" s="559"/>
      <c r="G38" s="559"/>
      <c r="H38" s="560"/>
    </row>
    <row r="39" spans="2:8" x14ac:dyDescent="0.35">
      <c r="B39" s="550"/>
      <c r="C39" s="551"/>
      <c r="D39" s="559"/>
      <c r="E39" s="559"/>
      <c r="F39" s="559"/>
      <c r="G39" s="559"/>
      <c r="H39" s="560"/>
    </row>
    <row r="40" spans="2:8" x14ac:dyDescent="0.35">
      <c r="B40" s="550"/>
      <c r="C40" s="551"/>
      <c r="D40" s="559"/>
      <c r="E40" s="559"/>
      <c r="F40" s="559"/>
      <c r="G40" s="559"/>
      <c r="H40" s="560"/>
    </row>
    <row r="41" spans="2:8" x14ac:dyDescent="0.35">
      <c r="B41" s="550"/>
      <c r="C41" s="551"/>
      <c r="D41" s="559"/>
      <c r="E41" s="559"/>
      <c r="F41" s="559"/>
      <c r="G41" s="559"/>
      <c r="H41" s="560"/>
    </row>
    <row r="42" spans="2:8" x14ac:dyDescent="0.35">
      <c r="B42" s="550"/>
      <c r="C42" s="551"/>
      <c r="D42" s="559"/>
      <c r="E42" s="559"/>
      <c r="F42" s="559"/>
      <c r="G42" s="559"/>
      <c r="H42" s="560"/>
    </row>
    <row r="43" spans="2:8" x14ac:dyDescent="0.35">
      <c r="B43" s="550"/>
      <c r="C43" s="551"/>
      <c r="D43" s="559"/>
      <c r="E43" s="559"/>
      <c r="F43" s="559"/>
      <c r="G43" s="559"/>
      <c r="H43" s="560"/>
    </row>
    <row r="44" spans="2:8" x14ac:dyDescent="0.35">
      <c r="B44" s="550"/>
      <c r="C44" s="551"/>
      <c r="D44" s="559"/>
      <c r="E44" s="559"/>
      <c r="F44" s="559"/>
      <c r="G44" s="559"/>
      <c r="H44" s="560"/>
    </row>
    <row r="45" spans="2:8" x14ac:dyDescent="0.35">
      <c r="B45" s="550"/>
      <c r="C45" s="551"/>
      <c r="D45" s="559"/>
      <c r="E45" s="559"/>
      <c r="F45" s="559"/>
      <c r="G45" s="559"/>
      <c r="H45" s="560"/>
    </row>
    <row r="46" spans="2:8" x14ac:dyDescent="0.35">
      <c r="B46" s="550"/>
      <c r="C46" s="551"/>
      <c r="D46" s="559"/>
      <c r="E46" s="559"/>
      <c r="F46" s="559"/>
      <c r="G46" s="559"/>
      <c r="H46" s="560"/>
    </row>
    <row r="47" spans="2:8" x14ac:dyDescent="0.35">
      <c r="B47" s="550"/>
      <c r="C47" s="551"/>
      <c r="D47" s="559"/>
      <c r="E47" s="559"/>
      <c r="F47" s="559"/>
      <c r="G47" s="559"/>
      <c r="H47" s="560"/>
    </row>
    <row r="48" spans="2:8" x14ac:dyDescent="0.35">
      <c r="B48" s="550"/>
      <c r="C48" s="551"/>
      <c r="D48" s="559"/>
      <c r="E48" s="559"/>
      <c r="F48" s="559"/>
      <c r="G48" s="559"/>
      <c r="H48" s="560"/>
    </row>
    <row r="49" spans="2:8" x14ac:dyDescent="0.35">
      <c r="B49" s="550"/>
      <c r="C49" s="551"/>
      <c r="D49" s="559"/>
      <c r="E49" s="559"/>
      <c r="F49" s="559"/>
      <c r="G49" s="559"/>
      <c r="H49" s="560"/>
    </row>
    <row r="50" spans="2:8" x14ac:dyDescent="0.35">
      <c r="B50" s="550"/>
      <c r="C50" s="551"/>
      <c r="D50" s="559"/>
      <c r="E50" s="559"/>
      <c r="F50" s="559"/>
      <c r="G50" s="559"/>
      <c r="H50" s="560"/>
    </row>
    <row r="51" spans="2:8" x14ac:dyDescent="0.35">
      <c r="B51" s="550"/>
      <c r="C51" s="551"/>
      <c r="D51" s="559"/>
      <c r="E51" s="559"/>
      <c r="F51" s="559"/>
      <c r="G51" s="559"/>
      <c r="H51" s="560"/>
    </row>
    <row r="52" spans="2:8" x14ac:dyDescent="0.35">
      <c r="B52" s="550"/>
      <c r="C52" s="551"/>
      <c r="D52" s="559"/>
      <c r="E52" s="559"/>
      <c r="F52" s="559"/>
      <c r="G52" s="559"/>
      <c r="H52" s="560"/>
    </row>
    <row r="53" spans="2:8" x14ac:dyDescent="0.35">
      <c r="B53" s="550"/>
      <c r="C53" s="551"/>
      <c r="D53" s="559"/>
      <c r="E53" s="559"/>
      <c r="F53" s="559"/>
      <c r="G53" s="559"/>
      <c r="H53" s="560"/>
    </row>
    <row r="54" spans="2:8" x14ac:dyDescent="0.35">
      <c r="B54" s="550"/>
      <c r="C54" s="551"/>
      <c r="D54" s="559"/>
      <c r="E54" s="559"/>
      <c r="F54" s="559"/>
      <c r="G54" s="559"/>
      <c r="H54" s="560"/>
    </row>
    <row r="55" spans="2:8" x14ac:dyDescent="0.35">
      <c r="B55" s="550"/>
      <c r="C55" s="551"/>
      <c r="D55" s="559"/>
      <c r="E55" s="559"/>
      <c r="F55" s="559"/>
      <c r="G55" s="559"/>
      <c r="H55" s="560"/>
    </row>
    <row r="56" spans="2:8" x14ac:dyDescent="0.35">
      <c r="B56" s="550"/>
      <c r="C56" s="551"/>
      <c r="D56" s="559"/>
      <c r="E56" s="559"/>
      <c r="F56" s="559"/>
      <c r="G56" s="559"/>
      <c r="H56" s="560"/>
    </row>
    <row r="57" spans="2:8" x14ac:dyDescent="0.35">
      <c r="B57" s="550"/>
      <c r="C57" s="551"/>
      <c r="D57" s="559"/>
      <c r="E57" s="559"/>
      <c r="F57" s="559"/>
      <c r="G57" s="559"/>
      <c r="H57" s="560"/>
    </row>
    <row r="58" spans="2:8" x14ac:dyDescent="0.35">
      <c r="B58" s="550"/>
      <c r="C58" s="551"/>
      <c r="D58" s="559"/>
      <c r="E58" s="559"/>
      <c r="F58" s="559"/>
      <c r="G58" s="559"/>
      <c r="H58" s="560"/>
    </row>
    <row r="59" spans="2:8" x14ac:dyDescent="0.35">
      <c r="B59" s="550"/>
      <c r="C59" s="551"/>
      <c r="D59" s="559"/>
      <c r="E59" s="559"/>
      <c r="F59" s="559"/>
      <c r="G59" s="559"/>
      <c r="H59" s="560"/>
    </row>
    <row r="60" spans="2:8" x14ac:dyDescent="0.35">
      <c r="B60" s="550"/>
      <c r="C60" s="551"/>
      <c r="D60" s="559"/>
      <c r="E60" s="559"/>
      <c r="F60" s="559"/>
      <c r="G60" s="559"/>
      <c r="H60" s="560"/>
    </row>
    <row r="61" spans="2:8" x14ac:dyDescent="0.35">
      <c r="B61" s="550"/>
      <c r="C61" s="551"/>
      <c r="D61" s="559"/>
      <c r="E61" s="559"/>
      <c r="F61" s="559"/>
      <c r="G61" s="559"/>
      <c r="H61" s="560"/>
    </row>
    <row r="62" spans="2:8" x14ac:dyDescent="0.35">
      <c r="B62" s="550"/>
      <c r="C62" s="551"/>
      <c r="D62" s="559"/>
      <c r="E62" s="559"/>
      <c r="F62" s="559"/>
      <c r="G62" s="559"/>
      <c r="H62" s="560"/>
    </row>
    <row r="63" spans="2:8" x14ac:dyDescent="0.35">
      <c r="B63" s="550"/>
      <c r="C63" s="551"/>
      <c r="D63" s="559"/>
      <c r="E63" s="559"/>
      <c r="F63" s="559"/>
      <c r="G63" s="559"/>
      <c r="H63" s="560"/>
    </row>
    <row r="64" spans="2:8" x14ac:dyDescent="0.35">
      <c r="B64" s="550"/>
      <c r="C64" s="551"/>
      <c r="D64" s="559"/>
      <c r="E64" s="559"/>
      <c r="F64" s="559"/>
      <c r="G64" s="559"/>
      <c r="H64" s="560"/>
    </row>
    <row r="65" spans="2:8" x14ac:dyDescent="0.35">
      <c r="B65" s="550"/>
      <c r="C65" s="551"/>
      <c r="D65" s="559"/>
      <c r="E65" s="559"/>
      <c r="F65" s="559"/>
      <c r="G65" s="559"/>
      <c r="H65" s="560"/>
    </row>
    <row r="66" spans="2:8" x14ac:dyDescent="0.35">
      <c r="B66" s="550"/>
      <c r="C66" s="551"/>
      <c r="D66" s="559"/>
      <c r="E66" s="559"/>
      <c r="F66" s="559"/>
      <c r="G66" s="559"/>
      <c r="H66" s="560"/>
    </row>
    <row r="67" spans="2:8" x14ac:dyDescent="0.35">
      <c r="B67" s="550"/>
      <c r="C67" s="551"/>
      <c r="D67" s="559"/>
      <c r="E67" s="559"/>
      <c r="F67" s="559"/>
      <c r="G67" s="559"/>
      <c r="H67" s="560"/>
    </row>
    <row r="68" spans="2:8" x14ac:dyDescent="0.35">
      <c r="B68" s="550"/>
      <c r="C68" s="551"/>
      <c r="D68" s="559"/>
      <c r="E68" s="559"/>
      <c r="F68" s="559"/>
      <c r="G68" s="559"/>
      <c r="H68" s="560"/>
    </row>
    <row r="69" spans="2:8" x14ac:dyDescent="0.35">
      <c r="B69" s="550"/>
      <c r="C69" s="551"/>
      <c r="D69" s="559"/>
      <c r="E69" s="559"/>
      <c r="F69" s="559"/>
      <c r="G69" s="559"/>
      <c r="H69" s="560"/>
    </row>
    <row r="70" spans="2:8" x14ac:dyDescent="0.35">
      <c r="B70" s="550"/>
      <c r="C70" s="551"/>
      <c r="D70" s="559"/>
      <c r="E70" s="559"/>
      <c r="F70" s="559"/>
      <c r="G70" s="559"/>
      <c r="H70" s="560"/>
    </row>
    <row r="71" spans="2:8" x14ac:dyDescent="0.35">
      <c r="B71" s="550"/>
      <c r="C71" s="551"/>
      <c r="D71" s="559"/>
      <c r="E71" s="559"/>
      <c r="F71" s="559"/>
      <c r="G71" s="559"/>
      <c r="H71" s="560"/>
    </row>
    <row r="72" spans="2:8" x14ac:dyDescent="0.35">
      <c r="B72" s="550"/>
      <c r="C72" s="551"/>
      <c r="D72" s="559"/>
      <c r="E72" s="559"/>
      <c r="F72" s="559"/>
      <c r="G72" s="559"/>
      <c r="H72" s="560"/>
    </row>
  </sheetData>
  <pageMargins left="0.7" right="0.7" top="0.75" bottom="0.75" header="0.3" footer="0.3"/>
  <pageSetup paperSize="9" scale="5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L25"/>
  <sheetViews>
    <sheetView showGridLines="0" view="pageBreakPreview" zoomScale="90" zoomScaleNormal="100" zoomScaleSheetLayoutView="90" workbookViewId="0">
      <selection activeCell="R26" sqref="R26"/>
    </sheetView>
  </sheetViews>
  <sheetFormatPr defaultColWidth="9.1796875" defaultRowHeight="12.5" x14ac:dyDescent="0.25"/>
  <cols>
    <col min="1" max="1" width="3.453125" customWidth="1"/>
    <col min="3" max="3" width="1.7265625" customWidth="1"/>
    <col min="4" max="4" width="18.1796875" customWidth="1"/>
    <col min="5" max="5" width="25.7265625" customWidth="1"/>
    <col min="6" max="6" width="22.7265625" customWidth="1"/>
    <col min="7" max="7" width="12.1796875" bestFit="1" customWidth="1"/>
    <col min="8" max="8" width="3.81640625" customWidth="1"/>
    <col min="9" max="9" width="27.54296875" customWidth="1"/>
    <col min="10" max="10" width="18.7265625" customWidth="1"/>
    <col min="11" max="11" width="22.7265625" customWidth="1"/>
    <col min="12" max="13" width="14.54296875" bestFit="1" customWidth="1"/>
  </cols>
  <sheetData>
    <row r="1" spans="1:11" x14ac:dyDescent="0.25">
      <c r="A1" s="191"/>
    </row>
    <row r="4" spans="1:11" ht="14.5" x14ac:dyDescent="0.25">
      <c r="J4" s="441"/>
      <c r="K4" s="165"/>
    </row>
    <row r="5" spans="1:11" ht="14.5" x14ac:dyDescent="0.25">
      <c r="J5" s="441"/>
      <c r="K5" s="165"/>
    </row>
    <row r="6" spans="1:11" ht="14.5" x14ac:dyDescent="0.25">
      <c r="J6" s="441"/>
      <c r="K6" s="165"/>
    </row>
    <row r="9" spans="1:11" ht="13" thickBot="1" x14ac:dyDescent="0.3"/>
    <row r="10" spans="1:11" ht="16.5" customHeight="1" thickBot="1" x14ac:dyDescent="0.4">
      <c r="C10" s="779" t="s">
        <v>224</v>
      </c>
      <c r="D10" s="780"/>
      <c r="E10" s="781"/>
      <c r="F10" s="781"/>
      <c r="G10" s="781"/>
      <c r="H10" s="781"/>
      <c r="I10" s="781"/>
      <c r="J10" s="781"/>
      <c r="K10" s="782"/>
    </row>
    <row r="11" spans="1:11" ht="18" x14ac:dyDescent="0.4">
      <c r="C11" s="124"/>
      <c r="D11" s="125"/>
      <c r="E11" s="124"/>
      <c r="F11" s="124"/>
      <c r="G11" s="124"/>
      <c r="H11" s="124"/>
      <c r="I11" s="124"/>
      <c r="J11" s="124"/>
      <c r="K11" s="124"/>
    </row>
    <row r="12" spans="1:11" ht="14" x14ac:dyDescent="0.25">
      <c r="C12" s="1007" t="s">
        <v>88</v>
      </c>
      <c r="D12" s="1008"/>
      <c r="E12" s="1008"/>
      <c r="F12" s="1009"/>
      <c r="G12" s="126"/>
      <c r="H12" s="1010" t="s">
        <v>89</v>
      </c>
      <c r="I12" s="1011" t="s">
        <v>19</v>
      </c>
      <c r="J12" s="1011"/>
      <c r="K12" s="1012" t="s">
        <v>1</v>
      </c>
    </row>
    <row r="13" spans="1:11" ht="14" x14ac:dyDescent="0.25">
      <c r="C13" s="151"/>
      <c r="D13" s="152"/>
      <c r="E13" s="153"/>
      <c r="F13" s="154"/>
      <c r="G13" s="128"/>
      <c r="H13" s="135"/>
      <c r="I13" s="623"/>
      <c r="J13" s="136"/>
      <c r="K13" s="145"/>
    </row>
    <row r="14" spans="1:11" ht="14" x14ac:dyDescent="0.3">
      <c r="C14" s="155"/>
      <c r="D14" s="132" t="s">
        <v>1157</v>
      </c>
      <c r="E14" s="130"/>
      <c r="F14" s="156"/>
      <c r="G14" s="128"/>
      <c r="H14" s="137"/>
      <c r="I14" s="129" t="s">
        <v>272</v>
      </c>
      <c r="J14" s="138"/>
      <c r="K14" s="146"/>
    </row>
    <row r="15" spans="1:11" ht="14" x14ac:dyDescent="0.3">
      <c r="C15" s="155"/>
      <c r="D15" s="132"/>
      <c r="E15" s="130"/>
      <c r="F15" s="156"/>
      <c r="G15" s="192"/>
      <c r="H15" s="137"/>
      <c r="I15" s="129"/>
      <c r="J15" s="138"/>
      <c r="K15" s="146"/>
    </row>
    <row r="16" spans="1:11" ht="14" x14ac:dyDescent="0.3">
      <c r="C16" s="157"/>
      <c r="D16" s="132" t="s">
        <v>238</v>
      </c>
      <c r="E16" s="130"/>
      <c r="F16" s="156"/>
      <c r="G16" s="128"/>
      <c r="H16" s="137"/>
      <c r="I16" s="129" t="s">
        <v>1156</v>
      </c>
      <c r="J16" s="139"/>
      <c r="K16" s="147"/>
    </row>
    <row r="17" spans="3:12" ht="14" x14ac:dyDescent="0.3">
      <c r="C17" s="157"/>
      <c r="D17" s="624" t="s">
        <v>1159</v>
      </c>
      <c r="E17" s="130"/>
      <c r="F17" s="156"/>
      <c r="G17" s="128"/>
      <c r="H17" s="140"/>
      <c r="I17" s="127"/>
      <c r="J17" s="141"/>
      <c r="K17" s="146"/>
    </row>
    <row r="18" spans="3:12" ht="14" x14ac:dyDescent="0.3">
      <c r="C18" s="158"/>
      <c r="D18" s="132" t="s">
        <v>239</v>
      </c>
      <c r="E18" s="131"/>
      <c r="F18" s="156"/>
      <c r="G18" s="133"/>
      <c r="H18" s="140"/>
      <c r="I18" s="2" t="s">
        <v>1178</v>
      </c>
      <c r="J18" s="139"/>
      <c r="K18" s="147"/>
    </row>
    <row r="19" spans="3:12" ht="14" x14ac:dyDescent="0.25">
      <c r="C19" s="158"/>
      <c r="D19" s="132" t="s">
        <v>1158</v>
      </c>
      <c r="E19" s="131"/>
      <c r="F19" s="156"/>
      <c r="G19" s="133"/>
      <c r="H19" s="140"/>
      <c r="I19" s="127"/>
      <c r="J19" s="141"/>
      <c r="K19" s="147"/>
    </row>
    <row r="20" spans="3:12" ht="15.5" x14ac:dyDescent="0.25">
      <c r="C20" s="159"/>
      <c r="D20" s="160"/>
      <c r="E20" s="161"/>
      <c r="F20" s="162"/>
      <c r="G20" s="134"/>
      <c r="H20" s="142"/>
      <c r="I20" s="143"/>
      <c r="J20" s="144"/>
      <c r="K20" s="148"/>
    </row>
    <row r="21" spans="3:12" ht="15.5" x14ac:dyDescent="0.25">
      <c r="C21" s="163"/>
      <c r="D21" s="164" t="s">
        <v>2</v>
      </c>
      <c r="E21" s="164"/>
      <c r="F21" s="806">
        <f>F14+F17+F18+F15+F16</f>
        <v>0</v>
      </c>
      <c r="G21" s="124"/>
      <c r="H21" s="149"/>
      <c r="I21" s="150" t="s">
        <v>2</v>
      </c>
      <c r="J21" s="150"/>
      <c r="K21" s="805">
        <f>K14+K16+K18</f>
        <v>0</v>
      </c>
      <c r="L21" s="3" t="b">
        <f>F21=K21</f>
        <v>1</v>
      </c>
    </row>
    <row r="25" spans="3:12" x14ac:dyDescent="0.25">
      <c r="F25" s="3"/>
    </row>
  </sheetData>
  <mergeCells count="2">
    <mergeCell ref="C12:F12"/>
    <mergeCell ref="H12:K12"/>
  </mergeCells>
  <pageMargins left="0.7" right="0.7" top="0.75" bottom="0.75" header="0.3" footer="0.3"/>
  <pageSetup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N106"/>
  <sheetViews>
    <sheetView showGridLines="0" zoomScale="90" zoomScaleNormal="90" zoomScaleSheetLayoutView="70" workbookViewId="0">
      <selection activeCell="E10" sqref="E10"/>
    </sheetView>
  </sheetViews>
  <sheetFormatPr defaultColWidth="11.453125" defaultRowHeight="14.5" x14ac:dyDescent="0.35"/>
  <cols>
    <col min="1" max="1" width="11.453125" style="8"/>
    <col min="2" max="2" width="30.26953125" style="8" bestFit="1" customWidth="1"/>
    <col min="3" max="3" width="3" style="8" customWidth="1"/>
    <col min="4" max="4" width="34.7265625" style="8" customWidth="1"/>
    <col min="5" max="5" width="34" style="8" customWidth="1"/>
    <col min="6" max="6" width="24.453125" style="8" bestFit="1" customWidth="1"/>
    <col min="7" max="7" width="25.1796875" style="8" customWidth="1"/>
    <col min="8" max="8" width="30.54296875" style="8" customWidth="1"/>
    <col min="9" max="9" width="31.1796875" style="8" customWidth="1"/>
    <col min="10" max="10" width="24.81640625" style="8" customWidth="1"/>
    <col min="11" max="11" width="25.1796875" style="9" customWidth="1"/>
    <col min="12" max="13" width="25.1796875" style="8" customWidth="1"/>
    <col min="14" max="16384" width="11.453125" style="8"/>
  </cols>
  <sheetData>
    <row r="1" spans="2:12" ht="21.75" customHeight="1" x14ac:dyDescent="0.35">
      <c r="K1" s="8"/>
    </row>
    <row r="2" spans="2:12" x14ac:dyDescent="0.35">
      <c r="K2" s="8"/>
    </row>
    <row r="3" spans="2:12" x14ac:dyDescent="0.35">
      <c r="K3" s="8"/>
    </row>
    <row r="4" spans="2:12" x14ac:dyDescent="0.35">
      <c r="K4" s="8"/>
    </row>
    <row r="5" spans="2:12" x14ac:dyDescent="0.35">
      <c r="K5" s="8"/>
    </row>
    <row r="7" spans="2:12" x14ac:dyDescent="0.35">
      <c r="B7" s="1006" t="s">
        <v>221</v>
      </c>
      <c r="C7" s="1006"/>
      <c r="D7" s="1006"/>
      <c r="E7" s="1006"/>
      <c r="F7" s="1006"/>
      <c r="G7" s="1006"/>
      <c r="H7" s="1006"/>
      <c r="I7" s="1006"/>
      <c r="J7" s="9"/>
    </row>
    <row r="8" spans="2:12" ht="15" thickBot="1" x14ac:dyDescent="0.4"/>
    <row r="9" spans="2:12" ht="15" thickBot="1" x14ac:dyDescent="0.4">
      <c r="B9" s="435" t="s">
        <v>130</v>
      </c>
      <c r="D9" s="435">
        <v>1</v>
      </c>
    </row>
    <row r="11" spans="2:12" ht="15" thickBot="1" x14ac:dyDescent="0.4"/>
    <row r="12" spans="2:12" ht="63" customHeight="1" thickTop="1" thickBot="1" x14ac:dyDescent="0.4">
      <c r="B12" s="787" t="s">
        <v>135</v>
      </c>
      <c r="C12" s="432"/>
      <c r="D12" s="1019"/>
      <c r="E12" s="1020"/>
    </row>
    <row r="13" spans="2:12" ht="16.5" customHeight="1" thickTop="1" thickBot="1" x14ac:dyDescent="0.4">
      <c r="B13" s="433"/>
      <c r="C13" s="433"/>
      <c r="D13" s="433"/>
      <c r="E13" s="433"/>
      <c r="F13" s="338"/>
    </row>
    <row r="14" spans="2:12" x14ac:dyDescent="0.35">
      <c r="B14" s="783" t="s">
        <v>1131</v>
      </c>
      <c r="C14" s="434"/>
      <c r="D14" s="1017" t="s">
        <v>1132</v>
      </c>
      <c r="E14" s="1017"/>
      <c r="K14" s="8"/>
    </row>
    <row r="15" spans="2:12" x14ac:dyDescent="0.35">
      <c r="B15" s="784" t="s">
        <v>1137</v>
      </c>
      <c r="C15" s="434"/>
      <c r="D15" s="1018" t="s">
        <v>1138</v>
      </c>
      <c r="E15" s="1018"/>
      <c r="K15" s="8"/>
    </row>
    <row r="16" spans="2:12" x14ac:dyDescent="0.35">
      <c r="B16" s="785" t="s">
        <v>132</v>
      </c>
      <c r="C16" s="432"/>
      <c r="D16" s="1018" t="s">
        <v>1128</v>
      </c>
      <c r="E16" s="1018"/>
      <c r="K16" s="335"/>
      <c r="L16" s="336"/>
    </row>
    <row r="17" spans="1:14" x14ac:dyDescent="0.35">
      <c r="B17" s="785" t="s">
        <v>131</v>
      </c>
      <c r="C17" s="433"/>
      <c r="D17" s="1018" t="s">
        <v>1128</v>
      </c>
      <c r="E17" s="1018"/>
      <c r="K17" s="335"/>
      <c r="L17" s="336"/>
    </row>
    <row r="18" spans="1:14" ht="72" customHeight="1" x14ac:dyDescent="0.35">
      <c r="B18" s="785" t="s">
        <v>1130</v>
      </c>
      <c r="C18" s="433"/>
      <c r="D18" s="1015" t="s">
        <v>1133</v>
      </c>
      <c r="E18" s="1016"/>
      <c r="F18" s="337"/>
      <c r="K18" s="8"/>
    </row>
    <row r="19" spans="1:14" ht="72" customHeight="1" x14ac:dyDescent="0.35">
      <c r="B19" s="785" t="s">
        <v>1134</v>
      </c>
      <c r="C19" s="433"/>
      <c r="D19" s="1015" t="s">
        <v>1133</v>
      </c>
      <c r="E19" s="1016"/>
      <c r="F19" s="337"/>
      <c r="K19" s="8"/>
    </row>
    <row r="20" spans="1:14" ht="92.25" customHeight="1" x14ac:dyDescent="0.35">
      <c r="B20" s="785" t="s">
        <v>133</v>
      </c>
      <c r="C20" s="433"/>
      <c r="D20" s="1015" t="s">
        <v>1123</v>
      </c>
      <c r="E20" s="1016"/>
      <c r="F20" s="337"/>
      <c r="K20" s="8"/>
    </row>
    <row r="21" spans="1:14" ht="45.75" customHeight="1" x14ac:dyDescent="0.35">
      <c r="B21" s="785" t="s">
        <v>1117</v>
      </c>
      <c r="C21" s="433"/>
      <c r="D21" s="1015" t="s">
        <v>1120</v>
      </c>
      <c r="E21" s="1016"/>
      <c r="F21" s="337"/>
      <c r="K21" s="8"/>
    </row>
    <row r="22" spans="1:14" ht="45.75" customHeight="1" x14ac:dyDescent="0.35">
      <c r="B22" s="785" t="s">
        <v>94</v>
      </c>
      <c r="C22" s="433"/>
      <c r="D22" s="1015" t="s">
        <v>1121</v>
      </c>
      <c r="E22" s="1016"/>
      <c r="F22" s="337"/>
    </row>
    <row r="23" spans="1:14" ht="45.75" customHeight="1" x14ac:dyDescent="0.35">
      <c r="B23" s="785" t="s">
        <v>1139</v>
      </c>
      <c r="C23" s="433"/>
      <c r="D23" s="1015" t="s">
        <v>1140</v>
      </c>
      <c r="E23" s="1016"/>
      <c r="F23" s="337"/>
    </row>
    <row r="24" spans="1:14" ht="45.75" customHeight="1" x14ac:dyDescent="0.35">
      <c r="B24" s="785" t="s">
        <v>1141</v>
      </c>
      <c r="C24" s="433"/>
      <c r="D24" s="1015" t="s">
        <v>1142</v>
      </c>
      <c r="E24" s="1016"/>
      <c r="F24" s="337"/>
    </row>
    <row r="25" spans="1:14" ht="45.75" customHeight="1" thickBot="1" x14ac:dyDescent="0.4">
      <c r="B25" s="785" t="s">
        <v>1118</v>
      </c>
      <c r="C25" s="433"/>
      <c r="D25" s="1015" t="s">
        <v>1129</v>
      </c>
      <c r="E25" s="1016"/>
      <c r="F25" s="337"/>
    </row>
    <row r="26" spans="1:14" ht="45.75" customHeight="1" x14ac:dyDescent="0.35">
      <c r="B26" s="785" t="s">
        <v>87</v>
      </c>
      <c r="C26" s="433"/>
      <c r="D26" s="1015" t="s">
        <v>1122</v>
      </c>
      <c r="E26" s="1016"/>
      <c r="F26" s="337"/>
      <c r="G26" s="783" t="s">
        <v>1146</v>
      </c>
      <c r="H26" s="1023" t="s">
        <v>1147</v>
      </c>
      <c r="I26" s="1024"/>
      <c r="K26" s="8"/>
    </row>
    <row r="27" spans="1:14" ht="45.65" customHeight="1" x14ac:dyDescent="0.35">
      <c r="B27" s="785" t="s">
        <v>1136</v>
      </c>
      <c r="C27" s="433"/>
      <c r="D27" s="1015" t="s">
        <v>1135</v>
      </c>
      <c r="E27" s="1016"/>
      <c r="F27" s="622"/>
      <c r="G27" s="785" t="s">
        <v>1148</v>
      </c>
      <c r="H27" s="1025" t="s">
        <v>1155</v>
      </c>
      <c r="I27" s="1026"/>
      <c r="K27" s="8"/>
    </row>
    <row r="28" spans="1:14" ht="45.65" customHeight="1" x14ac:dyDescent="0.35">
      <c r="B28" s="785" t="s">
        <v>1143</v>
      </c>
      <c r="C28" s="433"/>
      <c r="D28" s="1015" t="s">
        <v>1144</v>
      </c>
      <c r="E28" s="1016"/>
      <c r="F28" s="621"/>
      <c r="G28" s="785" t="s">
        <v>1149</v>
      </c>
      <c r="H28" s="1025" t="s">
        <v>1150</v>
      </c>
      <c r="I28" s="1026"/>
      <c r="K28" s="8"/>
    </row>
    <row r="29" spans="1:14" ht="45.65" customHeight="1" x14ac:dyDescent="0.35">
      <c r="A29" s="722"/>
      <c r="B29" s="785" t="s">
        <v>1145</v>
      </c>
      <c r="C29" s="433"/>
      <c r="D29" s="1015" t="s">
        <v>1144</v>
      </c>
      <c r="E29" s="1016"/>
      <c r="F29" s="621"/>
      <c r="G29" s="785" t="s">
        <v>1151</v>
      </c>
      <c r="H29" s="1025" t="s">
        <v>1152</v>
      </c>
      <c r="I29" s="1026"/>
      <c r="K29" s="8"/>
    </row>
    <row r="30" spans="1:14" ht="45.75" customHeight="1" thickBot="1" x14ac:dyDescent="0.4">
      <c r="B30" s="786" t="s">
        <v>179</v>
      </c>
      <c r="C30" s="433"/>
      <c r="D30" s="1013"/>
      <c r="E30" s="1014"/>
      <c r="G30" s="786" t="s">
        <v>1153</v>
      </c>
      <c r="H30" s="1021" t="s">
        <v>1154</v>
      </c>
      <c r="I30" s="1022"/>
      <c r="K30" s="8"/>
    </row>
    <row r="31" spans="1:14" ht="45.75" customHeight="1" x14ac:dyDescent="0.35">
      <c r="H31" s="799"/>
      <c r="K31" s="8"/>
    </row>
    <row r="32" spans="1:14" s="9" customFormat="1" ht="15" thickBot="1" x14ac:dyDescent="0.4">
      <c r="A32" s="8"/>
      <c r="B32" s="8"/>
      <c r="C32" s="8"/>
      <c r="D32" s="8"/>
      <c r="E32" s="8"/>
      <c r="F32" s="8"/>
      <c r="G32" s="800"/>
      <c r="H32" s="8"/>
      <c r="I32" s="8"/>
      <c r="J32" s="8"/>
      <c r="K32" s="8"/>
      <c r="L32" s="8"/>
      <c r="N32" s="8"/>
    </row>
    <row r="33" spans="1:14" s="9" customFormat="1" ht="26.5" thickBot="1" x14ac:dyDescent="0.4">
      <c r="A33" s="8"/>
      <c r="B33" s="427" t="s">
        <v>103</v>
      </c>
      <c r="D33" s="788" t="s">
        <v>1126</v>
      </c>
      <c r="E33" s="789" t="s">
        <v>1127</v>
      </c>
      <c r="F33" s="788" t="s">
        <v>1124</v>
      </c>
      <c r="G33" s="789" t="s">
        <v>1125</v>
      </c>
      <c r="H33" s="789" t="s">
        <v>1117</v>
      </c>
      <c r="I33" s="790" t="s">
        <v>94</v>
      </c>
      <c r="J33" s="790" t="s">
        <v>1118</v>
      </c>
      <c r="K33" s="788" t="s">
        <v>87</v>
      </c>
      <c r="L33" s="8"/>
      <c r="N33" s="8"/>
    </row>
    <row r="34" spans="1:14" s="9" customFormat="1" x14ac:dyDescent="0.35">
      <c r="A34" s="8"/>
      <c r="B34" s="424"/>
      <c r="D34" s="327"/>
      <c r="E34" s="339"/>
      <c r="F34" s="339" t="s">
        <v>1116</v>
      </c>
      <c r="G34" s="339">
        <v>45291</v>
      </c>
      <c r="H34" s="339">
        <v>45306</v>
      </c>
      <c r="I34" s="339"/>
      <c r="J34" s="339"/>
      <c r="K34" s="10"/>
      <c r="L34" s="8"/>
      <c r="N34" s="8"/>
    </row>
    <row r="35" spans="1:14" s="9" customFormat="1" x14ac:dyDescent="0.35">
      <c r="A35" s="8"/>
      <c r="B35" s="425"/>
      <c r="D35" s="328"/>
      <c r="E35" s="340"/>
      <c r="F35" s="340">
        <v>45292</v>
      </c>
      <c r="G35" s="340">
        <v>45322</v>
      </c>
      <c r="H35" s="340">
        <v>45336</v>
      </c>
      <c r="I35" s="340"/>
      <c r="J35" s="340"/>
      <c r="K35" s="11"/>
      <c r="L35" s="8"/>
      <c r="N35" s="8"/>
    </row>
    <row r="36" spans="1:14" s="9" customFormat="1" x14ac:dyDescent="0.35">
      <c r="A36" s="8"/>
      <c r="B36" s="425"/>
      <c r="D36" s="328"/>
      <c r="E36" s="340"/>
      <c r="F36" s="340">
        <v>45323</v>
      </c>
      <c r="G36" s="340">
        <v>45351</v>
      </c>
      <c r="H36" s="340">
        <v>45365</v>
      </c>
      <c r="I36" s="340"/>
      <c r="J36" s="340"/>
      <c r="K36" s="11"/>
      <c r="L36" s="8"/>
      <c r="N36" s="8"/>
    </row>
    <row r="37" spans="1:14" s="9" customFormat="1" x14ac:dyDescent="0.35">
      <c r="A37" s="8"/>
      <c r="B37" s="425">
        <v>1</v>
      </c>
      <c r="D37" s="620" t="s">
        <v>1116</v>
      </c>
      <c r="E37" s="340">
        <v>45382</v>
      </c>
      <c r="F37" s="340">
        <v>45352</v>
      </c>
      <c r="G37" s="340">
        <v>45382</v>
      </c>
      <c r="H37" s="340">
        <v>45397</v>
      </c>
      <c r="I37" s="340">
        <v>45401</v>
      </c>
      <c r="J37" s="340">
        <v>45405</v>
      </c>
      <c r="K37" s="11">
        <v>45407</v>
      </c>
      <c r="L37" s="8"/>
      <c r="N37" s="8"/>
    </row>
    <row r="38" spans="1:14" s="9" customFormat="1" x14ac:dyDescent="0.35">
      <c r="A38" s="8"/>
      <c r="B38" s="425"/>
      <c r="D38" s="328" t="s">
        <v>1119</v>
      </c>
      <c r="E38" s="340"/>
      <c r="F38" s="340">
        <v>45383</v>
      </c>
      <c r="G38" s="340">
        <v>45412</v>
      </c>
      <c r="H38" s="340">
        <v>45429</v>
      </c>
      <c r="I38" s="340" t="s">
        <v>1119</v>
      </c>
      <c r="J38" s="340" t="s">
        <v>1119</v>
      </c>
      <c r="K38" s="11" t="s">
        <v>1119</v>
      </c>
      <c r="L38" s="8"/>
      <c r="N38" s="8"/>
    </row>
    <row r="39" spans="1:14" s="9" customFormat="1" x14ac:dyDescent="0.35">
      <c r="A39" s="8"/>
      <c r="B39" s="425"/>
      <c r="D39" s="328" t="s">
        <v>1119</v>
      </c>
      <c r="E39" s="340"/>
      <c r="F39" s="340">
        <v>45413</v>
      </c>
      <c r="G39" s="340">
        <v>45443</v>
      </c>
      <c r="H39" s="340">
        <v>45457</v>
      </c>
      <c r="I39" s="340" t="s">
        <v>1119</v>
      </c>
      <c r="J39" s="340" t="s">
        <v>1119</v>
      </c>
      <c r="K39" s="11" t="s">
        <v>1119</v>
      </c>
      <c r="L39" s="8"/>
      <c r="N39" s="8"/>
    </row>
    <row r="40" spans="1:14" s="9" customFormat="1" x14ac:dyDescent="0.35">
      <c r="A40" s="8"/>
      <c r="B40" s="425">
        <v>2</v>
      </c>
      <c r="D40" s="328">
        <v>45383</v>
      </c>
      <c r="E40" s="340">
        <v>45473</v>
      </c>
      <c r="F40" s="340">
        <v>45444</v>
      </c>
      <c r="G40" s="340">
        <v>45473</v>
      </c>
      <c r="H40" s="340">
        <v>45485</v>
      </c>
      <c r="I40" s="340">
        <v>45491</v>
      </c>
      <c r="J40" s="340">
        <v>45496</v>
      </c>
      <c r="K40" s="11">
        <v>45498</v>
      </c>
      <c r="L40" s="8"/>
      <c r="N40" s="8"/>
    </row>
    <row r="41" spans="1:14" s="9" customFormat="1" x14ac:dyDescent="0.35">
      <c r="A41" s="8"/>
      <c r="B41" s="425"/>
      <c r="D41" s="328"/>
      <c r="E41" s="340"/>
      <c r="F41" s="340">
        <v>45474</v>
      </c>
      <c r="G41" s="340">
        <v>45504</v>
      </c>
      <c r="H41" s="340">
        <v>45518</v>
      </c>
      <c r="I41" s="340" t="s">
        <v>1119</v>
      </c>
      <c r="J41" s="340" t="s">
        <v>1119</v>
      </c>
      <c r="K41" s="11" t="s">
        <v>1119</v>
      </c>
      <c r="L41" s="8"/>
      <c r="N41" s="8"/>
    </row>
    <row r="42" spans="1:14" s="9" customFormat="1" x14ac:dyDescent="0.35">
      <c r="A42" s="8"/>
      <c r="B42" s="425"/>
      <c r="D42" s="328"/>
      <c r="E42" s="340"/>
      <c r="F42" s="340">
        <v>45505</v>
      </c>
      <c r="G42" s="340">
        <v>45535</v>
      </c>
      <c r="H42" s="340">
        <v>45548</v>
      </c>
      <c r="I42" s="340" t="s">
        <v>1119</v>
      </c>
      <c r="J42" s="340" t="s">
        <v>1119</v>
      </c>
      <c r="K42" s="11" t="s">
        <v>1119</v>
      </c>
      <c r="L42" s="8"/>
      <c r="N42" s="8"/>
    </row>
    <row r="43" spans="1:14" s="9" customFormat="1" x14ac:dyDescent="0.35">
      <c r="A43" s="8"/>
      <c r="B43" s="425">
        <v>3</v>
      </c>
      <c r="D43" s="328">
        <v>45474</v>
      </c>
      <c r="E43" s="340">
        <v>45565</v>
      </c>
      <c r="F43" s="340">
        <v>45536</v>
      </c>
      <c r="G43" s="340">
        <v>45565</v>
      </c>
      <c r="H43" s="340">
        <v>45579</v>
      </c>
      <c r="I43" s="340">
        <v>45583</v>
      </c>
      <c r="J43" s="340">
        <v>45588</v>
      </c>
      <c r="K43" s="11">
        <v>45590</v>
      </c>
      <c r="L43" s="8"/>
      <c r="N43" s="8"/>
    </row>
    <row r="44" spans="1:14" s="9" customFormat="1" x14ac:dyDescent="0.35">
      <c r="A44" s="8"/>
      <c r="B44" s="425"/>
      <c r="D44" s="328"/>
      <c r="E44" s="340"/>
      <c r="F44" s="340">
        <v>45566</v>
      </c>
      <c r="G44" s="340">
        <v>45596</v>
      </c>
      <c r="H44" s="340">
        <v>45614</v>
      </c>
      <c r="I44" s="340" t="s">
        <v>1119</v>
      </c>
      <c r="J44" s="340" t="s">
        <v>1119</v>
      </c>
      <c r="K44" s="11" t="s">
        <v>1119</v>
      </c>
      <c r="L44" s="8"/>
      <c r="N44" s="8"/>
    </row>
    <row r="45" spans="1:14" s="9" customFormat="1" x14ac:dyDescent="0.35">
      <c r="A45" s="8"/>
      <c r="B45" s="425"/>
      <c r="D45" s="328"/>
      <c r="E45" s="340"/>
      <c r="F45" s="340">
        <v>45597</v>
      </c>
      <c r="G45" s="340">
        <v>45626</v>
      </c>
      <c r="H45" s="340">
        <v>45639</v>
      </c>
      <c r="I45" s="340" t="s">
        <v>1119</v>
      </c>
      <c r="J45" s="340" t="s">
        <v>1119</v>
      </c>
      <c r="K45" s="11" t="s">
        <v>1119</v>
      </c>
      <c r="L45" s="8"/>
      <c r="N45" s="8"/>
    </row>
    <row r="46" spans="1:14" s="9" customFormat="1" x14ac:dyDescent="0.35">
      <c r="A46" s="8"/>
      <c r="B46" s="425">
        <v>4</v>
      </c>
      <c r="D46" s="328">
        <v>45566</v>
      </c>
      <c r="E46" s="340">
        <v>45657</v>
      </c>
      <c r="F46" s="340">
        <v>45627</v>
      </c>
      <c r="G46" s="340">
        <v>45657</v>
      </c>
      <c r="H46" s="340">
        <v>45672</v>
      </c>
      <c r="I46" s="340">
        <v>45678</v>
      </c>
      <c r="J46" s="340">
        <v>45680</v>
      </c>
      <c r="K46" s="11">
        <v>45684</v>
      </c>
      <c r="L46" s="8"/>
      <c r="N46" s="8"/>
    </row>
    <row r="47" spans="1:14" s="9" customFormat="1" x14ac:dyDescent="0.35">
      <c r="A47" s="8"/>
      <c r="B47" s="425"/>
      <c r="D47" s="328"/>
      <c r="E47" s="340"/>
      <c r="F47" s="340">
        <v>45658</v>
      </c>
      <c r="G47" s="340">
        <v>45688</v>
      </c>
      <c r="H47" s="340">
        <v>45702</v>
      </c>
      <c r="I47" s="340" t="s">
        <v>1119</v>
      </c>
      <c r="J47" s="340" t="s">
        <v>1119</v>
      </c>
      <c r="K47" s="11" t="s">
        <v>1119</v>
      </c>
      <c r="L47" s="8"/>
    </row>
    <row r="48" spans="1:14" s="9" customFormat="1" x14ac:dyDescent="0.35">
      <c r="A48" s="8"/>
      <c r="B48" s="425"/>
      <c r="D48" s="328"/>
      <c r="E48" s="340"/>
      <c r="F48" s="340">
        <v>45689</v>
      </c>
      <c r="G48" s="340">
        <v>45716</v>
      </c>
      <c r="H48" s="340">
        <v>45730</v>
      </c>
      <c r="I48" s="340" t="s">
        <v>1119</v>
      </c>
      <c r="J48" s="340" t="s">
        <v>1119</v>
      </c>
      <c r="K48" s="11" t="s">
        <v>1119</v>
      </c>
      <c r="L48" s="8"/>
    </row>
    <row r="49" spans="1:12" s="9" customFormat="1" x14ac:dyDescent="0.35">
      <c r="A49" s="8"/>
      <c r="B49" s="425">
        <v>5</v>
      </c>
      <c r="D49" s="328">
        <v>45658</v>
      </c>
      <c r="E49" s="340">
        <v>45747</v>
      </c>
      <c r="F49" s="340">
        <v>45717</v>
      </c>
      <c r="G49" s="340">
        <v>45747</v>
      </c>
      <c r="H49" s="340">
        <v>45761</v>
      </c>
      <c r="I49" s="340">
        <v>45765</v>
      </c>
      <c r="J49" s="340">
        <v>45770</v>
      </c>
      <c r="K49" s="11">
        <v>45772</v>
      </c>
      <c r="L49" s="8"/>
    </row>
    <row r="50" spans="1:12" s="9" customFormat="1" x14ac:dyDescent="0.35">
      <c r="A50" s="8"/>
      <c r="B50" s="425"/>
      <c r="D50" s="328"/>
      <c r="E50" s="340"/>
      <c r="F50" s="340">
        <v>45748</v>
      </c>
      <c r="G50" s="340">
        <v>45777</v>
      </c>
      <c r="H50" s="340">
        <v>45793</v>
      </c>
      <c r="I50" s="340" t="s">
        <v>1119</v>
      </c>
      <c r="J50" s="340" t="s">
        <v>1119</v>
      </c>
      <c r="K50" s="11" t="s">
        <v>1119</v>
      </c>
      <c r="L50" s="8"/>
    </row>
    <row r="51" spans="1:12" s="9" customFormat="1" x14ac:dyDescent="0.35">
      <c r="A51" s="8"/>
      <c r="B51" s="425"/>
      <c r="D51" s="328"/>
      <c r="E51" s="340"/>
      <c r="F51" s="340">
        <v>45778</v>
      </c>
      <c r="G51" s="340">
        <v>45808</v>
      </c>
      <c r="H51" s="340">
        <v>45824</v>
      </c>
      <c r="I51" s="340" t="s">
        <v>1119</v>
      </c>
      <c r="J51" s="340" t="s">
        <v>1119</v>
      </c>
      <c r="K51" s="11" t="s">
        <v>1119</v>
      </c>
      <c r="L51" s="8"/>
    </row>
    <row r="52" spans="1:12" s="9" customFormat="1" x14ac:dyDescent="0.35">
      <c r="A52" s="8"/>
      <c r="B52" s="425">
        <v>6</v>
      </c>
      <c r="D52" s="328">
        <v>45748</v>
      </c>
      <c r="E52" s="340">
        <v>45838</v>
      </c>
      <c r="F52" s="340">
        <v>45809</v>
      </c>
      <c r="G52" s="340">
        <v>45838</v>
      </c>
      <c r="H52" s="340">
        <v>45853</v>
      </c>
      <c r="I52" s="340">
        <v>45859</v>
      </c>
      <c r="J52" s="340">
        <v>45861</v>
      </c>
      <c r="K52" s="11">
        <v>45863</v>
      </c>
      <c r="L52" s="8"/>
    </row>
    <row r="53" spans="1:12" s="9" customFormat="1" x14ac:dyDescent="0.35">
      <c r="A53" s="8"/>
      <c r="B53" s="425"/>
      <c r="D53" s="328"/>
      <c r="E53" s="340"/>
      <c r="F53" s="340">
        <v>45839</v>
      </c>
      <c r="G53" s="340">
        <v>45869</v>
      </c>
      <c r="H53" s="340">
        <v>45883</v>
      </c>
      <c r="I53" s="340" t="s">
        <v>1119</v>
      </c>
      <c r="J53" s="340" t="s">
        <v>1119</v>
      </c>
      <c r="K53" s="11" t="s">
        <v>1119</v>
      </c>
      <c r="L53" s="8"/>
    </row>
    <row r="54" spans="1:12" s="9" customFormat="1" x14ac:dyDescent="0.35">
      <c r="A54" s="8"/>
      <c r="B54" s="425"/>
      <c r="D54" s="328"/>
      <c r="E54" s="340"/>
      <c r="F54" s="340">
        <v>45870</v>
      </c>
      <c r="G54" s="340">
        <v>45900</v>
      </c>
      <c r="H54" s="340">
        <v>45912</v>
      </c>
      <c r="I54" s="340" t="s">
        <v>1119</v>
      </c>
      <c r="J54" s="340" t="s">
        <v>1119</v>
      </c>
      <c r="K54" s="11" t="s">
        <v>1119</v>
      </c>
      <c r="L54" s="8"/>
    </row>
    <row r="55" spans="1:12" s="9" customFormat="1" x14ac:dyDescent="0.35">
      <c r="A55" s="8"/>
      <c r="B55" s="425">
        <v>7</v>
      </c>
      <c r="D55" s="328">
        <v>45839</v>
      </c>
      <c r="E55" s="340">
        <v>45930</v>
      </c>
      <c r="F55" s="340">
        <v>45901</v>
      </c>
      <c r="G55" s="340">
        <v>45930</v>
      </c>
      <c r="H55" s="340">
        <v>45944</v>
      </c>
      <c r="I55" s="340">
        <v>45950</v>
      </c>
      <c r="J55" s="340">
        <v>45953</v>
      </c>
      <c r="K55" s="11">
        <v>45957</v>
      </c>
      <c r="L55" s="8"/>
    </row>
    <row r="56" spans="1:12" s="9" customFormat="1" x14ac:dyDescent="0.35">
      <c r="A56" s="8"/>
      <c r="B56" s="425"/>
      <c r="D56" s="328"/>
      <c r="E56" s="340"/>
      <c r="F56" s="340">
        <v>45931</v>
      </c>
      <c r="G56" s="340">
        <v>45961</v>
      </c>
      <c r="H56" s="340">
        <v>45978</v>
      </c>
      <c r="I56" s="340" t="s">
        <v>1119</v>
      </c>
      <c r="J56" s="340" t="s">
        <v>1119</v>
      </c>
      <c r="K56" s="11" t="s">
        <v>1119</v>
      </c>
      <c r="L56" s="8"/>
    </row>
    <row r="57" spans="1:12" s="9" customFormat="1" x14ac:dyDescent="0.35">
      <c r="A57" s="8"/>
      <c r="B57" s="425"/>
      <c r="D57" s="328"/>
      <c r="E57" s="340"/>
      <c r="F57" s="340">
        <v>45962</v>
      </c>
      <c r="G57" s="340">
        <v>45991</v>
      </c>
      <c r="H57" s="340">
        <v>46003</v>
      </c>
      <c r="I57" s="340" t="s">
        <v>1119</v>
      </c>
      <c r="J57" s="340" t="s">
        <v>1119</v>
      </c>
      <c r="K57" s="11" t="s">
        <v>1119</v>
      </c>
      <c r="L57" s="8"/>
    </row>
    <row r="58" spans="1:12" s="9" customFormat="1" x14ac:dyDescent="0.35">
      <c r="A58" s="8"/>
      <c r="B58" s="425">
        <v>8</v>
      </c>
      <c r="D58" s="328">
        <v>45931</v>
      </c>
      <c r="E58" s="340">
        <v>46022</v>
      </c>
      <c r="F58" s="340">
        <v>45992</v>
      </c>
      <c r="G58" s="340">
        <v>46022</v>
      </c>
      <c r="H58" s="340">
        <v>46037</v>
      </c>
      <c r="I58" s="340">
        <v>46043</v>
      </c>
      <c r="J58" s="340">
        <v>46045</v>
      </c>
      <c r="K58" s="11">
        <v>46049</v>
      </c>
      <c r="L58" s="8"/>
    </row>
    <row r="59" spans="1:12" s="9" customFormat="1" x14ac:dyDescent="0.35">
      <c r="A59" s="8"/>
      <c r="B59" s="425"/>
      <c r="D59" s="328"/>
      <c r="E59" s="340"/>
      <c r="F59" s="340">
        <v>46023</v>
      </c>
      <c r="G59" s="340">
        <v>46053</v>
      </c>
      <c r="H59" s="340">
        <v>46066</v>
      </c>
      <c r="I59" s="340" t="s">
        <v>1119</v>
      </c>
      <c r="J59" s="340" t="s">
        <v>1119</v>
      </c>
      <c r="K59" s="11" t="s">
        <v>1119</v>
      </c>
      <c r="L59" s="8"/>
    </row>
    <row r="60" spans="1:12" s="9" customFormat="1" x14ac:dyDescent="0.35">
      <c r="A60" s="8"/>
      <c r="B60" s="425"/>
      <c r="D60" s="328"/>
      <c r="E60" s="340"/>
      <c r="F60" s="340">
        <v>46054</v>
      </c>
      <c r="G60" s="340">
        <v>46081</v>
      </c>
      <c r="H60" s="340">
        <v>46094</v>
      </c>
      <c r="I60" s="340" t="s">
        <v>1119</v>
      </c>
      <c r="J60" s="340" t="s">
        <v>1119</v>
      </c>
      <c r="K60" s="11" t="s">
        <v>1119</v>
      </c>
      <c r="L60" s="8"/>
    </row>
    <row r="61" spans="1:12" s="9" customFormat="1" x14ac:dyDescent="0.35">
      <c r="A61" s="8"/>
      <c r="B61" s="425">
        <v>9</v>
      </c>
      <c r="D61" s="328">
        <v>46023</v>
      </c>
      <c r="E61" s="340">
        <v>46112</v>
      </c>
      <c r="F61" s="340">
        <v>46082</v>
      </c>
      <c r="G61" s="340">
        <v>46112</v>
      </c>
      <c r="H61" s="340">
        <v>46127</v>
      </c>
      <c r="I61" s="340">
        <v>46133</v>
      </c>
      <c r="J61" s="340">
        <v>46135</v>
      </c>
      <c r="K61" s="11">
        <v>46139</v>
      </c>
      <c r="L61" s="8"/>
    </row>
    <row r="62" spans="1:12" s="9" customFormat="1" x14ac:dyDescent="0.35">
      <c r="A62" s="8"/>
      <c r="B62" s="425"/>
      <c r="D62" s="328"/>
      <c r="E62" s="340"/>
      <c r="F62" s="340">
        <v>46113</v>
      </c>
      <c r="G62" s="340">
        <v>46142</v>
      </c>
      <c r="H62" s="340">
        <v>46161</v>
      </c>
      <c r="I62" s="340" t="s">
        <v>1119</v>
      </c>
      <c r="J62" s="340" t="s">
        <v>1119</v>
      </c>
      <c r="K62" s="11" t="s">
        <v>1119</v>
      </c>
      <c r="L62" s="8"/>
    </row>
    <row r="63" spans="1:12" s="9" customFormat="1" x14ac:dyDescent="0.35">
      <c r="A63" s="8"/>
      <c r="B63" s="425"/>
      <c r="D63" s="328"/>
      <c r="E63" s="340"/>
      <c r="F63" s="340">
        <v>46143</v>
      </c>
      <c r="G63" s="340">
        <v>46173</v>
      </c>
      <c r="H63" s="340">
        <v>46185</v>
      </c>
      <c r="I63" s="340" t="s">
        <v>1119</v>
      </c>
      <c r="J63" s="340" t="s">
        <v>1119</v>
      </c>
      <c r="K63" s="11" t="s">
        <v>1119</v>
      </c>
      <c r="L63" s="8"/>
    </row>
    <row r="64" spans="1:12" s="9" customFormat="1" x14ac:dyDescent="0.35">
      <c r="A64" s="8"/>
      <c r="B64" s="425">
        <v>10</v>
      </c>
      <c r="D64" s="328">
        <v>46113</v>
      </c>
      <c r="E64" s="340">
        <v>46203</v>
      </c>
      <c r="F64" s="340">
        <v>46174</v>
      </c>
      <c r="G64" s="340">
        <v>46203</v>
      </c>
      <c r="H64" s="340">
        <v>46218</v>
      </c>
      <c r="I64" s="340">
        <v>46224</v>
      </c>
      <c r="J64" s="340">
        <v>46226</v>
      </c>
      <c r="K64" s="11">
        <v>46230</v>
      </c>
      <c r="L64" s="8"/>
    </row>
    <row r="65" spans="1:12" s="9" customFormat="1" x14ac:dyDescent="0.35">
      <c r="A65" s="8"/>
      <c r="B65" s="425"/>
      <c r="D65" s="328"/>
      <c r="E65" s="340"/>
      <c r="F65" s="340">
        <v>46204</v>
      </c>
      <c r="G65" s="340">
        <v>46234</v>
      </c>
      <c r="H65" s="340">
        <v>46248</v>
      </c>
      <c r="I65" s="340" t="s">
        <v>1119</v>
      </c>
      <c r="J65" s="340" t="s">
        <v>1119</v>
      </c>
      <c r="K65" s="11" t="s">
        <v>1119</v>
      </c>
      <c r="L65" s="8"/>
    </row>
    <row r="66" spans="1:12" s="9" customFormat="1" x14ac:dyDescent="0.35">
      <c r="A66" s="8"/>
      <c r="B66" s="425"/>
      <c r="D66" s="328"/>
      <c r="E66" s="340"/>
      <c r="F66" s="340">
        <v>46235</v>
      </c>
      <c r="G66" s="340">
        <v>46265</v>
      </c>
      <c r="H66" s="340">
        <v>46279</v>
      </c>
      <c r="I66" s="340" t="s">
        <v>1119</v>
      </c>
      <c r="J66" s="340" t="s">
        <v>1119</v>
      </c>
      <c r="K66" s="11" t="s">
        <v>1119</v>
      </c>
      <c r="L66" s="8"/>
    </row>
    <row r="67" spans="1:12" s="9" customFormat="1" x14ac:dyDescent="0.35">
      <c r="A67" s="8"/>
      <c r="B67" s="425">
        <v>11</v>
      </c>
      <c r="D67" s="328">
        <v>46204</v>
      </c>
      <c r="E67" s="340">
        <v>46295</v>
      </c>
      <c r="F67" s="340">
        <v>46266</v>
      </c>
      <c r="G67" s="340">
        <v>46295</v>
      </c>
      <c r="H67" s="340">
        <v>46309</v>
      </c>
      <c r="I67" s="340">
        <v>46315</v>
      </c>
      <c r="J67" s="340">
        <v>46318</v>
      </c>
      <c r="K67" s="11">
        <v>46322</v>
      </c>
      <c r="L67" s="8"/>
    </row>
    <row r="68" spans="1:12" s="9" customFormat="1" x14ac:dyDescent="0.35">
      <c r="A68" s="8"/>
      <c r="B68" s="425"/>
      <c r="D68" s="328"/>
      <c r="E68" s="340"/>
      <c r="F68" s="340">
        <v>46296</v>
      </c>
      <c r="G68" s="340">
        <v>46326</v>
      </c>
      <c r="H68" s="340">
        <v>46342</v>
      </c>
      <c r="I68" s="340" t="s">
        <v>1119</v>
      </c>
      <c r="J68" s="340" t="s">
        <v>1119</v>
      </c>
      <c r="K68" s="11" t="s">
        <v>1119</v>
      </c>
      <c r="L68" s="8"/>
    </row>
    <row r="69" spans="1:12" s="9" customFormat="1" x14ac:dyDescent="0.35">
      <c r="A69" s="8"/>
      <c r="B69" s="425"/>
      <c r="D69" s="328"/>
      <c r="E69" s="340"/>
      <c r="F69" s="340">
        <v>46327</v>
      </c>
      <c r="G69" s="340">
        <v>46356</v>
      </c>
      <c r="H69" s="340">
        <v>46370</v>
      </c>
      <c r="I69" s="340" t="s">
        <v>1119</v>
      </c>
      <c r="J69" s="340" t="s">
        <v>1119</v>
      </c>
      <c r="K69" s="11" t="s">
        <v>1119</v>
      </c>
      <c r="L69" s="8"/>
    </row>
    <row r="70" spans="1:12" s="9" customFormat="1" x14ac:dyDescent="0.35">
      <c r="A70" s="8"/>
      <c r="B70" s="425">
        <v>12</v>
      </c>
      <c r="D70" s="328">
        <v>46296</v>
      </c>
      <c r="E70" s="340">
        <v>46387</v>
      </c>
      <c r="F70" s="340">
        <v>46357</v>
      </c>
      <c r="G70" s="340">
        <v>46387</v>
      </c>
      <c r="H70" s="340">
        <v>46402</v>
      </c>
      <c r="I70" s="340">
        <v>46408</v>
      </c>
      <c r="J70" s="340">
        <v>46410</v>
      </c>
      <c r="K70" s="11">
        <v>46413</v>
      </c>
      <c r="L70" s="8"/>
    </row>
    <row r="71" spans="1:12" s="9" customFormat="1" x14ac:dyDescent="0.35">
      <c r="A71" s="8"/>
      <c r="B71" s="425"/>
      <c r="D71" s="328"/>
      <c r="E71" s="340"/>
      <c r="F71" s="340">
        <v>46388</v>
      </c>
      <c r="G71" s="340">
        <v>46418</v>
      </c>
      <c r="H71" s="340">
        <v>46430</v>
      </c>
      <c r="I71" s="340" t="s">
        <v>1119</v>
      </c>
      <c r="J71" s="340" t="s">
        <v>1119</v>
      </c>
      <c r="K71" s="11" t="s">
        <v>1119</v>
      </c>
      <c r="L71" s="8"/>
    </row>
    <row r="72" spans="1:12" s="9" customFormat="1" x14ac:dyDescent="0.35">
      <c r="A72" s="8"/>
      <c r="B72" s="425"/>
      <c r="D72" s="328"/>
      <c r="E72" s="340"/>
      <c r="F72" s="340">
        <v>46419</v>
      </c>
      <c r="G72" s="340">
        <v>46446</v>
      </c>
      <c r="H72" s="340">
        <v>46458</v>
      </c>
      <c r="I72" s="340" t="s">
        <v>1119</v>
      </c>
      <c r="J72" s="340" t="s">
        <v>1119</v>
      </c>
      <c r="K72" s="11" t="s">
        <v>1119</v>
      </c>
      <c r="L72" s="8"/>
    </row>
    <row r="73" spans="1:12" s="9" customFormat="1" x14ac:dyDescent="0.35">
      <c r="A73" s="8"/>
      <c r="B73" s="425">
        <v>13</v>
      </c>
      <c r="D73" s="328">
        <v>46388</v>
      </c>
      <c r="E73" s="340">
        <v>46477</v>
      </c>
      <c r="F73" s="340">
        <v>46447</v>
      </c>
      <c r="G73" s="340">
        <v>46477</v>
      </c>
      <c r="H73" s="340">
        <v>46491</v>
      </c>
      <c r="I73" s="340">
        <v>46497</v>
      </c>
      <c r="J73" s="340">
        <v>46500</v>
      </c>
      <c r="K73" s="11">
        <v>46504</v>
      </c>
      <c r="L73" s="8"/>
    </row>
    <row r="74" spans="1:12" x14ac:dyDescent="0.35">
      <c r="B74" s="425"/>
      <c r="D74" s="328"/>
      <c r="E74" s="340"/>
      <c r="F74" s="340">
        <v>46478</v>
      </c>
      <c r="G74" s="340">
        <v>46507</v>
      </c>
      <c r="H74" s="340">
        <v>46525</v>
      </c>
      <c r="I74" s="340" t="s">
        <v>1119</v>
      </c>
      <c r="J74" s="340" t="s">
        <v>1119</v>
      </c>
      <c r="K74" s="11" t="s">
        <v>1119</v>
      </c>
    </row>
    <row r="75" spans="1:12" x14ac:dyDescent="0.35">
      <c r="B75" s="425"/>
      <c r="D75" s="328"/>
      <c r="E75" s="340"/>
      <c r="F75" s="340">
        <v>46508</v>
      </c>
      <c r="G75" s="340">
        <v>46538</v>
      </c>
      <c r="H75" s="340">
        <v>46552</v>
      </c>
      <c r="I75" s="340" t="s">
        <v>1119</v>
      </c>
      <c r="J75" s="340" t="s">
        <v>1119</v>
      </c>
      <c r="K75" s="11" t="s">
        <v>1119</v>
      </c>
    </row>
    <row r="76" spans="1:12" x14ac:dyDescent="0.35">
      <c r="B76" s="425">
        <v>14</v>
      </c>
      <c r="D76" s="328">
        <v>46478</v>
      </c>
      <c r="E76" s="340">
        <v>46568</v>
      </c>
      <c r="F76" s="340">
        <v>46539</v>
      </c>
      <c r="G76" s="340">
        <v>46568</v>
      </c>
      <c r="H76" s="340">
        <v>46583</v>
      </c>
      <c r="I76" s="340">
        <v>46589</v>
      </c>
      <c r="J76" s="340">
        <v>46591</v>
      </c>
      <c r="K76" s="11">
        <v>46595</v>
      </c>
    </row>
    <row r="77" spans="1:12" x14ac:dyDescent="0.35">
      <c r="B77" s="425"/>
      <c r="D77" s="328"/>
      <c r="E77" s="340"/>
      <c r="F77" s="340">
        <v>46569</v>
      </c>
      <c r="G77" s="340">
        <v>46599</v>
      </c>
      <c r="H77" s="340">
        <v>46612</v>
      </c>
      <c r="I77" s="340" t="s">
        <v>1119</v>
      </c>
      <c r="J77" s="340" t="s">
        <v>1119</v>
      </c>
      <c r="K77" s="11" t="s">
        <v>1119</v>
      </c>
    </row>
    <row r="78" spans="1:12" x14ac:dyDescent="0.35">
      <c r="B78" s="425"/>
      <c r="D78" s="328"/>
      <c r="E78" s="340"/>
      <c r="F78" s="340">
        <v>46600</v>
      </c>
      <c r="G78" s="340">
        <v>46630</v>
      </c>
      <c r="H78" s="340">
        <v>46644</v>
      </c>
      <c r="I78" s="340" t="s">
        <v>1119</v>
      </c>
      <c r="J78" s="340" t="s">
        <v>1119</v>
      </c>
      <c r="K78" s="11" t="s">
        <v>1119</v>
      </c>
    </row>
    <row r="79" spans="1:12" x14ac:dyDescent="0.35">
      <c r="B79" s="425">
        <v>15</v>
      </c>
      <c r="D79" s="328">
        <v>46569</v>
      </c>
      <c r="E79" s="340">
        <v>46660</v>
      </c>
      <c r="F79" s="340">
        <v>46631</v>
      </c>
      <c r="G79" s="340">
        <v>46660</v>
      </c>
      <c r="H79" s="340">
        <v>46674</v>
      </c>
      <c r="I79" s="340">
        <v>46680</v>
      </c>
      <c r="J79" s="340">
        <v>46683</v>
      </c>
      <c r="K79" s="11">
        <v>46686</v>
      </c>
    </row>
    <row r="80" spans="1:12" x14ac:dyDescent="0.35">
      <c r="B80" s="425"/>
      <c r="D80" s="328"/>
      <c r="E80" s="340"/>
      <c r="F80" s="340">
        <v>46661</v>
      </c>
      <c r="G80" s="340">
        <v>46691</v>
      </c>
      <c r="H80" s="340">
        <v>46707</v>
      </c>
      <c r="I80" s="340" t="s">
        <v>1119</v>
      </c>
      <c r="J80" s="340" t="s">
        <v>1119</v>
      </c>
      <c r="K80" s="11" t="s">
        <v>1119</v>
      </c>
    </row>
    <row r="81" spans="2:11" x14ac:dyDescent="0.35">
      <c r="B81" s="425"/>
      <c r="D81" s="328"/>
      <c r="E81" s="340"/>
      <c r="F81" s="340">
        <v>46692</v>
      </c>
      <c r="G81" s="340">
        <v>46721</v>
      </c>
      <c r="H81" s="340">
        <v>46735</v>
      </c>
      <c r="I81" s="340" t="s">
        <v>1119</v>
      </c>
      <c r="J81" s="340" t="s">
        <v>1119</v>
      </c>
      <c r="K81" s="11" t="s">
        <v>1119</v>
      </c>
    </row>
    <row r="82" spans="2:11" x14ac:dyDescent="0.35">
      <c r="B82" s="425">
        <v>16</v>
      </c>
      <c r="D82" s="328">
        <v>46661</v>
      </c>
      <c r="E82" s="340">
        <v>46752</v>
      </c>
      <c r="F82" s="340">
        <v>46722</v>
      </c>
      <c r="G82" s="340">
        <v>46752</v>
      </c>
      <c r="H82" s="340">
        <v>46766</v>
      </c>
      <c r="I82" s="340">
        <v>46772</v>
      </c>
      <c r="J82" s="340">
        <v>46775</v>
      </c>
      <c r="K82" s="11">
        <v>46777</v>
      </c>
    </row>
    <row r="83" spans="2:11" x14ac:dyDescent="0.35">
      <c r="B83" s="425"/>
      <c r="D83" s="328"/>
      <c r="E83" s="340"/>
      <c r="F83" s="340">
        <v>46753</v>
      </c>
      <c r="G83" s="340">
        <v>46783</v>
      </c>
      <c r="H83" s="340">
        <v>46797</v>
      </c>
      <c r="I83" s="340" t="s">
        <v>1119</v>
      </c>
      <c r="J83" s="340" t="s">
        <v>1119</v>
      </c>
      <c r="K83" s="11" t="s">
        <v>1119</v>
      </c>
    </row>
    <row r="84" spans="2:11" x14ac:dyDescent="0.35">
      <c r="B84" s="425"/>
      <c r="D84" s="328"/>
      <c r="E84" s="340"/>
      <c r="F84" s="340">
        <v>46784</v>
      </c>
      <c r="G84" s="340">
        <v>46812</v>
      </c>
      <c r="H84" s="340">
        <v>46826</v>
      </c>
      <c r="I84" s="340" t="s">
        <v>1119</v>
      </c>
      <c r="J84" s="340" t="s">
        <v>1119</v>
      </c>
      <c r="K84" s="11" t="s">
        <v>1119</v>
      </c>
    </row>
    <row r="85" spans="2:11" x14ac:dyDescent="0.35">
      <c r="B85" s="425">
        <v>17</v>
      </c>
      <c r="D85" s="328">
        <v>46753</v>
      </c>
      <c r="E85" s="340">
        <v>46843</v>
      </c>
      <c r="F85" s="340">
        <v>46813</v>
      </c>
      <c r="G85" s="340">
        <v>46843</v>
      </c>
      <c r="H85" s="340">
        <v>46857</v>
      </c>
      <c r="I85" s="340">
        <v>46864</v>
      </c>
      <c r="J85" s="340">
        <v>46866</v>
      </c>
      <c r="K85" s="11">
        <v>46868</v>
      </c>
    </row>
    <row r="86" spans="2:11" x14ac:dyDescent="0.35">
      <c r="B86" s="425"/>
      <c r="D86" s="328"/>
      <c r="E86" s="340"/>
      <c r="F86" s="340">
        <v>46844</v>
      </c>
      <c r="G86" s="340">
        <v>46873</v>
      </c>
      <c r="H86" s="340">
        <v>46889</v>
      </c>
      <c r="I86" s="340" t="s">
        <v>1119</v>
      </c>
      <c r="J86" s="340" t="s">
        <v>1119</v>
      </c>
      <c r="K86" s="11" t="s">
        <v>1119</v>
      </c>
    </row>
    <row r="87" spans="2:11" x14ac:dyDescent="0.35">
      <c r="B87" s="425"/>
      <c r="D87" s="328"/>
      <c r="E87" s="340"/>
      <c r="F87" s="340">
        <v>46874</v>
      </c>
      <c r="G87" s="340">
        <v>46904</v>
      </c>
      <c r="H87" s="340">
        <v>46919</v>
      </c>
      <c r="I87" s="340" t="s">
        <v>1119</v>
      </c>
      <c r="J87" s="340" t="s">
        <v>1119</v>
      </c>
      <c r="K87" s="11" t="s">
        <v>1119</v>
      </c>
    </row>
    <row r="88" spans="2:11" x14ac:dyDescent="0.35">
      <c r="B88" s="425">
        <v>18</v>
      </c>
      <c r="D88" s="328">
        <v>46844</v>
      </c>
      <c r="E88" s="340">
        <v>46934</v>
      </c>
      <c r="F88" s="340">
        <v>46905</v>
      </c>
      <c r="G88" s="340">
        <v>46934</v>
      </c>
      <c r="H88" s="340">
        <v>46951</v>
      </c>
      <c r="I88" s="340">
        <v>46955</v>
      </c>
      <c r="J88" s="340">
        <v>46957</v>
      </c>
      <c r="K88" s="11">
        <v>46959</v>
      </c>
    </row>
    <row r="89" spans="2:11" x14ac:dyDescent="0.35">
      <c r="B89" s="425"/>
      <c r="D89" s="328"/>
      <c r="E89" s="340"/>
      <c r="F89" s="340">
        <v>46935</v>
      </c>
      <c r="G89" s="340">
        <v>46965</v>
      </c>
      <c r="H89" s="340">
        <v>46979</v>
      </c>
      <c r="I89" s="340" t="s">
        <v>1119</v>
      </c>
      <c r="J89" s="340" t="s">
        <v>1119</v>
      </c>
      <c r="K89" s="11" t="s">
        <v>1119</v>
      </c>
    </row>
    <row r="90" spans="2:11" x14ac:dyDescent="0.35">
      <c r="B90" s="425"/>
      <c r="D90" s="328"/>
      <c r="E90" s="340"/>
      <c r="F90" s="340">
        <v>46966</v>
      </c>
      <c r="G90" s="340">
        <v>46996</v>
      </c>
      <c r="H90" s="340">
        <v>47010</v>
      </c>
      <c r="I90" s="340" t="s">
        <v>1119</v>
      </c>
      <c r="J90" s="340" t="s">
        <v>1119</v>
      </c>
      <c r="K90" s="11" t="s">
        <v>1119</v>
      </c>
    </row>
    <row r="91" spans="2:11" x14ac:dyDescent="0.35">
      <c r="B91" s="425">
        <v>19</v>
      </c>
      <c r="D91" s="328">
        <v>46935</v>
      </c>
      <c r="E91" s="340">
        <v>47026</v>
      </c>
      <c r="F91" s="340">
        <v>46997</v>
      </c>
      <c r="G91" s="340">
        <v>47026</v>
      </c>
      <c r="H91" s="340">
        <v>47039</v>
      </c>
      <c r="I91" s="340">
        <v>47045</v>
      </c>
      <c r="J91" s="340">
        <v>47049</v>
      </c>
      <c r="K91" s="11">
        <v>47051</v>
      </c>
    </row>
    <row r="92" spans="2:11" x14ac:dyDescent="0.35">
      <c r="B92" s="425"/>
      <c r="D92" s="328"/>
      <c r="E92" s="340"/>
      <c r="F92" s="340">
        <v>47027</v>
      </c>
      <c r="G92" s="340">
        <v>47057</v>
      </c>
      <c r="H92" s="340">
        <v>47072</v>
      </c>
      <c r="I92" s="340" t="s">
        <v>1119</v>
      </c>
      <c r="J92" s="340" t="s">
        <v>1119</v>
      </c>
      <c r="K92" s="11" t="s">
        <v>1119</v>
      </c>
    </row>
    <row r="93" spans="2:11" x14ac:dyDescent="0.35">
      <c r="B93" s="425"/>
      <c r="D93" s="328"/>
      <c r="E93" s="340"/>
      <c r="F93" s="340">
        <v>47058</v>
      </c>
      <c r="G93" s="340">
        <v>47087</v>
      </c>
      <c r="H93" s="340">
        <v>47101</v>
      </c>
      <c r="I93" s="340" t="s">
        <v>1119</v>
      </c>
      <c r="J93" s="340" t="s">
        <v>1119</v>
      </c>
      <c r="K93" s="11" t="s">
        <v>1119</v>
      </c>
    </row>
    <row r="94" spans="2:11" x14ac:dyDescent="0.35">
      <c r="B94" s="425">
        <v>20</v>
      </c>
      <c r="D94" s="328">
        <v>47027</v>
      </c>
      <c r="E94" s="340">
        <v>47118</v>
      </c>
      <c r="F94" s="340">
        <v>47088</v>
      </c>
      <c r="G94" s="340">
        <v>47118</v>
      </c>
      <c r="H94" s="340">
        <v>47133</v>
      </c>
      <c r="I94" s="340">
        <v>47137</v>
      </c>
      <c r="J94" s="340">
        <v>47141</v>
      </c>
      <c r="K94" s="11">
        <v>47143</v>
      </c>
    </row>
    <row r="95" spans="2:11" x14ac:dyDescent="0.35">
      <c r="B95" s="425"/>
      <c r="D95" s="328"/>
      <c r="E95" s="340"/>
      <c r="F95" s="340">
        <v>47119</v>
      </c>
      <c r="G95" s="340">
        <v>47149</v>
      </c>
      <c r="H95" s="340">
        <v>47163</v>
      </c>
      <c r="I95" s="340" t="s">
        <v>1119</v>
      </c>
      <c r="J95" s="340" t="s">
        <v>1119</v>
      </c>
      <c r="K95" s="11" t="s">
        <v>1119</v>
      </c>
    </row>
    <row r="96" spans="2:11" x14ac:dyDescent="0.35">
      <c r="B96" s="425"/>
      <c r="D96" s="328"/>
      <c r="E96" s="340"/>
      <c r="F96" s="340">
        <v>47150</v>
      </c>
      <c r="G96" s="340">
        <v>47177</v>
      </c>
      <c r="H96" s="340">
        <v>47191</v>
      </c>
      <c r="I96" s="340" t="s">
        <v>1119</v>
      </c>
      <c r="J96" s="340" t="s">
        <v>1119</v>
      </c>
      <c r="K96" s="11" t="s">
        <v>1119</v>
      </c>
    </row>
    <row r="97" spans="2:11" x14ac:dyDescent="0.35">
      <c r="B97" s="425">
        <v>21</v>
      </c>
      <c r="D97" s="328">
        <v>47119</v>
      </c>
      <c r="E97" s="340">
        <v>47208</v>
      </c>
      <c r="F97" s="340">
        <v>47178</v>
      </c>
      <c r="G97" s="340">
        <v>47208</v>
      </c>
      <c r="H97" s="340">
        <v>47224</v>
      </c>
      <c r="I97" s="340">
        <v>47228</v>
      </c>
      <c r="J97" s="340">
        <v>47231</v>
      </c>
      <c r="K97" s="11">
        <v>47233</v>
      </c>
    </row>
    <row r="98" spans="2:11" x14ac:dyDescent="0.35">
      <c r="B98" s="425"/>
      <c r="D98" s="328"/>
      <c r="E98" s="340"/>
      <c r="F98" s="340">
        <v>47209</v>
      </c>
      <c r="G98" s="340">
        <v>47238</v>
      </c>
      <c r="H98" s="340">
        <v>47255</v>
      </c>
      <c r="I98" s="340" t="s">
        <v>1119</v>
      </c>
      <c r="J98" s="340" t="s">
        <v>1119</v>
      </c>
      <c r="K98" s="11" t="s">
        <v>1119</v>
      </c>
    </row>
    <row r="99" spans="2:11" x14ac:dyDescent="0.35">
      <c r="B99" s="425"/>
      <c r="D99" s="328"/>
      <c r="E99" s="340"/>
      <c r="F99" s="340">
        <v>47239</v>
      </c>
      <c r="G99" s="340">
        <v>47269</v>
      </c>
      <c r="H99" s="340">
        <v>47283</v>
      </c>
      <c r="I99" s="340" t="s">
        <v>1119</v>
      </c>
      <c r="J99" s="340" t="s">
        <v>1119</v>
      </c>
      <c r="K99" s="11" t="s">
        <v>1119</v>
      </c>
    </row>
    <row r="100" spans="2:11" x14ac:dyDescent="0.35">
      <c r="B100" s="425">
        <v>22</v>
      </c>
      <c r="D100" s="328">
        <v>47209</v>
      </c>
      <c r="E100" s="340">
        <v>47299</v>
      </c>
      <c r="F100" s="340">
        <v>47270</v>
      </c>
      <c r="G100" s="340">
        <v>47299</v>
      </c>
      <c r="H100" s="340">
        <v>47312</v>
      </c>
      <c r="I100" s="340">
        <v>47318</v>
      </c>
      <c r="J100" s="340">
        <v>47322</v>
      </c>
      <c r="K100" s="11">
        <v>47324</v>
      </c>
    </row>
    <row r="101" spans="2:11" x14ac:dyDescent="0.35">
      <c r="B101" s="425"/>
      <c r="D101" s="328"/>
      <c r="E101" s="340"/>
      <c r="F101" s="340">
        <v>47300</v>
      </c>
      <c r="G101" s="340">
        <v>47330</v>
      </c>
      <c r="H101" s="340">
        <v>47344</v>
      </c>
      <c r="I101" s="340" t="s">
        <v>1119</v>
      </c>
      <c r="J101" s="340" t="s">
        <v>1119</v>
      </c>
      <c r="K101" s="11" t="s">
        <v>1119</v>
      </c>
    </row>
    <row r="102" spans="2:11" x14ac:dyDescent="0.35">
      <c r="B102" s="425"/>
      <c r="D102" s="328"/>
      <c r="E102" s="340"/>
      <c r="F102" s="340">
        <v>47331</v>
      </c>
      <c r="G102" s="340">
        <v>47361</v>
      </c>
      <c r="H102" s="340">
        <v>47375</v>
      </c>
      <c r="I102" s="340" t="s">
        <v>1119</v>
      </c>
      <c r="J102" s="340" t="s">
        <v>1119</v>
      </c>
      <c r="K102" s="11" t="s">
        <v>1119</v>
      </c>
    </row>
    <row r="103" spans="2:11" x14ac:dyDescent="0.35">
      <c r="B103" s="425">
        <v>23</v>
      </c>
      <c r="D103" s="328">
        <v>47300</v>
      </c>
      <c r="E103" s="340">
        <v>47391</v>
      </c>
      <c r="F103" s="340">
        <v>47362</v>
      </c>
      <c r="G103" s="340">
        <v>47391</v>
      </c>
      <c r="H103" s="340">
        <v>47403</v>
      </c>
      <c r="I103" s="340">
        <v>47409</v>
      </c>
      <c r="J103" s="340">
        <v>47414</v>
      </c>
      <c r="K103" s="11">
        <v>47416</v>
      </c>
    </row>
    <row r="104" spans="2:11" x14ac:dyDescent="0.35">
      <c r="B104" s="425"/>
      <c r="D104" s="328"/>
      <c r="E104" s="340"/>
      <c r="F104" s="340">
        <v>47392</v>
      </c>
      <c r="G104" s="340">
        <v>47422</v>
      </c>
      <c r="H104" s="340">
        <v>47437</v>
      </c>
      <c r="I104" s="340" t="s">
        <v>1119</v>
      </c>
      <c r="J104" s="340" t="s">
        <v>1119</v>
      </c>
      <c r="K104" s="11" t="s">
        <v>1119</v>
      </c>
    </row>
    <row r="105" spans="2:11" x14ac:dyDescent="0.35">
      <c r="B105" s="425"/>
      <c r="D105" s="328"/>
      <c r="E105" s="340"/>
      <c r="F105" s="340">
        <v>47423</v>
      </c>
      <c r="G105" s="340">
        <v>47452</v>
      </c>
      <c r="H105" s="340">
        <v>47466</v>
      </c>
      <c r="I105" s="340" t="s">
        <v>1119</v>
      </c>
      <c r="J105" s="340" t="s">
        <v>1119</v>
      </c>
      <c r="K105" s="11" t="s">
        <v>1119</v>
      </c>
    </row>
    <row r="106" spans="2:11" ht="15" thickBot="1" x14ac:dyDescent="0.4">
      <c r="B106" s="426">
        <v>24</v>
      </c>
      <c r="D106" s="329">
        <v>47392</v>
      </c>
      <c r="E106" s="341">
        <v>47483</v>
      </c>
      <c r="F106" s="341">
        <v>47453</v>
      </c>
      <c r="G106" s="341">
        <v>47483</v>
      </c>
      <c r="H106" s="341">
        <v>47498</v>
      </c>
      <c r="I106" s="341">
        <v>47504</v>
      </c>
      <c r="J106" s="341">
        <v>47506</v>
      </c>
      <c r="K106" s="12">
        <v>47508</v>
      </c>
    </row>
  </sheetData>
  <mergeCells count="24">
    <mergeCell ref="H30:I30"/>
    <mergeCell ref="H26:I26"/>
    <mergeCell ref="H27:I27"/>
    <mergeCell ref="H28:I28"/>
    <mergeCell ref="H29:I29"/>
    <mergeCell ref="B7:I7"/>
    <mergeCell ref="D14:E14"/>
    <mergeCell ref="D16:E16"/>
    <mergeCell ref="D17:E17"/>
    <mergeCell ref="D12:E12"/>
    <mergeCell ref="D15:E15"/>
    <mergeCell ref="D30:E30"/>
    <mergeCell ref="D20:E20"/>
    <mergeCell ref="D21:E21"/>
    <mergeCell ref="D22:E22"/>
    <mergeCell ref="D18:E18"/>
    <mergeCell ref="D25:E25"/>
    <mergeCell ref="D19:E19"/>
    <mergeCell ref="D23:E23"/>
    <mergeCell ref="D24:E24"/>
    <mergeCell ref="D28:E28"/>
    <mergeCell ref="D29:E29"/>
    <mergeCell ref="D26:E26"/>
    <mergeCell ref="D27:E27"/>
  </mergeCells>
  <phoneticPr fontId="106" type="noConversion"/>
  <dataValidations count="1">
    <dataValidation type="list" allowBlank="1" showInputMessage="1" showErrorMessage="1" sqref="D9" xr:uid="{061288BB-E98D-4F18-AD8B-724D082DF995}">
      <formula1>$B$34:$B$73</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showGridLines="0" zoomScale="70" zoomScaleNormal="70" workbookViewId="0">
      <selection activeCell="C5" sqref="C5"/>
    </sheetView>
  </sheetViews>
  <sheetFormatPr defaultColWidth="11.453125" defaultRowHeight="12.5" x14ac:dyDescent="0.25"/>
  <cols>
    <col min="1" max="1" width="3.54296875" style="32" customWidth="1"/>
    <col min="2" max="2" width="2.26953125" style="32" customWidth="1"/>
    <col min="3" max="3" width="66.81640625" style="32" customWidth="1"/>
    <col min="4" max="4" width="5" style="32" customWidth="1"/>
    <col min="5" max="5" width="1.26953125" style="32" customWidth="1"/>
    <col min="6" max="6" width="31.453125" style="32" customWidth="1"/>
    <col min="7" max="7" width="4.81640625" style="32" customWidth="1"/>
    <col min="8" max="8" width="10.1796875" style="32" bestFit="1" customWidth="1"/>
    <col min="9" max="9" width="4.54296875" style="32" customWidth="1"/>
    <col min="10" max="10" width="12.453125" style="32" bestFit="1" customWidth="1"/>
    <col min="11" max="11" width="13.453125" style="32" customWidth="1"/>
    <col min="12" max="12" width="7.26953125" style="32" bestFit="1" customWidth="1"/>
    <col min="13" max="13" width="19.81640625" style="32" bestFit="1" customWidth="1"/>
    <col min="14" max="248" width="11.453125" style="32"/>
    <col min="249" max="249" width="2.26953125" style="32" customWidth="1"/>
    <col min="250" max="250" width="49" style="32" customWidth="1"/>
    <col min="251" max="251" width="16.81640625" style="32" customWidth="1"/>
    <col min="252" max="252" width="1.1796875" style="32" customWidth="1"/>
    <col min="253" max="253" width="20.7265625" style="32" customWidth="1"/>
    <col min="254" max="254" width="17.7265625" style="32" customWidth="1"/>
    <col min="255" max="255" width="18.1796875" style="32" customWidth="1"/>
    <col min="256" max="256" width="17.1796875" style="32" customWidth="1"/>
    <col min="257" max="257" width="22.26953125" style="32" bestFit="1" customWidth="1"/>
    <col min="258" max="258" width="22.1796875" style="32" customWidth="1"/>
    <col min="259" max="259" width="17.81640625" style="32" customWidth="1"/>
    <col min="260" max="260" width="22.453125" style="32" customWidth="1"/>
    <col min="261" max="261" width="10.1796875" style="32" bestFit="1" customWidth="1"/>
    <col min="262" max="262" width="13.453125" style="32" customWidth="1"/>
    <col min="263" max="263" width="7.26953125" style="32" bestFit="1" customWidth="1"/>
    <col min="264" max="264" width="15.453125" style="32" bestFit="1" customWidth="1"/>
    <col min="265" max="265" width="7.26953125" style="32" bestFit="1" customWidth="1"/>
    <col min="266" max="266" width="19.7265625" style="32" bestFit="1" customWidth="1"/>
    <col min="267" max="267" width="7.26953125" style="32" bestFit="1" customWidth="1"/>
    <col min="268" max="268" width="26.81640625" style="32" bestFit="1" customWidth="1"/>
    <col min="269" max="269" width="19.81640625" style="32" bestFit="1" customWidth="1"/>
    <col min="270" max="504" width="11.453125" style="32"/>
    <col min="505" max="505" width="2.26953125" style="32" customWidth="1"/>
    <col min="506" max="506" width="49" style="32" customWidth="1"/>
    <col min="507" max="507" width="16.81640625" style="32" customWidth="1"/>
    <col min="508" max="508" width="1.1796875" style="32" customWidth="1"/>
    <col min="509" max="509" width="20.7265625" style="32" customWidth="1"/>
    <col min="510" max="510" width="17.7265625" style="32" customWidth="1"/>
    <col min="511" max="511" width="18.1796875" style="32" customWidth="1"/>
    <col min="512" max="512" width="17.1796875" style="32" customWidth="1"/>
    <col min="513" max="513" width="22.26953125" style="32" bestFit="1" customWidth="1"/>
    <col min="514" max="514" width="22.1796875" style="32" customWidth="1"/>
    <col min="515" max="515" width="17.81640625" style="32" customWidth="1"/>
    <col min="516" max="516" width="22.453125" style="32" customWidth="1"/>
    <col min="517" max="517" width="10.1796875" style="32" bestFit="1" customWidth="1"/>
    <col min="518" max="518" width="13.453125" style="32" customWidth="1"/>
    <col min="519" max="519" width="7.26953125" style="32" bestFit="1" customWidth="1"/>
    <col min="520" max="520" width="15.453125" style="32" bestFit="1" customWidth="1"/>
    <col min="521" max="521" width="7.26953125" style="32" bestFit="1" customWidth="1"/>
    <col min="522" max="522" width="19.7265625" style="32" bestFit="1" customWidth="1"/>
    <col min="523" max="523" width="7.26953125" style="32" bestFit="1" customWidth="1"/>
    <col min="524" max="524" width="26.81640625" style="32" bestFit="1" customWidth="1"/>
    <col min="525" max="525" width="19.81640625" style="32" bestFit="1" customWidth="1"/>
    <col min="526" max="760" width="11.453125" style="32"/>
    <col min="761" max="761" width="2.26953125" style="32" customWidth="1"/>
    <col min="762" max="762" width="49" style="32" customWidth="1"/>
    <col min="763" max="763" width="16.81640625" style="32" customWidth="1"/>
    <col min="764" max="764" width="1.1796875" style="32" customWidth="1"/>
    <col min="765" max="765" width="20.7265625" style="32" customWidth="1"/>
    <col min="766" max="766" width="17.7265625" style="32" customWidth="1"/>
    <col min="767" max="767" width="18.1796875" style="32" customWidth="1"/>
    <col min="768" max="768" width="17.1796875" style="32" customWidth="1"/>
    <col min="769" max="769" width="22.26953125" style="32" bestFit="1" customWidth="1"/>
    <col min="770" max="770" width="22.1796875" style="32" customWidth="1"/>
    <col min="771" max="771" width="17.81640625" style="32" customWidth="1"/>
    <col min="772" max="772" width="22.453125" style="32" customWidth="1"/>
    <col min="773" max="773" width="10.1796875" style="32" bestFit="1" customWidth="1"/>
    <col min="774" max="774" width="13.453125" style="32" customWidth="1"/>
    <col min="775" max="775" width="7.26953125" style="32" bestFit="1" customWidth="1"/>
    <col min="776" max="776" width="15.453125" style="32" bestFit="1" customWidth="1"/>
    <col min="777" max="777" width="7.26953125" style="32" bestFit="1" customWidth="1"/>
    <col min="778" max="778" width="19.7265625" style="32" bestFit="1" customWidth="1"/>
    <col min="779" max="779" width="7.26953125" style="32" bestFit="1" customWidth="1"/>
    <col min="780" max="780" width="26.81640625" style="32" bestFit="1" customWidth="1"/>
    <col min="781" max="781" width="19.81640625" style="32" bestFit="1" customWidth="1"/>
    <col min="782" max="1016" width="11.453125" style="32"/>
    <col min="1017" max="1017" width="2.26953125" style="32" customWidth="1"/>
    <col min="1018" max="1018" width="49" style="32" customWidth="1"/>
    <col min="1019" max="1019" width="16.81640625" style="32" customWidth="1"/>
    <col min="1020" max="1020" width="1.1796875" style="32" customWidth="1"/>
    <col min="1021" max="1021" width="20.7265625" style="32" customWidth="1"/>
    <col min="1022" max="1022" width="17.7265625" style="32" customWidth="1"/>
    <col min="1023" max="1023" width="18.1796875" style="32" customWidth="1"/>
    <col min="1024" max="1024" width="17.1796875" style="32" customWidth="1"/>
    <col min="1025" max="1025" width="22.26953125" style="32" bestFit="1" customWidth="1"/>
    <col min="1026" max="1026" width="22.1796875" style="32" customWidth="1"/>
    <col min="1027" max="1027" width="17.81640625" style="32" customWidth="1"/>
    <col min="1028" max="1028" width="22.453125" style="32" customWidth="1"/>
    <col min="1029" max="1029" width="10.1796875" style="32" bestFit="1" customWidth="1"/>
    <col min="1030" max="1030" width="13.453125" style="32" customWidth="1"/>
    <col min="1031" max="1031" width="7.26953125" style="32" bestFit="1" customWidth="1"/>
    <col min="1032" max="1032" width="15.453125" style="32" bestFit="1" customWidth="1"/>
    <col min="1033" max="1033" width="7.26953125" style="32" bestFit="1" customWidth="1"/>
    <col min="1034" max="1034" width="19.7265625" style="32" bestFit="1" customWidth="1"/>
    <col min="1035" max="1035" width="7.26953125" style="32" bestFit="1" customWidth="1"/>
    <col min="1036" max="1036" width="26.81640625" style="32" bestFit="1" customWidth="1"/>
    <col min="1037" max="1037" width="19.81640625" style="32" bestFit="1" customWidth="1"/>
    <col min="1038" max="1272" width="11.453125" style="32"/>
    <col min="1273" max="1273" width="2.26953125" style="32" customWidth="1"/>
    <col min="1274" max="1274" width="49" style="32" customWidth="1"/>
    <col min="1275" max="1275" width="16.81640625" style="32" customWidth="1"/>
    <col min="1276" max="1276" width="1.1796875" style="32" customWidth="1"/>
    <col min="1277" max="1277" width="20.7265625" style="32" customWidth="1"/>
    <col min="1278" max="1278" width="17.7265625" style="32" customWidth="1"/>
    <col min="1279" max="1279" width="18.1796875" style="32" customWidth="1"/>
    <col min="1280" max="1280" width="17.1796875" style="32" customWidth="1"/>
    <col min="1281" max="1281" width="22.26953125" style="32" bestFit="1" customWidth="1"/>
    <col min="1282" max="1282" width="22.1796875" style="32" customWidth="1"/>
    <col min="1283" max="1283" width="17.81640625" style="32" customWidth="1"/>
    <col min="1284" max="1284" width="22.453125" style="32" customWidth="1"/>
    <col min="1285" max="1285" width="10.1796875" style="32" bestFit="1" customWidth="1"/>
    <col min="1286" max="1286" width="13.453125" style="32" customWidth="1"/>
    <col min="1287" max="1287" width="7.26953125" style="32" bestFit="1" customWidth="1"/>
    <col min="1288" max="1288" width="15.453125" style="32" bestFit="1" customWidth="1"/>
    <col min="1289" max="1289" width="7.26953125" style="32" bestFit="1" customWidth="1"/>
    <col min="1290" max="1290" width="19.7265625" style="32" bestFit="1" customWidth="1"/>
    <col min="1291" max="1291" width="7.26953125" style="32" bestFit="1" customWidth="1"/>
    <col min="1292" max="1292" width="26.81640625" style="32" bestFit="1" customWidth="1"/>
    <col min="1293" max="1293" width="19.81640625" style="32" bestFit="1" customWidth="1"/>
    <col min="1294" max="1528" width="11.453125" style="32"/>
    <col min="1529" max="1529" width="2.26953125" style="32" customWidth="1"/>
    <col min="1530" max="1530" width="49" style="32" customWidth="1"/>
    <col min="1531" max="1531" width="16.81640625" style="32" customWidth="1"/>
    <col min="1532" max="1532" width="1.1796875" style="32" customWidth="1"/>
    <col min="1533" max="1533" width="20.7265625" style="32" customWidth="1"/>
    <col min="1534" max="1534" width="17.7265625" style="32" customWidth="1"/>
    <col min="1535" max="1535" width="18.1796875" style="32" customWidth="1"/>
    <col min="1536" max="1536" width="17.1796875" style="32" customWidth="1"/>
    <col min="1537" max="1537" width="22.26953125" style="32" bestFit="1" customWidth="1"/>
    <col min="1538" max="1538" width="22.1796875" style="32" customWidth="1"/>
    <col min="1539" max="1539" width="17.81640625" style="32" customWidth="1"/>
    <col min="1540" max="1540" width="22.453125" style="32" customWidth="1"/>
    <col min="1541" max="1541" width="10.1796875" style="32" bestFit="1" customWidth="1"/>
    <col min="1542" max="1542" width="13.453125" style="32" customWidth="1"/>
    <col min="1543" max="1543" width="7.26953125" style="32" bestFit="1" customWidth="1"/>
    <col min="1544" max="1544" width="15.453125" style="32" bestFit="1" customWidth="1"/>
    <col min="1545" max="1545" width="7.26953125" style="32" bestFit="1" customWidth="1"/>
    <col min="1546" max="1546" width="19.7265625" style="32" bestFit="1" customWidth="1"/>
    <col min="1547" max="1547" width="7.26953125" style="32" bestFit="1" customWidth="1"/>
    <col min="1548" max="1548" width="26.81640625" style="32" bestFit="1" customWidth="1"/>
    <col min="1549" max="1549" width="19.81640625" style="32" bestFit="1" customWidth="1"/>
    <col min="1550" max="1784" width="11.453125" style="32"/>
    <col min="1785" max="1785" width="2.26953125" style="32" customWidth="1"/>
    <col min="1786" max="1786" width="49" style="32" customWidth="1"/>
    <col min="1787" max="1787" width="16.81640625" style="32" customWidth="1"/>
    <col min="1788" max="1788" width="1.1796875" style="32" customWidth="1"/>
    <col min="1789" max="1789" width="20.7265625" style="32" customWidth="1"/>
    <col min="1790" max="1790" width="17.7265625" style="32" customWidth="1"/>
    <col min="1791" max="1791" width="18.1796875" style="32" customWidth="1"/>
    <col min="1792" max="1792" width="17.1796875" style="32" customWidth="1"/>
    <col min="1793" max="1793" width="22.26953125" style="32" bestFit="1" customWidth="1"/>
    <col min="1794" max="1794" width="22.1796875" style="32" customWidth="1"/>
    <col min="1795" max="1795" width="17.81640625" style="32" customWidth="1"/>
    <col min="1796" max="1796" width="22.453125" style="32" customWidth="1"/>
    <col min="1797" max="1797" width="10.1796875" style="32" bestFit="1" customWidth="1"/>
    <col min="1798" max="1798" width="13.453125" style="32" customWidth="1"/>
    <col min="1799" max="1799" width="7.26953125" style="32" bestFit="1" customWidth="1"/>
    <col min="1800" max="1800" width="15.453125" style="32" bestFit="1" customWidth="1"/>
    <col min="1801" max="1801" width="7.26953125" style="32" bestFit="1" customWidth="1"/>
    <col min="1802" max="1802" width="19.7265625" style="32" bestFit="1" customWidth="1"/>
    <col min="1803" max="1803" width="7.26953125" style="32" bestFit="1" customWidth="1"/>
    <col min="1804" max="1804" width="26.81640625" style="32" bestFit="1" customWidth="1"/>
    <col min="1805" max="1805" width="19.81640625" style="32" bestFit="1" customWidth="1"/>
    <col min="1806" max="2040" width="11.453125" style="32"/>
    <col min="2041" max="2041" width="2.26953125" style="32" customWidth="1"/>
    <col min="2042" max="2042" width="49" style="32" customWidth="1"/>
    <col min="2043" max="2043" width="16.81640625" style="32" customWidth="1"/>
    <col min="2044" max="2044" width="1.1796875" style="32" customWidth="1"/>
    <col min="2045" max="2045" width="20.7265625" style="32" customWidth="1"/>
    <col min="2046" max="2046" width="17.7265625" style="32" customWidth="1"/>
    <col min="2047" max="2047" width="18.1796875" style="32" customWidth="1"/>
    <col min="2048" max="2048" width="17.1796875" style="32" customWidth="1"/>
    <col min="2049" max="2049" width="22.26953125" style="32" bestFit="1" customWidth="1"/>
    <col min="2050" max="2050" width="22.1796875" style="32" customWidth="1"/>
    <col min="2051" max="2051" width="17.81640625" style="32" customWidth="1"/>
    <col min="2052" max="2052" width="22.453125" style="32" customWidth="1"/>
    <col min="2053" max="2053" width="10.1796875" style="32" bestFit="1" customWidth="1"/>
    <col min="2054" max="2054" width="13.453125" style="32" customWidth="1"/>
    <col min="2055" max="2055" width="7.26953125" style="32" bestFit="1" customWidth="1"/>
    <col min="2056" max="2056" width="15.453125" style="32" bestFit="1" customWidth="1"/>
    <col min="2057" max="2057" width="7.26953125" style="32" bestFit="1" customWidth="1"/>
    <col min="2058" max="2058" width="19.7265625" style="32" bestFit="1" customWidth="1"/>
    <col min="2059" max="2059" width="7.26953125" style="32" bestFit="1" customWidth="1"/>
    <col min="2060" max="2060" width="26.81640625" style="32" bestFit="1" customWidth="1"/>
    <col min="2061" max="2061" width="19.81640625" style="32" bestFit="1" customWidth="1"/>
    <col min="2062" max="2296" width="11.453125" style="32"/>
    <col min="2297" max="2297" width="2.26953125" style="32" customWidth="1"/>
    <col min="2298" max="2298" width="49" style="32" customWidth="1"/>
    <col min="2299" max="2299" width="16.81640625" style="32" customWidth="1"/>
    <col min="2300" max="2300" width="1.1796875" style="32" customWidth="1"/>
    <col min="2301" max="2301" width="20.7265625" style="32" customWidth="1"/>
    <col min="2302" max="2302" width="17.7265625" style="32" customWidth="1"/>
    <col min="2303" max="2303" width="18.1796875" style="32" customWidth="1"/>
    <col min="2304" max="2304" width="17.1796875" style="32" customWidth="1"/>
    <col min="2305" max="2305" width="22.26953125" style="32" bestFit="1" customWidth="1"/>
    <col min="2306" max="2306" width="22.1796875" style="32" customWidth="1"/>
    <col min="2307" max="2307" width="17.81640625" style="32" customWidth="1"/>
    <col min="2308" max="2308" width="22.453125" style="32" customWidth="1"/>
    <col min="2309" max="2309" width="10.1796875" style="32" bestFit="1" customWidth="1"/>
    <col min="2310" max="2310" width="13.453125" style="32" customWidth="1"/>
    <col min="2311" max="2311" width="7.26953125" style="32" bestFit="1" customWidth="1"/>
    <col min="2312" max="2312" width="15.453125" style="32" bestFit="1" customWidth="1"/>
    <col min="2313" max="2313" width="7.26953125" style="32" bestFit="1" customWidth="1"/>
    <col min="2314" max="2314" width="19.7265625" style="32" bestFit="1" customWidth="1"/>
    <col min="2315" max="2315" width="7.26953125" style="32" bestFit="1" customWidth="1"/>
    <col min="2316" max="2316" width="26.81640625" style="32" bestFit="1" customWidth="1"/>
    <col min="2317" max="2317" width="19.81640625" style="32" bestFit="1" customWidth="1"/>
    <col min="2318" max="2552" width="11.453125" style="32"/>
    <col min="2553" max="2553" width="2.26953125" style="32" customWidth="1"/>
    <col min="2554" max="2554" width="49" style="32" customWidth="1"/>
    <col min="2555" max="2555" width="16.81640625" style="32" customWidth="1"/>
    <col min="2556" max="2556" width="1.1796875" style="32" customWidth="1"/>
    <col min="2557" max="2557" width="20.7265625" style="32" customWidth="1"/>
    <col min="2558" max="2558" width="17.7265625" style="32" customWidth="1"/>
    <col min="2559" max="2559" width="18.1796875" style="32" customWidth="1"/>
    <col min="2560" max="2560" width="17.1796875" style="32" customWidth="1"/>
    <col min="2561" max="2561" width="22.26953125" style="32" bestFit="1" customWidth="1"/>
    <col min="2562" max="2562" width="22.1796875" style="32" customWidth="1"/>
    <col min="2563" max="2563" width="17.81640625" style="32" customWidth="1"/>
    <col min="2564" max="2564" width="22.453125" style="32" customWidth="1"/>
    <col min="2565" max="2565" width="10.1796875" style="32" bestFit="1" customWidth="1"/>
    <col min="2566" max="2566" width="13.453125" style="32" customWidth="1"/>
    <col min="2567" max="2567" width="7.26953125" style="32" bestFit="1" customWidth="1"/>
    <col min="2568" max="2568" width="15.453125" style="32" bestFit="1" customWidth="1"/>
    <col min="2569" max="2569" width="7.26953125" style="32" bestFit="1" customWidth="1"/>
    <col min="2570" max="2570" width="19.7265625" style="32" bestFit="1" customWidth="1"/>
    <col min="2571" max="2571" width="7.26953125" style="32" bestFit="1" customWidth="1"/>
    <col min="2572" max="2572" width="26.81640625" style="32" bestFit="1" customWidth="1"/>
    <col min="2573" max="2573" width="19.81640625" style="32" bestFit="1" customWidth="1"/>
    <col min="2574" max="2808" width="11.453125" style="32"/>
    <col min="2809" max="2809" width="2.26953125" style="32" customWidth="1"/>
    <col min="2810" max="2810" width="49" style="32" customWidth="1"/>
    <col min="2811" max="2811" width="16.81640625" style="32" customWidth="1"/>
    <col min="2812" max="2812" width="1.1796875" style="32" customWidth="1"/>
    <col min="2813" max="2813" width="20.7265625" style="32" customWidth="1"/>
    <col min="2814" max="2814" width="17.7265625" style="32" customWidth="1"/>
    <col min="2815" max="2815" width="18.1796875" style="32" customWidth="1"/>
    <col min="2816" max="2816" width="17.1796875" style="32" customWidth="1"/>
    <col min="2817" max="2817" width="22.26953125" style="32" bestFit="1" customWidth="1"/>
    <col min="2818" max="2818" width="22.1796875" style="32" customWidth="1"/>
    <col min="2819" max="2819" width="17.81640625" style="32" customWidth="1"/>
    <col min="2820" max="2820" width="22.453125" style="32" customWidth="1"/>
    <col min="2821" max="2821" width="10.1796875" style="32" bestFit="1" customWidth="1"/>
    <col min="2822" max="2822" width="13.453125" style="32" customWidth="1"/>
    <col min="2823" max="2823" width="7.26953125" style="32" bestFit="1" customWidth="1"/>
    <col min="2824" max="2824" width="15.453125" style="32" bestFit="1" customWidth="1"/>
    <col min="2825" max="2825" width="7.26953125" style="32" bestFit="1" customWidth="1"/>
    <col min="2826" max="2826" width="19.7265625" style="32" bestFit="1" customWidth="1"/>
    <col min="2827" max="2827" width="7.26953125" style="32" bestFit="1" customWidth="1"/>
    <col min="2828" max="2828" width="26.81640625" style="32" bestFit="1" customWidth="1"/>
    <col min="2829" max="2829" width="19.81640625" style="32" bestFit="1" customWidth="1"/>
    <col min="2830" max="3064" width="11.453125" style="32"/>
    <col min="3065" max="3065" width="2.26953125" style="32" customWidth="1"/>
    <col min="3066" max="3066" width="49" style="32" customWidth="1"/>
    <col min="3067" max="3067" width="16.81640625" style="32" customWidth="1"/>
    <col min="3068" max="3068" width="1.1796875" style="32" customWidth="1"/>
    <col min="3069" max="3069" width="20.7265625" style="32" customWidth="1"/>
    <col min="3070" max="3070" width="17.7265625" style="32" customWidth="1"/>
    <col min="3071" max="3071" width="18.1796875" style="32" customWidth="1"/>
    <col min="3072" max="3072" width="17.1796875" style="32" customWidth="1"/>
    <col min="3073" max="3073" width="22.26953125" style="32" bestFit="1" customWidth="1"/>
    <col min="3074" max="3074" width="22.1796875" style="32" customWidth="1"/>
    <col min="3075" max="3075" width="17.81640625" style="32" customWidth="1"/>
    <col min="3076" max="3076" width="22.453125" style="32" customWidth="1"/>
    <col min="3077" max="3077" width="10.1796875" style="32" bestFit="1" customWidth="1"/>
    <col min="3078" max="3078" width="13.453125" style="32" customWidth="1"/>
    <col min="3079" max="3079" width="7.26953125" style="32" bestFit="1" customWidth="1"/>
    <col min="3080" max="3080" width="15.453125" style="32" bestFit="1" customWidth="1"/>
    <col min="3081" max="3081" width="7.26953125" style="32" bestFit="1" customWidth="1"/>
    <col min="3082" max="3082" width="19.7265625" style="32" bestFit="1" customWidth="1"/>
    <col min="3083" max="3083" width="7.26953125" style="32" bestFit="1" customWidth="1"/>
    <col min="3084" max="3084" width="26.81640625" style="32" bestFit="1" customWidth="1"/>
    <col min="3085" max="3085" width="19.81640625" style="32" bestFit="1" customWidth="1"/>
    <col min="3086" max="3320" width="11.453125" style="32"/>
    <col min="3321" max="3321" width="2.26953125" style="32" customWidth="1"/>
    <col min="3322" max="3322" width="49" style="32" customWidth="1"/>
    <col min="3323" max="3323" width="16.81640625" style="32" customWidth="1"/>
    <col min="3324" max="3324" width="1.1796875" style="32" customWidth="1"/>
    <col min="3325" max="3325" width="20.7265625" style="32" customWidth="1"/>
    <col min="3326" max="3326" width="17.7265625" style="32" customWidth="1"/>
    <col min="3327" max="3327" width="18.1796875" style="32" customWidth="1"/>
    <col min="3328" max="3328" width="17.1796875" style="32" customWidth="1"/>
    <col min="3329" max="3329" width="22.26953125" style="32" bestFit="1" customWidth="1"/>
    <col min="3330" max="3330" width="22.1796875" style="32" customWidth="1"/>
    <col min="3331" max="3331" width="17.81640625" style="32" customWidth="1"/>
    <col min="3332" max="3332" width="22.453125" style="32" customWidth="1"/>
    <col min="3333" max="3333" width="10.1796875" style="32" bestFit="1" customWidth="1"/>
    <col min="3334" max="3334" width="13.453125" style="32" customWidth="1"/>
    <col min="3335" max="3335" width="7.26953125" style="32" bestFit="1" customWidth="1"/>
    <col min="3336" max="3336" width="15.453125" style="32" bestFit="1" customWidth="1"/>
    <col min="3337" max="3337" width="7.26953125" style="32" bestFit="1" customWidth="1"/>
    <col min="3338" max="3338" width="19.7265625" style="32" bestFit="1" customWidth="1"/>
    <col min="3339" max="3339" width="7.26953125" style="32" bestFit="1" customWidth="1"/>
    <col min="3340" max="3340" width="26.81640625" style="32" bestFit="1" customWidth="1"/>
    <col min="3341" max="3341" width="19.81640625" style="32" bestFit="1" customWidth="1"/>
    <col min="3342" max="3576" width="11.453125" style="32"/>
    <col min="3577" max="3577" width="2.26953125" style="32" customWidth="1"/>
    <col min="3578" max="3578" width="49" style="32" customWidth="1"/>
    <col min="3579" max="3579" width="16.81640625" style="32" customWidth="1"/>
    <col min="3580" max="3580" width="1.1796875" style="32" customWidth="1"/>
    <col min="3581" max="3581" width="20.7265625" style="32" customWidth="1"/>
    <col min="3582" max="3582" width="17.7265625" style="32" customWidth="1"/>
    <col min="3583" max="3583" width="18.1796875" style="32" customWidth="1"/>
    <col min="3584" max="3584" width="17.1796875" style="32" customWidth="1"/>
    <col min="3585" max="3585" width="22.26953125" style="32" bestFit="1" customWidth="1"/>
    <col min="3586" max="3586" width="22.1796875" style="32" customWidth="1"/>
    <col min="3587" max="3587" width="17.81640625" style="32" customWidth="1"/>
    <col min="3588" max="3588" width="22.453125" style="32" customWidth="1"/>
    <col min="3589" max="3589" width="10.1796875" style="32" bestFit="1" customWidth="1"/>
    <col min="3590" max="3590" width="13.453125" style="32" customWidth="1"/>
    <col min="3591" max="3591" width="7.26953125" style="32" bestFit="1" customWidth="1"/>
    <col min="3592" max="3592" width="15.453125" style="32" bestFit="1" customWidth="1"/>
    <col min="3593" max="3593" width="7.26953125" style="32" bestFit="1" customWidth="1"/>
    <col min="3594" max="3594" width="19.7265625" style="32" bestFit="1" customWidth="1"/>
    <col min="3595" max="3595" width="7.26953125" style="32" bestFit="1" customWidth="1"/>
    <col min="3596" max="3596" width="26.81640625" style="32" bestFit="1" customWidth="1"/>
    <col min="3597" max="3597" width="19.81640625" style="32" bestFit="1" customWidth="1"/>
    <col min="3598" max="3832" width="11.453125" style="32"/>
    <col min="3833" max="3833" width="2.26953125" style="32" customWidth="1"/>
    <col min="3834" max="3834" width="49" style="32" customWidth="1"/>
    <col min="3835" max="3835" width="16.81640625" style="32" customWidth="1"/>
    <col min="3836" max="3836" width="1.1796875" style="32" customWidth="1"/>
    <col min="3837" max="3837" width="20.7265625" style="32" customWidth="1"/>
    <col min="3838" max="3838" width="17.7265625" style="32" customWidth="1"/>
    <col min="3839" max="3839" width="18.1796875" style="32" customWidth="1"/>
    <col min="3840" max="3840" width="17.1796875" style="32" customWidth="1"/>
    <col min="3841" max="3841" width="22.26953125" style="32" bestFit="1" customWidth="1"/>
    <col min="3842" max="3842" width="22.1796875" style="32" customWidth="1"/>
    <col min="3843" max="3843" width="17.81640625" style="32" customWidth="1"/>
    <col min="3844" max="3844" width="22.453125" style="32" customWidth="1"/>
    <col min="3845" max="3845" width="10.1796875" style="32" bestFit="1" customWidth="1"/>
    <col min="3846" max="3846" width="13.453125" style="32" customWidth="1"/>
    <col min="3847" max="3847" width="7.26953125" style="32" bestFit="1" customWidth="1"/>
    <col min="3848" max="3848" width="15.453125" style="32" bestFit="1" customWidth="1"/>
    <col min="3849" max="3849" width="7.26953125" style="32" bestFit="1" customWidth="1"/>
    <col min="3850" max="3850" width="19.7265625" style="32" bestFit="1" customWidth="1"/>
    <col min="3851" max="3851" width="7.26953125" style="32" bestFit="1" customWidth="1"/>
    <col min="3852" max="3852" width="26.81640625" style="32" bestFit="1" customWidth="1"/>
    <col min="3853" max="3853" width="19.81640625" style="32" bestFit="1" customWidth="1"/>
    <col min="3854" max="4088" width="11.453125" style="32"/>
    <col min="4089" max="4089" width="2.26953125" style="32" customWidth="1"/>
    <col min="4090" max="4090" width="49" style="32" customWidth="1"/>
    <col min="4091" max="4091" width="16.81640625" style="32" customWidth="1"/>
    <col min="4092" max="4092" width="1.1796875" style="32" customWidth="1"/>
    <col min="4093" max="4093" width="20.7265625" style="32" customWidth="1"/>
    <col min="4094" max="4094" width="17.7265625" style="32" customWidth="1"/>
    <col min="4095" max="4095" width="18.1796875" style="32" customWidth="1"/>
    <col min="4096" max="4096" width="17.1796875" style="32" customWidth="1"/>
    <col min="4097" max="4097" width="22.26953125" style="32" bestFit="1" customWidth="1"/>
    <col min="4098" max="4098" width="22.1796875" style="32" customWidth="1"/>
    <col min="4099" max="4099" width="17.81640625" style="32" customWidth="1"/>
    <col min="4100" max="4100" width="22.453125" style="32" customWidth="1"/>
    <col min="4101" max="4101" width="10.1796875" style="32" bestFit="1" customWidth="1"/>
    <col min="4102" max="4102" width="13.453125" style="32" customWidth="1"/>
    <col min="4103" max="4103" width="7.26953125" style="32" bestFit="1" customWidth="1"/>
    <col min="4104" max="4104" width="15.453125" style="32" bestFit="1" customWidth="1"/>
    <col min="4105" max="4105" width="7.26953125" style="32" bestFit="1" customWidth="1"/>
    <col min="4106" max="4106" width="19.7265625" style="32" bestFit="1" customWidth="1"/>
    <col min="4107" max="4107" width="7.26953125" style="32" bestFit="1" customWidth="1"/>
    <col min="4108" max="4108" width="26.81640625" style="32" bestFit="1" customWidth="1"/>
    <col min="4109" max="4109" width="19.81640625" style="32" bestFit="1" customWidth="1"/>
    <col min="4110" max="4344" width="11.453125" style="32"/>
    <col min="4345" max="4345" width="2.26953125" style="32" customWidth="1"/>
    <col min="4346" max="4346" width="49" style="32" customWidth="1"/>
    <col min="4347" max="4347" width="16.81640625" style="32" customWidth="1"/>
    <col min="4348" max="4348" width="1.1796875" style="32" customWidth="1"/>
    <col min="4349" max="4349" width="20.7265625" style="32" customWidth="1"/>
    <col min="4350" max="4350" width="17.7265625" style="32" customWidth="1"/>
    <col min="4351" max="4351" width="18.1796875" style="32" customWidth="1"/>
    <col min="4352" max="4352" width="17.1796875" style="32" customWidth="1"/>
    <col min="4353" max="4353" width="22.26953125" style="32" bestFit="1" customWidth="1"/>
    <col min="4354" max="4354" width="22.1796875" style="32" customWidth="1"/>
    <col min="4355" max="4355" width="17.81640625" style="32" customWidth="1"/>
    <col min="4356" max="4356" width="22.453125" style="32" customWidth="1"/>
    <col min="4357" max="4357" width="10.1796875" style="32" bestFit="1" customWidth="1"/>
    <col min="4358" max="4358" width="13.453125" style="32" customWidth="1"/>
    <col min="4359" max="4359" width="7.26953125" style="32" bestFit="1" customWidth="1"/>
    <col min="4360" max="4360" width="15.453125" style="32" bestFit="1" customWidth="1"/>
    <col min="4361" max="4361" width="7.26953125" style="32" bestFit="1" customWidth="1"/>
    <col min="4362" max="4362" width="19.7265625" style="32" bestFit="1" customWidth="1"/>
    <col min="4363" max="4363" width="7.26953125" style="32" bestFit="1" customWidth="1"/>
    <col min="4364" max="4364" width="26.81640625" style="32" bestFit="1" customWidth="1"/>
    <col min="4365" max="4365" width="19.81640625" style="32" bestFit="1" customWidth="1"/>
    <col min="4366" max="4600" width="11.453125" style="32"/>
    <col min="4601" max="4601" width="2.26953125" style="32" customWidth="1"/>
    <col min="4602" max="4602" width="49" style="32" customWidth="1"/>
    <col min="4603" max="4603" width="16.81640625" style="32" customWidth="1"/>
    <col min="4604" max="4604" width="1.1796875" style="32" customWidth="1"/>
    <col min="4605" max="4605" width="20.7265625" style="32" customWidth="1"/>
    <col min="4606" max="4606" width="17.7265625" style="32" customWidth="1"/>
    <col min="4607" max="4607" width="18.1796875" style="32" customWidth="1"/>
    <col min="4608" max="4608" width="17.1796875" style="32" customWidth="1"/>
    <col min="4609" max="4609" width="22.26953125" style="32" bestFit="1" customWidth="1"/>
    <col min="4610" max="4610" width="22.1796875" style="32" customWidth="1"/>
    <col min="4611" max="4611" width="17.81640625" style="32" customWidth="1"/>
    <col min="4612" max="4612" width="22.453125" style="32" customWidth="1"/>
    <col min="4613" max="4613" width="10.1796875" style="32" bestFit="1" customWidth="1"/>
    <col min="4614" max="4614" width="13.453125" style="32" customWidth="1"/>
    <col min="4615" max="4615" width="7.26953125" style="32" bestFit="1" customWidth="1"/>
    <col min="4616" max="4616" width="15.453125" style="32" bestFit="1" customWidth="1"/>
    <col min="4617" max="4617" width="7.26953125" style="32" bestFit="1" customWidth="1"/>
    <col min="4618" max="4618" width="19.7265625" style="32" bestFit="1" customWidth="1"/>
    <col min="4619" max="4619" width="7.26953125" style="32" bestFit="1" customWidth="1"/>
    <col min="4620" max="4620" width="26.81640625" style="32" bestFit="1" customWidth="1"/>
    <col min="4621" max="4621" width="19.81640625" style="32" bestFit="1" customWidth="1"/>
    <col min="4622" max="4856" width="11.453125" style="32"/>
    <col min="4857" max="4857" width="2.26953125" style="32" customWidth="1"/>
    <col min="4858" max="4858" width="49" style="32" customWidth="1"/>
    <col min="4859" max="4859" width="16.81640625" style="32" customWidth="1"/>
    <col min="4860" max="4860" width="1.1796875" style="32" customWidth="1"/>
    <col min="4861" max="4861" width="20.7265625" style="32" customWidth="1"/>
    <col min="4862" max="4862" width="17.7265625" style="32" customWidth="1"/>
    <col min="4863" max="4863" width="18.1796875" style="32" customWidth="1"/>
    <col min="4864" max="4864" width="17.1796875" style="32" customWidth="1"/>
    <col min="4865" max="4865" width="22.26953125" style="32" bestFit="1" customWidth="1"/>
    <col min="4866" max="4866" width="22.1796875" style="32" customWidth="1"/>
    <col min="4867" max="4867" width="17.81640625" style="32" customWidth="1"/>
    <col min="4868" max="4868" width="22.453125" style="32" customWidth="1"/>
    <col min="4869" max="4869" width="10.1796875" style="32" bestFit="1" customWidth="1"/>
    <col min="4870" max="4870" width="13.453125" style="32" customWidth="1"/>
    <col min="4871" max="4871" width="7.26953125" style="32" bestFit="1" customWidth="1"/>
    <col min="4872" max="4872" width="15.453125" style="32" bestFit="1" customWidth="1"/>
    <col min="4873" max="4873" width="7.26953125" style="32" bestFit="1" customWidth="1"/>
    <col min="4874" max="4874" width="19.7265625" style="32" bestFit="1" customWidth="1"/>
    <col min="4875" max="4875" width="7.26953125" style="32" bestFit="1" customWidth="1"/>
    <col min="4876" max="4876" width="26.81640625" style="32" bestFit="1" customWidth="1"/>
    <col min="4877" max="4877" width="19.81640625" style="32" bestFit="1" customWidth="1"/>
    <col min="4878" max="5112" width="11.453125" style="32"/>
    <col min="5113" max="5113" width="2.26953125" style="32" customWidth="1"/>
    <col min="5114" max="5114" width="49" style="32" customWidth="1"/>
    <col min="5115" max="5115" width="16.81640625" style="32" customWidth="1"/>
    <col min="5116" max="5116" width="1.1796875" style="32" customWidth="1"/>
    <col min="5117" max="5117" width="20.7265625" style="32" customWidth="1"/>
    <col min="5118" max="5118" width="17.7265625" style="32" customWidth="1"/>
    <col min="5119" max="5119" width="18.1796875" style="32" customWidth="1"/>
    <col min="5120" max="5120" width="17.1796875" style="32" customWidth="1"/>
    <col min="5121" max="5121" width="22.26953125" style="32" bestFit="1" customWidth="1"/>
    <col min="5122" max="5122" width="22.1796875" style="32" customWidth="1"/>
    <col min="5123" max="5123" width="17.81640625" style="32" customWidth="1"/>
    <col min="5124" max="5124" width="22.453125" style="32" customWidth="1"/>
    <col min="5125" max="5125" width="10.1796875" style="32" bestFit="1" customWidth="1"/>
    <col min="5126" max="5126" width="13.453125" style="32" customWidth="1"/>
    <col min="5127" max="5127" width="7.26953125" style="32" bestFit="1" customWidth="1"/>
    <col min="5128" max="5128" width="15.453125" style="32" bestFit="1" customWidth="1"/>
    <col min="5129" max="5129" width="7.26953125" style="32" bestFit="1" customWidth="1"/>
    <col min="5130" max="5130" width="19.7265625" style="32" bestFit="1" customWidth="1"/>
    <col min="5131" max="5131" width="7.26953125" style="32" bestFit="1" customWidth="1"/>
    <col min="5132" max="5132" width="26.81640625" style="32" bestFit="1" customWidth="1"/>
    <col min="5133" max="5133" width="19.81640625" style="32" bestFit="1" customWidth="1"/>
    <col min="5134" max="5368" width="11.453125" style="32"/>
    <col min="5369" max="5369" width="2.26953125" style="32" customWidth="1"/>
    <col min="5370" max="5370" width="49" style="32" customWidth="1"/>
    <col min="5371" max="5371" width="16.81640625" style="32" customWidth="1"/>
    <col min="5372" max="5372" width="1.1796875" style="32" customWidth="1"/>
    <col min="5373" max="5373" width="20.7265625" style="32" customWidth="1"/>
    <col min="5374" max="5374" width="17.7265625" style="32" customWidth="1"/>
    <col min="5375" max="5375" width="18.1796875" style="32" customWidth="1"/>
    <col min="5376" max="5376" width="17.1796875" style="32" customWidth="1"/>
    <col min="5377" max="5377" width="22.26953125" style="32" bestFit="1" customWidth="1"/>
    <col min="5378" max="5378" width="22.1796875" style="32" customWidth="1"/>
    <col min="5379" max="5379" width="17.81640625" style="32" customWidth="1"/>
    <col min="5380" max="5380" width="22.453125" style="32" customWidth="1"/>
    <col min="5381" max="5381" width="10.1796875" style="32" bestFit="1" customWidth="1"/>
    <col min="5382" max="5382" width="13.453125" style="32" customWidth="1"/>
    <col min="5383" max="5383" width="7.26953125" style="32" bestFit="1" customWidth="1"/>
    <col min="5384" max="5384" width="15.453125" style="32" bestFit="1" customWidth="1"/>
    <col min="5385" max="5385" width="7.26953125" style="32" bestFit="1" customWidth="1"/>
    <col min="5386" max="5386" width="19.7265625" style="32" bestFit="1" customWidth="1"/>
    <col min="5387" max="5387" width="7.26953125" style="32" bestFit="1" customWidth="1"/>
    <col min="5388" max="5388" width="26.81640625" style="32" bestFit="1" customWidth="1"/>
    <col min="5389" max="5389" width="19.81640625" style="32" bestFit="1" customWidth="1"/>
    <col min="5390" max="5624" width="11.453125" style="32"/>
    <col min="5625" max="5625" width="2.26953125" style="32" customWidth="1"/>
    <col min="5626" max="5626" width="49" style="32" customWidth="1"/>
    <col min="5627" max="5627" width="16.81640625" style="32" customWidth="1"/>
    <col min="5628" max="5628" width="1.1796875" style="32" customWidth="1"/>
    <col min="5629" max="5629" width="20.7265625" style="32" customWidth="1"/>
    <col min="5630" max="5630" width="17.7265625" style="32" customWidth="1"/>
    <col min="5631" max="5631" width="18.1796875" style="32" customWidth="1"/>
    <col min="5632" max="5632" width="17.1796875" style="32" customWidth="1"/>
    <col min="5633" max="5633" width="22.26953125" style="32" bestFit="1" customWidth="1"/>
    <col min="5634" max="5634" width="22.1796875" style="32" customWidth="1"/>
    <col min="5635" max="5635" width="17.81640625" style="32" customWidth="1"/>
    <col min="5636" max="5636" width="22.453125" style="32" customWidth="1"/>
    <col min="5637" max="5637" width="10.1796875" style="32" bestFit="1" customWidth="1"/>
    <col min="5638" max="5638" width="13.453125" style="32" customWidth="1"/>
    <col min="5639" max="5639" width="7.26953125" style="32" bestFit="1" customWidth="1"/>
    <col min="5640" max="5640" width="15.453125" style="32" bestFit="1" customWidth="1"/>
    <col min="5641" max="5641" width="7.26953125" style="32" bestFit="1" customWidth="1"/>
    <col min="5642" max="5642" width="19.7265625" style="32" bestFit="1" customWidth="1"/>
    <col min="5643" max="5643" width="7.26953125" style="32" bestFit="1" customWidth="1"/>
    <col min="5644" max="5644" width="26.81640625" style="32" bestFit="1" customWidth="1"/>
    <col min="5645" max="5645" width="19.81640625" style="32" bestFit="1" customWidth="1"/>
    <col min="5646" max="5880" width="11.453125" style="32"/>
    <col min="5881" max="5881" width="2.26953125" style="32" customWidth="1"/>
    <col min="5882" max="5882" width="49" style="32" customWidth="1"/>
    <col min="5883" max="5883" width="16.81640625" style="32" customWidth="1"/>
    <col min="5884" max="5884" width="1.1796875" style="32" customWidth="1"/>
    <col min="5885" max="5885" width="20.7265625" style="32" customWidth="1"/>
    <col min="5886" max="5886" width="17.7265625" style="32" customWidth="1"/>
    <col min="5887" max="5887" width="18.1796875" style="32" customWidth="1"/>
    <col min="5888" max="5888" width="17.1796875" style="32" customWidth="1"/>
    <col min="5889" max="5889" width="22.26953125" style="32" bestFit="1" customWidth="1"/>
    <col min="5890" max="5890" width="22.1796875" style="32" customWidth="1"/>
    <col min="5891" max="5891" width="17.81640625" style="32" customWidth="1"/>
    <col min="5892" max="5892" width="22.453125" style="32" customWidth="1"/>
    <col min="5893" max="5893" width="10.1796875" style="32" bestFit="1" customWidth="1"/>
    <col min="5894" max="5894" width="13.453125" style="32" customWidth="1"/>
    <col min="5895" max="5895" width="7.26953125" style="32" bestFit="1" customWidth="1"/>
    <col min="5896" max="5896" width="15.453125" style="32" bestFit="1" customWidth="1"/>
    <col min="5897" max="5897" width="7.26953125" style="32" bestFit="1" customWidth="1"/>
    <col min="5898" max="5898" width="19.7265625" style="32" bestFit="1" customWidth="1"/>
    <col min="5899" max="5899" width="7.26953125" style="32" bestFit="1" customWidth="1"/>
    <col min="5900" max="5900" width="26.81640625" style="32" bestFit="1" customWidth="1"/>
    <col min="5901" max="5901" width="19.81640625" style="32" bestFit="1" customWidth="1"/>
    <col min="5902" max="6136" width="11.453125" style="32"/>
    <col min="6137" max="6137" width="2.26953125" style="32" customWidth="1"/>
    <col min="6138" max="6138" width="49" style="32" customWidth="1"/>
    <col min="6139" max="6139" width="16.81640625" style="32" customWidth="1"/>
    <col min="6140" max="6140" width="1.1796875" style="32" customWidth="1"/>
    <col min="6141" max="6141" width="20.7265625" style="32" customWidth="1"/>
    <col min="6142" max="6142" width="17.7265625" style="32" customWidth="1"/>
    <col min="6143" max="6143" width="18.1796875" style="32" customWidth="1"/>
    <col min="6144" max="6144" width="17.1796875" style="32" customWidth="1"/>
    <col min="6145" max="6145" width="22.26953125" style="32" bestFit="1" customWidth="1"/>
    <col min="6146" max="6146" width="22.1796875" style="32" customWidth="1"/>
    <col min="6147" max="6147" width="17.81640625" style="32" customWidth="1"/>
    <col min="6148" max="6148" width="22.453125" style="32" customWidth="1"/>
    <col min="6149" max="6149" width="10.1796875" style="32" bestFit="1" customWidth="1"/>
    <col min="6150" max="6150" width="13.453125" style="32" customWidth="1"/>
    <col min="6151" max="6151" width="7.26953125" style="32" bestFit="1" customWidth="1"/>
    <col min="6152" max="6152" width="15.453125" style="32" bestFit="1" customWidth="1"/>
    <col min="6153" max="6153" width="7.26953125" style="32" bestFit="1" customWidth="1"/>
    <col min="6154" max="6154" width="19.7265625" style="32" bestFit="1" customWidth="1"/>
    <col min="6155" max="6155" width="7.26953125" style="32" bestFit="1" customWidth="1"/>
    <col min="6156" max="6156" width="26.81640625" style="32" bestFit="1" customWidth="1"/>
    <col min="6157" max="6157" width="19.81640625" style="32" bestFit="1" customWidth="1"/>
    <col min="6158" max="6392" width="11.453125" style="32"/>
    <col min="6393" max="6393" width="2.26953125" style="32" customWidth="1"/>
    <col min="6394" max="6394" width="49" style="32" customWidth="1"/>
    <col min="6395" max="6395" width="16.81640625" style="32" customWidth="1"/>
    <col min="6396" max="6396" width="1.1796875" style="32" customWidth="1"/>
    <col min="6397" max="6397" width="20.7265625" style="32" customWidth="1"/>
    <col min="6398" max="6398" width="17.7265625" style="32" customWidth="1"/>
    <col min="6399" max="6399" width="18.1796875" style="32" customWidth="1"/>
    <col min="6400" max="6400" width="17.1796875" style="32" customWidth="1"/>
    <col min="6401" max="6401" width="22.26953125" style="32" bestFit="1" customWidth="1"/>
    <col min="6402" max="6402" width="22.1796875" style="32" customWidth="1"/>
    <col min="6403" max="6403" width="17.81640625" style="32" customWidth="1"/>
    <col min="6404" max="6404" width="22.453125" style="32" customWidth="1"/>
    <col min="6405" max="6405" width="10.1796875" style="32" bestFit="1" customWidth="1"/>
    <col min="6406" max="6406" width="13.453125" style="32" customWidth="1"/>
    <col min="6407" max="6407" width="7.26953125" style="32" bestFit="1" customWidth="1"/>
    <col min="6408" max="6408" width="15.453125" style="32" bestFit="1" customWidth="1"/>
    <col min="6409" max="6409" width="7.26953125" style="32" bestFit="1" customWidth="1"/>
    <col min="6410" max="6410" width="19.7265625" style="32" bestFit="1" customWidth="1"/>
    <col min="6411" max="6411" width="7.26953125" style="32" bestFit="1" customWidth="1"/>
    <col min="6412" max="6412" width="26.81640625" style="32" bestFit="1" customWidth="1"/>
    <col min="6413" max="6413" width="19.81640625" style="32" bestFit="1" customWidth="1"/>
    <col min="6414" max="6648" width="11.453125" style="32"/>
    <col min="6649" max="6649" width="2.26953125" style="32" customWidth="1"/>
    <col min="6650" max="6650" width="49" style="32" customWidth="1"/>
    <col min="6651" max="6651" width="16.81640625" style="32" customWidth="1"/>
    <col min="6652" max="6652" width="1.1796875" style="32" customWidth="1"/>
    <col min="6653" max="6653" width="20.7265625" style="32" customWidth="1"/>
    <col min="6654" max="6654" width="17.7265625" style="32" customWidth="1"/>
    <col min="6655" max="6655" width="18.1796875" style="32" customWidth="1"/>
    <col min="6656" max="6656" width="17.1796875" style="32" customWidth="1"/>
    <col min="6657" max="6657" width="22.26953125" style="32" bestFit="1" customWidth="1"/>
    <col min="6658" max="6658" width="22.1796875" style="32" customWidth="1"/>
    <col min="6659" max="6659" width="17.81640625" style="32" customWidth="1"/>
    <col min="6660" max="6660" width="22.453125" style="32" customWidth="1"/>
    <col min="6661" max="6661" width="10.1796875" style="32" bestFit="1" customWidth="1"/>
    <col min="6662" max="6662" width="13.453125" style="32" customWidth="1"/>
    <col min="6663" max="6663" width="7.26953125" style="32" bestFit="1" customWidth="1"/>
    <col min="6664" max="6664" width="15.453125" style="32" bestFit="1" customWidth="1"/>
    <col min="6665" max="6665" width="7.26953125" style="32" bestFit="1" customWidth="1"/>
    <col min="6666" max="6666" width="19.7265625" style="32" bestFit="1" customWidth="1"/>
    <col min="6667" max="6667" width="7.26953125" style="32" bestFit="1" customWidth="1"/>
    <col min="6668" max="6668" width="26.81640625" style="32" bestFit="1" customWidth="1"/>
    <col min="6669" max="6669" width="19.81640625" style="32" bestFit="1" customWidth="1"/>
    <col min="6670" max="6904" width="11.453125" style="32"/>
    <col min="6905" max="6905" width="2.26953125" style="32" customWidth="1"/>
    <col min="6906" max="6906" width="49" style="32" customWidth="1"/>
    <col min="6907" max="6907" width="16.81640625" style="32" customWidth="1"/>
    <col min="6908" max="6908" width="1.1796875" style="32" customWidth="1"/>
    <col min="6909" max="6909" width="20.7265625" style="32" customWidth="1"/>
    <col min="6910" max="6910" width="17.7265625" style="32" customWidth="1"/>
    <col min="6911" max="6911" width="18.1796875" style="32" customWidth="1"/>
    <col min="6912" max="6912" width="17.1796875" style="32" customWidth="1"/>
    <col min="6913" max="6913" width="22.26953125" style="32" bestFit="1" customWidth="1"/>
    <col min="6914" max="6914" width="22.1796875" style="32" customWidth="1"/>
    <col min="6915" max="6915" width="17.81640625" style="32" customWidth="1"/>
    <col min="6916" max="6916" width="22.453125" style="32" customWidth="1"/>
    <col min="6917" max="6917" width="10.1796875" style="32" bestFit="1" customWidth="1"/>
    <col min="6918" max="6918" width="13.453125" style="32" customWidth="1"/>
    <col min="6919" max="6919" width="7.26953125" style="32" bestFit="1" customWidth="1"/>
    <col min="6920" max="6920" width="15.453125" style="32" bestFit="1" customWidth="1"/>
    <col min="6921" max="6921" width="7.26953125" style="32" bestFit="1" customWidth="1"/>
    <col min="6922" max="6922" width="19.7265625" style="32" bestFit="1" customWidth="1"/>
    <col min="6923" max="6923" width="7.26953125" style="32" bestFit="1" customWidth="1"/>
    <col min="6924" max="6924" width="26.81640625" style="32" bestFit="1" customWidth="1"/>
    <col min="6925" max="6925" width="19.81640625" style="32" bestFit="1" customWidth="1"/>
    <col min="6926" max="7160" width="11.453125" style="32"/>
    <col min="7161" max="7161" width="2.26953125" style="32" customWidth="1"/>
    <col min="7162" max="7162" width="49" style="32" customWidth="1"/>
    <col min="7163" max="7163" width="16.81640625" style="32" customWidth="1"/>
    <col min="7164" max="7164" width="1.1796875" style="32" customWidth="1"/>
    <col min="7165" max="7165" width="20.7265625" style="32" customWidth="1"/>
    <col min="7166" max="7166" width="17.7265625" style="32" customWidth="1"/>
    <col min="7167" max="7167" width="18.1796875" style="32" customWidth="1"/>
    <col min="7168" max="7168" width="17.1796875" style="32" customWidth="1"/>
    <col min="7169" max="7169" width="22.26953125" style="32" bestFit="1" customWidth="1"/>
    <col min="7170" max="7170" width="22.1796875" style="32" customWidth="1"/>
    <col min="7171" max="7171" width="17.81640625" style="32" customWidth="1"/>
    <col min="7172" max="7172" width="22.453125" style="32" customWidth="1"/>
    <col min="7173" max="7173" width="10.1796875" style="32" bestFit="1" customWidth="1"/>
    <col min="7174" max="7174" width="13.453125" style="32" customWidth="1"/>
    <col min="7175" max="7175" width="7.26953125" style="32" bestFit="1" customWidth="1"/>
    <col min="7176" max="7176" width="15.453125" style="32" bestFit="1" customWidth="1"/>
    <col min="7177" max="7177" width="7.26953125" style="32" bestFit="1" customWidth="1"/>
    <col min="7178" max="7178" width="19.7265625" style="32" bestFit="1" customWidth="1"/>
    <col min="7179" max="7179" width="7.26953125" style="32" bestFit="1" customWidth="1"/>
    <col min="7180" max="7180" width="26.81640625" style="32" bestFit="1" customWidth="1"/>
    <col min="7181" max="7181" width="19.81640625" style="32" bestFit="1" customWidth="1"/>
    <col min="7182" max="7416" width="11.453125" style="32"/>
    <col min="7417" max="7417" width="2.26953125" style="32" customWidth="1"/>
    <col min="7418" max="7418" width="49" style="32" customWidth="1"/>
    <col min="7419" max="7419" width="16.81640625" style="32" customWidth="1"/>
    <col min="7420" max="7420" width="1.1796875" style="32" customWidth="1"/>
    <col min="7421" max="7421" width="20.7265625" style="32" customWidth="1"/>
    <col min="7422" max="7422" width="17.7265625" style="32" customWidth="1"/>
    <col min="7423" max="7423" width="18.1796875" style="32" customWidth="1"/>
    <col min="7424" max="7424" width="17.1796875" style="32" customWidth="1"/>
    <col min="7425" max="7425" width="22.26953125" style="32" bestFit="1" customWidth="1"/>
    <col min="7426" max="7426" width="22.1796875" style="32" customWidth="1"/>
    <col min="7427" max="7427" width="17.81640625" style="32" customWidth="1"/>
    <col min="7428" max="7428" width="22.453125" style="32" customWidth="1"/>
    <col min="7429" max="7429" width="10.1796875" style="32" bestFit="1" customWidth="1"/>
    <col min="7430" max="7430" width="13.453125" style="32" customWidth="1"/>
    <col min="7431" max="7431" width="7.26953125" style="32" bestFit="1" customWidth="1"/>
    <col min="7432" max="7432" width="15.453125" style="32" bestFit="1" customWidth="1"/>
    <col min="7433" max="7433" width="7.26953125" style="32" bestFit="1" customWidth="1"/>
    <col min="7434" max="7434" width="19.7265625" style="32" bestFit="1" customWidth="1"/>
    <col min="7435" max="7435" width="7.26953125" style="32" bestFit="1" customWidth="1"/>
    <col min="7436" max="7436" width="26.81640625" style="32" bestFit="1" customWidth="1"/>
    <col min="7437" max="7437" width="19.81640625" style="32" bestFit="1" customWidth="1"/>
    <col min="7438" max="7672" width="11.453125" style="32"/>
    <col min="7673" max="7673" width="2.26953125" style="32" customWidth="1"/>
    <col min="7674" max="7674" width="49" style="32" customWidth="1"/>
    <col min="7675" max="7675" width="16.81640625" style="32" customWidth="1"/>
    <col min="7676" max="7676" width="1.1796875" style="32" customWidth="1"/>
    <col min="7677" max="7677" width="20.7265625" style="32" customWidth="1"/>
    <col min="7678" max="7678" width="17.7265625" style="32" customWidth="1"/>
    <col min="7679" max="7679" width="18.1796875" style="32" customWidth="1"/>
    <col min="7680" max="7680" width="17.1796875" style="32" customWidth="1"/>
    <col min="7681" max="7681" width="22.26953125" style="32" bestFit="1" customWidth="1"/>
    <col min="7682" max="7682" width="22.1796875" style="32" customWidth="1"/>
    <col min="7683" max="7683" width="17.81640625" style="32" customWidth="1"/>
    <col min="7684" max="7684" width="22.453125" style="32" customWidth="1"/>
    <col min="7685" max="7685" width="10.1796875" style="32" bestFit="1" customWidth="1"/>
    <col min="7686" max="7686" width="13.453125" style="32" customWidth="1"/>
    <col min="7687" max="7687" width="7.26953125" style="32" bestFit="1" customWidth="1"/>
    <col min="7688" max="7688" width="15.453125" style="32" bestFit="1" customWidth="1"/>
    <col min="7689" max="7689" width="7.26953125" style="32" bestFit="1" customWidth="1"/>
    <col min="7690" max="7690" width="19.7265625" style="32" bestFit="1" customWidth="1"/>
    <col min="7691" max="7691" width="7.26953125" style="32" bestFit="1" customWidth="1"/>
    <col min="7692" max="7692" width="26.81640625" style="32" bestFit="1" customWidth="1"/>
    <col min="7693" max="7693" width="19.81640625" style="32" bestFit="1" customWidth="1"/>
    <col min="7694" max="7928" width="11.453125" style="32"/>
    <col min="7929" max="7929" width="2.26953125" style="32" customWidth="1"/>
    <col min="7930" max="7930" width="49" style="32" customWidth="1"/>
    <col min="7931" max="7931" width="16.81640625" style="32" customWidth="1"/>
    <col min="7932" max="7932" width="1.1796875" style="32" customWidth="1"/>
    <col min="7933" max="7933" width="20.7265625" style="32" customWidth="1"/>
    <col min="7934" max="7934" width="17.7265625" style="32" customWidth="1"/>
    <col min="7935" max="7935" width="18.1796875" style="32" customWidth="1"/>
    <col min="7936" max="7936" width="17.1796875" style="32" customWidth="1"/>
    <col min="7937" max="7937" width="22.26953125" style="32" bestFit="1" customWidth="1"/>
    <col min="7938" max="7938" width="22.1796875" style="32" customWidth="1"/>
    <col min="7939" max="7939" width="17.81640625" style="32" customWidth="1"/>
    <col min="7940" max="7940" width="22.453125" style="32" customWidth="1"/>
    <col min="7941" max="7941" width="10.1796875" style="32" bestFit="1" customWidth="1"/>
    <col min="7942" max="7942" width="13.453125" style="32" customWidth="1"/>
    <col min="7943" max="7943" width="7.26953125" style="32" bestFit="1" customWidth="1"/>
    <col min="7944" max="7944" width="15.453125" style="32" bestFit="1" customWidth="1"/>
    <col min="7945" max="7945" width="7.26953125" style="32" bestFit="1" customWidth="1"/>
    <col min="7946" max="7946" width="19.7265625" style="32" bestFit="1" customWidth="1"/>
    <col min="7947" max="7947" width="7.26953125" style="32" bestFit="1" customWidth="1"/>
    <col min="7948" max="7948" width="26.81640625" style="32" bestFit="1" customWidth="1"/>
    <col min="7949" max="7949" width="19.81640625" style="32" bestFit="1" customWidth="1"/>
    <col min="7950" max="8184" width="11.453125" style="32"/>
    <col min="8185" max="8185" width="2.26953125" style="32" customWidth="1"/>
    <col min="8186" max="8186" width="49" style="32" customWidth="1"/>
    <col min="8187" max="8187" width="16.81640625" style="32" customWidth="1"/>
    <col min="8188" max="8188" width="1.1796875" style="32" customWidth="1"/>
    <col min="8189" max="8189" width="20.7265625" style="32" customWidth="1"/>
    <col min="8190" max="8190" width="17.7265625" style="32" customWidth="1"/>
    <col min="8191" max="8191" width="18.1796875" style="32" customWidth="1"/>
    <col min="8192" max="8192" width="17.1796875" style="32" customWidth="1"/>
    <col min="8193" max="8193" width="22.26953125" style="32" bestFit="1" customWidth="1"/>
    <col min="8194" max="8194" width="22.1796875" style="32" customWidth="1"/>
    <col min="8195" max="8195" width="17.81640625" style="32" customWidth="1"/>
    <col min="8196" max="8196" width="22.453125" style="32" customWidth="1"/>
    <col min="8197" max="8197" width="10.1796875" style="32" bestFit="1" customWidth="1"/>
    <col min="8198" max="8198" width="13.453125" style="32" customWidth="1"/>
    <col min="8199" max="8199" width="7.26953125" style="32" bestFit="1" customWidth="1"/>
    <col min="8200" max="8200" width="15.453125" style="32" bestFit="1" customWidth="1"/>
    <col min="8201" max="8201" width="7.26953125" style="32" bestFit="1" customWidth="1"/>
    <col min="8202" max="8202" width="19.7265625" style="32" bestFit="1" customWidth="1"/>
    <col min="8203" max="8203" width="7.26953125" style="32" bestFit="1" customWidth="1"/>
    <col min="8204" max="8204" width="26.81640625" style="32" bestFit="1" customWidth="1"/>
    <col min="8205" max="8205" width="19.81640625" style="32" bestFit="1" customWidth="1"/>
    <col min="8206" max="8440" width="11.453125" style="32"/>
    <col min="8441" max="8441" width="2.26953125" style="32" customWidth="1"/>
    <col min="8442" max="8442" width="49" style="32" customWidth="1"/>
    <col min="8443" max="8443" width="16.81640625" style="32" customWidth="1"/>
    <col min="8444" max="8444" width="1.1796875" style="32" customWidth="1"/>
    <col min="8445" max="8445" width="20.7265625" style="32" customWidth="1"/>
    <col min="8446" max="8446" width="17.7265625" style="32" customWidth="1"/>
    <col min="8447" max="8447" width="18.1796875" style="32" customWidth="1"/>
    <col min="8448" max="8448" width="17.1796875" style="32" customWidth="1"/>
    <col min="8449" max="8449" width="22.26953125" style="32" bestFit="1" customWidth="1"/>
    <col min="8450" max="8450" width="22.1796875" style="32" customWidth="1"/>
    <col min="8451" max="8451" width="17.81640625" style="32" customWidth="1"/>
    <col min="8452" max="8452" width="22.453125" style="32" customWidth="1"/>
    <col min="8453" max="8453" width="10.1796875" style="32" bestFit="1" customWidth="1"/>
    <col min="8454" max="8454" width="13.453125" style="32" customWidth="1"/>
    <col min="8455" max="8455" width="7.26953125" style="32" bestFit="1" customWidth="1"/>
    <col min="8456" max="8456" width="15.453125" style="32" bestFit="1" customWidth="1"/>
    <col min="8457" max="8457" width="7.26953125" style="32" bestFit="1" customWidth="1"/>
    <col min="8458" max="8458" width="19.7265625" style="32" bestFit="1" customWidth="1"/>
    <col min="8459" max="8459" width="7.26953125" style="32" bestFit="1" customWidth="1"/>
    <col min="8460" max="8460" width="26.81640625" style="32" bestFit="1" customWidth="1"/>
    <col min="8461" max="8461" width="19.81640625" style="32" bestFit="1" customWidth="1"/>
    <col min="8462" max="8696" width="11.453125" style="32"/>
    <col min="8697" max="8697" width="2.26953125" style="32" customWidth="1"/>
    <col min="8698" max="8698" width="49" style="32" customWidth="1"/>
    <col min="8699" max="8699" width="16.81640625" style="32" customWidth="1"/>
    <col min="8700" max="8700" width="1.1796875" style="32" customWidth="1"/>
    <col min="8701" max="8701" width="20.7265625" style="32" customWidth="1"/>
    <col min="8702" max="8702" width="17.7265625" style="32" customWidth="1"/>
    <col min="8703" max="8703" width="18.1796875" style="32" customWidth="1"/>
    <col min="8704" max="8704" width="17.1796875" style="32" customWidth="1"/>
    <col min="8705" max="8705" width="22.26953125" style="32" bestFit="1" customWidth="1"/>
    <col min="8706" max="8706" width="22.1796875" style="32" customWidth="1"/>
    <col min="8707" max="8707" width="17.81640625" style="32" customWidth="1"/>
    <col min="8708" max="8708" width="22.453125" style="32" customWidth="1"/>
    <col min="8709" max="8709" width="10.1796875" style="32" bestFit="1" customWidth="1"/>
    <col min="8710" max="8710" width="13.453125" style="32" customWidth="1"/>
    <col min="8711" max="8711" width="7.26953125" style="32" bestFit="1" customWidth="1"/>
    <col min="8712" max="8712" width="15.453125" style="32" bestFit="1" customWidth="1"/>
    <col min="8713" max="8713" width="7.26953125" style="32" bestFit="1" customWidth="1"/>
    <col min="8714" max="8714" width="19.7265625" style="32" bestFit="1" customWidth="1"/>
    <col min="8715" max="8715" width="7.26953125" style="32" bestFit="1" customWidth="1"/>
    <col min="8716" max="8716" width="26.81640625" style="32" bestFit="1" customWidth="1"/>
    <col min="8717" max="8717" width="19.81640625" style="32" bestFit="1" customWidth="1"/>
    <col min="8718" max="8952" width="11.453125" style="32"/>
    <col min="8953" max="8953" width="2.26953125" style="32" customWidth="1"/>
    <col min="8954" max="8954" width="49" style="32" customWidth="1"/>
    <col min="8955" max="8955" width="16.81640625" style="32" customWidth="1"/>
    <col min="8956" max="8956" width="1.1796875" style="32" customWidth="1"/>
    <col min="8957" max="8957" width="20.7265625" style="32" customWidth="1"/>
    <col min="8958" max="8958" width="17.7265625" style="32" customWidth="1"/>
    <col min="8959" max="8959" width="18.1796875" style="32" customWidth="1"/>
    <col min="8960" max="8960" width="17.1796875" style="32" customWidth="1"/>
    <col min="8961" max="8961" width="22.26953125" style="32" bestFit="1" customWidth="1"/>
    <col min="8962" max="8962" width="22.1796875" style="32" customWidth="1"/>
    <col min="8963" max="8963" width="17.81640625" style="32" customWidth="1"/>
    <col min="8964" max="8964" width="22.453125" style="32" customWidth="1"/>
    <col min="8965" max="8965" width="10.1796875" style="32" bestFit="1" customWidth="1"/>
    <col min="8966" max="8966" width="13.453125" style="32" customWidth="1"/>
    <col min="8967" max="8967" width="7.26953125" style="32" bestFit="1" customWidth="1"/>
    <col min="8968" max="8968" width="15.453125" style="32" bestFit="1" customWidth="1"/>
    <col min="8969" max="8969" width="7.26953125" style="32" bestFit="1" customWidth="1"/>
    <col min="8970" max="8970" width="19.7265625" style="32" bestFit="1" customWidth="1"/>
    <col min="8971" max="8971" width="7.26953125" style="32" bestFit="1" customWidth="1"/>
    <col min="8972" max="8972" width="26.81640625" style="32" bestFit="1" customWidth="1"/>
    <col min="8973" max="8973" width="19.81640625" style="32" bestFit="1" customWidth="1"/>
    <col min="8974" max="9208" width="11.453125" style="32"/>
    <col min="9209" max="9209" width="2.26953125" style="32" customWidth="1"/>
    <col min="9210" max="9210" width="49" style="32" customWidth="1"/>
    <col min="9211" max="9211" width="16.81640625" style="32" customWidth="1"/>
    <col min="9212" max="9212" width="1.1796875" style="32" customWidth="1"/>
    <col min="9213" max="9213" width="20.7265625" style="32" customWidth="1"/>
    <col min="9214" max="9214" width="17.7265625" style="32" customWidth="1"/>
    <col min="9215" max="9215" width="18.1796875" style="32" customWidth="1"/>
    <col min="9216" max="9216" width="17.1796875" style="32" customWidth="1"/>
    <col min="9217" max="9217" width="22.26953125" style="32" bestFit="1" customWidth="1"/>
    <col min="9218" max="9218" width="22.1796875" style="32" customWidth="1"/>
    <col min="9219" max="9219" width="17.81640625" style="32" customWidth="1"/>
    <col min="9220" max="9220" width="22.453125" style="32" customWidth="1"/>
    <col min="9221" max="9221" width="10.1796875" style="32" bestFit="1" customWidth="1"/>
    <col min="9222" max="9222" width="13.453125" style="32" customWidth="1"/>
    <col min="9223" max="9223" width="7.26953125" style="32" bestFit="1" customWidth="1"/>
    <col min="9224" max="9224" width="15.453125" style="32" bestFit="1" customWidth="1"/>
    <col min="9225" max="9225" width="7.26953125" style="32" bestFit="1" customWidth="1"/>
    <col min="9226" max="9226" width="19.7265625" style="32" bestFit="1" customWidth="1"/>
    <col min="9227" max="9227" width="7.26953125" style="32" bestFit="1" customWidth="1"/>
    <col min="9228" max="9228" width="26.81640625" style="32" bestFit="1" customWidth="1"/>
    <col min="9229" max="9229" width="19.81640625" style="32" bestFit="1" customWidth="1"/>
    <col min="9230" max="9464" width="11.453125" style="32"/>
    <col min="9465" max="9465" width="2.26953125" style="32" customWidth="1"/>
    <col min="9466" max="9466" width="49" style="32" customWidth="1"/>
    <col min="9467" max="9467" width="16.81640625" style="32" customWidth="1"/>
    <col min="9468" max="9468" width="1.1796875" style="32" customWidth="1"/>
    <col min="9469" max="9469" width="20.7265625" style="32" customWidth="1"/>
    <col min="9470" max="9470" width="17.7265625" style="32" customWidth="1"/>
    <col min="9471" max="9471" width="18.1796875" style="32" customWidth="1"/>
    <col min="9472" max="9472" width="17.1796875" style="32" customWidth="1"/>
    <col min="9473" max="9473" width="22.26953125" style="32" bestFit="1" customWidth="1"/>
    <col min="9474" max="9474" width="22.1796875" style="32" customWidth="1"/>
    <col min="9475" max="9475" width="17.81640625" style="32" customWidth="1"/>
    <col min="9476" max="9476" width="22.453125" style="32" customWidth="1"/>
    <col min="9477" max="9477" width="10.1796875" style="32" bestFit="1" customWidth="1"/>
    <col min="9478" max="9478" width="13.453125" style="32" customWidth="1"/>
    <col min="9479" max="9479" width="7.26953125" style="32" bestFit="1" customWidth="1"/>
    <col min="9480" max="9480" width="15.453125" style="32" bestFit="1" customWidth="1"/>
    <col min="9481" max="9481" width="7.26953125" style="32" bestFit="1" customWidth="1"/>
    <col min="9482" max="9482" width="19.7265625" style="32" bestFit="1" customWidth="1"/>
    <col min="9483" max="9483" width="7.26953125" style="32" bestFit="1" customWidth="1"/>
    <col min="9484" max="9484" width="26.81640625" style="32" bestFit="1" customWidth="1"/>
    <col min="9485" max="9485" width="19.81640625" style="32" bestFit="1" customWidth="1"/>
    <col min="9486" max="9720" width="11.453125" style="32"/>
    <col min="9721" max="9721" width="2.26953125" style="32" customWidth="1"/>
    <col min="9722" max="9722" width="49" style="32" customWidth="1"/>
    <col min="9723" max="9723" width="16.81640625" style="32" customWidth="1"/>
    <col min="9724" max="9724" width="1.1796875" style="32" customWidth="1"/>
    <col min="9725" max="9725" width="20.7265625" style="32" customWidth="1"/>
    <col min="9726" max="9726" width="17.7265625" style="32" customWidth="1"/>
    <col min="9727" max="9727" width="18.1796875" style="32" customWidth="1"/>
    <col min="9728" max="9728" width="17.1796875" style="32" customWidth="1"/>
    <col min="9729" max="9729" width="22.26953125" style="32" bestFit="1" customWidth="1"/>
    <col min="9730" max="9730" width="22.1796875" style="32" customWidth="1"/>
    <col min="9731" max="9731" width="17.81640625" style="32" customWidth="1"/>
    <col min="9732" max="9732" width="22.453125" style="32" customWidth="1"/>
    <col min="9733" max="9733" width="10.1796875" style="32" bestFit="1" customWidth="1"/>
    <col min="9734" max="9734" width="13.453125" style="32" customWidth="1"/>
    <col min="9735" max="9735" width="7.26953125" style="32" bestFit="1" customWidth="1"/>
    <col min="9736" max="9736" width="15.453125" style="32" bestFit="1" customWidth="1"/>
    <col min="9737" max="9737" width="7.26953125" style="32" bestFit="1" customWidth="1"/>
    <col min="9738" max="9738" width="19.7265625" style="32" bestFit="1" customWidth="1"/>
    <col min="9739" max="9739" width="7.26953125" style="32" bestFit="1" customWidth="1"/>
    <col min="9740" max="9740" width="26.81640625" style="32" bestFit="1" customWidth="1"/>
    <col min="9741" max="9741" width="19.81640625" style="32" bestFit="1" customWidth="1"/>
    <col min="9742" max="9976" width="11.453125" style="32"/>
    <col min="9977" max="9977" width="2.26953125" style="32" customWidth="1"/>
    <col min="9978" max="9978" width="49" style="32" customWidth="1"/>
    <col min="9979" max="9979" width="16.81640625" style="32" customWidth="1"/>
    <col min="9980" max="9980" width="1.1796875" style="32" customWidth="1"/>
    <col min="9981" max="9981" width="20.7265625" style="32" customWidth="1"/>
    <col min="9982" max="9982" width="17.7265625" style="32" customWidth="1"/>
    <col min="9983" max="9983" width="18.1796875" style="32" customWidth="1"/>
    <col min="9984" max="9984" width="17.1796875" style="32" customWidth="1"/>
    <col min="9985" max="9985" width="22.26953125" style="32" bestFit="1" customWidth="1"/>
    <col min="9986" max="9986" width="22.1796875" style="32" customWidth="1"/>
    <col min="9987" max="9987" width="17.81640625" style="32" customWidth="1"/>
    <col min="9988" max="9988" width="22.453125" style="32" customWidth="1"/>
    <col min="9989" max="9989" width="10.1796875" style="32" bestFit="1" customWidth="1"/>
    <col min="9990" max="9990" width="13.453125" style="32" customWidth="1"/>
    <col min="9991" max="9991" width="7.26953125" style="32" bestFit="1" customWidth="1"/>
    <col min="9992" max="9992" width="15.453125" style="32" bestFit="1" customWidth="1"/>
    <col min="9993" max="9993" width="7.26953125" style="32" bestFit="1" customWidth="1"/>
    <col min="9994" max="9994" width="19.7265625" style="32" bestFit="1" customWidth="1"/>
    <col min="9995" max="9995" width="7.26953125" style="32" bestFit="1" customWidth="1"/>
    <col min="9996" max="9996" width="26.81640625" style="32" bestFit="1" customWidth="1"/>
    <col min="9997" max="9997" width="19.81640625" style="32" bestFit="1" customWidth="1"/>
    <col min="9998" max="10232" width="11.453125" style="32"/>
    <col min="10233" max="10233" width="2.26953125" style="32" customWidth="1"/>
    <col min="10234" max="10234" width="49" style="32" customWidth="1"/>
    <col min="10235" max="10235" width="16.81640625" style="32" customWidth="1"/>
    <col min="10236" max="10236" width="1.1796875" style="32" customWidth="1"/>
    <col min="10237" max="10237" width="20.7265625" style="32" customWidth="1"/>
    <col min="10238" max="10238" width="17.7265625" style="32" customWidth="1"/>
    <col min="10239" max="10239" width="18.1796875" style="32" customWidth="1"/>
    <col min="10240" max="10240" width="17.1796875" style="32" customWidth="1"/>
    <col min="10241" max="10241" width="22.26953125" style="32" bestFit="1" customWidth="1"/>
    <col min="10242" max="10242" width="22.1796875" style="32" customWidth="1"/>
    <col min="10243" max="10243" width="17.81640625" style="32" customWidth="1"/>
    <col min="10244" max="10244" width="22.453125" style="32" customWidth="1"/>
    <col min="10245" max="10245" width="10.1796875" style="32" bestFit="1" customWidth="1"/>
    <col min="10246" max="10246" width="13.453125" style="32" customWidth="1"/>
    <col min="10247" max="10247" width="7.26953125" style="32" bestFit="1" customWidth="1"/>
    <col min="10248" max="10248" width="15.453125" style="32" bestFit="1" customWidth="1"/>
    <col min="10249" max="10249" width="7.26953125" style="32" bestFit="1" customWidth="1"/>
    <col min="10250" max="10250" width="19.7265625" style="32" bestFit="1" customWidth="1"/>
    <col min="10251" max="10251" width="7.26953125" style="32" bestFit="1" customWidth="1"/>
    <col min="10252" max="10252" width="26.81640625" style="32" bestFit="1" customWidth="1"/>
    <col min="10253" max="10253" width="19.81640625" style="32" bestFit="1" customWidth="1"/>
    <col min="10254" max="10488" width="11.453125" style="32"/>
    <col min="10489" max="10489" width="2.26953125" style="32" customWidth="1"/>
    <col min="10490" max="10490" width="49" style="32" customWidth="1"/>
    <col min="10491" max="10491" width="16.81640625" style="32" customWidth="1"/>
    <col min="10492" max="10492" width="1.1796875" style="32" customWidth="1"/>
    <col min="10493" max="10493" width="20.7265625" style="32" customWidth="1"/>
    <col min="10494" max="10494" width="17.7265625" style="32" customWidth="1"/>
    <col min="10495" max="10495" width="18.1796875" style="32" customWidth="1"/>
    <col min="10496" max="10496" width="17.1796875" style="32" customWidth="1"/>
    <col min="10497" max="10497" width="22.26953125" style="32" bestFit="1" customWidth="1"/>
    <col min="10498" max="10498" width="22.1796875" style="32" customWidth="1"/>
    <col min="10499" max="10499" width="17.81640625" style="32" customWidth="1"/>
    <col min="10500" max="10500" width="22.453125" style="32" customWidth="1"/>
    <col min="10501" max="10501" width="10.1796875" style="32" bestFit="1" customWidth="1"/>
    <col min="10502" max="10502" width="13.453125" style="32" customWidth="1"/>
    <col min="10503" max="10503" width="7.26953125" style="32" bestFit="1" customWidth="1"/>
    <col min="10504" max="10504" width="15.453125" style="32" bestFit="1" customWidth="1"/>
    <col min="10505" max="10505" width="7.26953125" style="32" bestFit="1" customWidth="1"/>
    <col min="10506" max="10506" width="19.7265625" style="32" bestFit="1" customWidth="1"/>
    <col min="10507" max="10507" width="7.26953125" style="32" bestFit="1" customWidth="1"/>
    <col min="10508" max="10508" width="26.81640625" style="32" bestFit="1" customWidth="1"/>
    <col min="10509" max="10509" width="19.81640625" style="32" bestFit="1" customWidth="1"/>
    <col min="10510" max="10744" width="11.453125" style="32"/>
    <col min="10745" max="10745" width="2.26953125" style="32" customWidth="1"/>
    <col min="10746" max="10746" width="49" style="32" customWidth="1"/>
    <col min="10747" max="10747" width="16.81640625" style="32" customWidth="1"/>
    <col min="10748" max="10748" width="1.1796875" style="32" customWidth="1"/>
    <col min="10749" max="10749" width="20.7265625" style="32" customWidth="1"/>
    <col min="10750" max="10750" width="17.7265625" style="32" customWidth="1"/>
    <col min="10751" max="10751" width="18.1796875" style="32" customWidth="1"/>
    <col min="10752" max="10752" width="17.1796875" style="32" customWidth="1"/>
    <col min="10753" max="10753" width="22.26953125" style="32" bestFit="1" customWidth="1"/>
    <col min="10754" max="10754" width="22.1796875" style="32" customWidth="1"/>
    <col min="10755" max="10755" width="17.81640625" style="32" customWidth="1"/>
    <col min="10756" max="10756" width="22.453125" style="32" customWidth="1"/>
    <col min="10757" max="10757" width="10.1796875" style="32" bestFit="1" customWidth="1"/>
    <col min="10758" max="10758" width="13.453125" style="32" customWidth="1"/>
    <col min="10759" max="10759" width="7.26953125" style="32" bestFit="1" customWidth="1"/>
    <col min="10760" max="10760" width="15.453125" style="32" bestFit="1" customWidth="1"/>
    <col min="10761" max="10761" width="7.26953125" style="32" bestFit="1" customWidth="1"/>
    <col min="10762" max="10762" width="19.7265625" style="32" bestFit="1" customWidth="1"/>
    <col min="10763" max="10763" width="7.26953125" style="32" bestFit="1" customWidth="1"/>
    <col min="10764" max="10764" width="26.81640625" style="32" bestFit="1" customWidth="1"/>
    <col min="10765" max="10765" width="19.81640625" style="32" bestFit="1" customWidth="1"/>
    <col min="10766" max="11000" width="11.453125" style="32"/>
    <col min="11001" max="11001" width="2.26953125" style="32" customWidth="1"/>
    <col min="11002" max="11002" width="49" style="32" customWidth="1"/>
    <col min="11003" max="11003" width="16.81640625" style="32" customWidth="1"/>
    <col min="11004" max="11004" width="1.1796875" style="32" customWidth="1"/>
    <col min="11005" max="11005" width="20.7265625" style="32" customWidth="1"/>
    <col min="11006" max="11006" width="17.7265625" style="32" customWidth="1"/>
    <col min="11007" max="11007" width="18.1796875" style="32" customWidth="1"/>
    <col min="11008" max="11008" width="17.1796875" style="32" customWidth="1"/>
    <col min="11009" max="11009" width="22.26953125" style="32" bestFit="1" customWidth="1"/>
    <col min="11010" max="11010" width="22.1796875" style="32" customWidth="1"/>
    <col min="11011" max="11011" width="17.81640625" style="32" customWidth="1"/>
    <col min="11012" max="11012" width="22.453125" style="32" customWidth="1"/>
    <col min="11013" max="11013" width="10.1796875" style="32" bestFit="1" customWidth="1"/>
    <col min="11014" max="11014" width="13.453125" style="32" customWidth="1"/>
    <col min="11015" max="11015" width="7.26953125" style="32" bestFit="1" customWidth="1"/>
    <col min="11016" max="11016" width="15.453125" style="32" bestFit="1" customWidth="1"/>
    <col min="11017" max="11017" width="7.26953125" style="32" bestFit="1" customWidth="1"/>
    <col min="11018" max="11018" width="19.7265625" style="32" bestFit="1" customWidth="1"/>
    <col min="11019" max="11019" width="7.26953125" style="32" bestFit="1" customWidth="1"/>
    <col min="11020" max="11020" width="26.81640625" style="32" bestFit="1" customWidth="1"/>
    <col min="11021" max="11021" width="19.81640625" style="32" bestFit="1" customWidth="1"/>
    <col min="11022" max="11256" width="11.453125" style="32"/>
    <col min="11257" max="11257" width="2.26953125" style="32" customWidth="1"/>
    <col min="11258" max="11258" width="49" style="32" customWidth="1"/>
    <col min="11259" max="11259" width="16.81640625" style="32" customWidth="1"/>
    <col min="11260" max="11260" width="1.1796875" style="32" customWidth="1"/>
    <col min="11261" max="11261" width="20.7265625" style="32" customWidth="1"/>
    <col min="11262" max="11262" width="17.7265625" style="32" customWidth="1"/>
    <col min="11263" max="11263" width="18.1796875" style="32" customWidth="1"/>
    <col min="11264" max="11264" width="17.1796875" style="32" customWidth="1"/>
    <col min="11265" max="11265" width="22.26953125" style="32" bestFit="1" customWidth="1"/>
    <col min="11266" max="11266" width="22.1796875" style="32" customWidth="1"/>
    <col min="11267" max="11267" width="17.81640625" style="32" customWidth="1"/>
    <col min="11268" max="11268" width="22.453125" style="32" customWidth="1"/>
    <col min="11269" max="11269" width="10.1796875" style="32" bestFit="1" customWidth="1"/>
    <col min="11270" max="11270" width="13.453125" style="32" customWidth="1"/>
    <col min="11271" max="11271" width="7.26953125" style="32" bestFit="1" customWidth="1"/>
    <col min="11272" max="11272" width="15.453125" style="32" bestFit="1" customWidth="1"/>
    <col min="11273" max="11273" width="7.26953125" style="32" bestFit="1" customWidth="1"/>
    <col min="11274" max="11274" width="19.7265625" style="32" bestFit="1" customWidth="1"/>
    <col min="11275" max="11275" width="7.26953125" style="32" bestFit="1" customWidth="1"/>
    <col min="11276" max="11276" width="26.81640625" style="32" bestFit="1" customWidth="1"/>
    <col min="11277" max="11277" width="19.81640625" style="32" bestFit="1" customWidth="1"/>
    <col min="11278" max="11512" width="11.453125" style="32"/>
    <col min="11513" max="11513" width="2.26953125" style="32" customWidth="1"/>
    <col min="11514" max="11514" width="49" style="32" customWidth="1"/>
    <col min="11515" max="11515" width="16.81640625" style="32" customWidth="1"/>
    <col min="11516" max="11516" width="1.1796875" style="32" customWidth="1"/>
    <col min="11517" max="11517" width="20.7265625" style="32" customWidth="1"/>
    <col min="11518" max="11518" width="17.7265625" style="32" customWidth="1"/>
    <col min="11519" max="11519" width="18.1796875" style="32" customWidth="1"/>
    <col min="11520" max="11520" width="17.1796875" style="32" customWidth="1"/>
    <col min="11521" max="11521" width="22.26953125" style="32" bestFit="1" customWidth="1"/>
    <col min="11522" max="11522" width="22.1796875" style="32" customWidth="1"/>
    <col min="11523" max="11523" width="17.81640625" style="32" customWidth="1"/>
    <col min="11524" max="11524" width="22.453125" style="32" customWidth="1"/>
    <col min="11525" max="11525" width="10.1796875" style="32" bestFit="1" customWidth="1"/>
    <col min="11526" max="11526" width="13.453125" style="32" customWidth="1"/>
    <col min="11527" max="11527" width="7.26953125" style="32" bestFit="1" customWidth="1"/>
    <col min="11528" max="11528" width="15.453125" style="32" bestFit="1" customWidth="1"/>
    <col min="11529" max="11529" width="7.26953125" style="32" bestFit="1" customWidth="1"/>
    <col min="11530" max="11530" width="19.7265625" style="32" bestFit="1" customWidth="1"/>
    <col min="11531" max="11531" width="7.26953125" style="32" bestFit="1" customWidth="1"/>
    <col min="11532" max="11532" width="26.81640625" style="32" bestFit="1" customWidth="1"/>
    <col min="11533" max="11533" width="19.81640625" style="32" bestFit="1" customWidth="1"/>
    <col min="11534" max="11768" width="11.453125" style="32"/>
    <col min="11769" max="11769" width="2.26953125" style="32" customWidth="1"/>
    <col min="11770" max="11770" width="49" style="32" customWidth="1"/>
    <col min="11771" max="11771" width="16.81640625" style="32" customWidth="1"/>
    <col min="11772" max="11772" width="1.1796875" style="32" customWidth="1"/>
    <col min="11773" max="11773" width="20.7265625" style="32" customWidth="1"/>
    <col min="11774" max="11774" width="17.7265625" style="32" customWidth="1"/>
    <col min="11775" max="11775" width="18.1796875" style="32" customWidth="1"/>
    <col min="11776" max="11776" width="17.1796875" style="32" customWidth="1"/>
    <col min="11777" max="11777" width="22.26953125" style="32" bestFit="1" customWidth="1"/>
    <col min="11778" max="11778" width="22.1796875" style="32" customWidth="1"/>
    <col min="11779" max="11779" width="17.81640625" style="32" customWidth="1"/>
    <col min="11780" max="11780" width="22.453125" style="32" customWidth="1"/>
    <col min="11781" max="11781" width="10.1796875" style="32" bestFit="1" customWidth="1"/>
    <col min="11782" max="11782" width="13.453125" style="32" customWidth="1"/>
    <col min="11783" max="11783" width="7.26953125" style="32" bestFit="1" customWidth="1"/>
    <col min="11784" max="11784" width="15.453125" style="32" bestFit="1" customWidth="1"/>
    <col min="11785" max="11785" width="7.26953125" style="32" bestFit="1" customWidth="1"/>
    <col min="11786" max="11786" width="19.7265625" style="32" bestFit="1" customWidth="1"/>
    <col min="11787" max="11787" width="7.26953125" style="32" bestFit="1" customWidth="1"/>
    <col min="11788" max="11788" width="26.81640625" style="32" bestFit="1" customWidth="1"/>
    <col min="11789" max="11789" width="19.81640625" style="32" bestFit="1" customWidth="1"/>
    <col min="11790" max="12024" width="11.453125" style="32"/>
    <col min="12025" max="12025" width="2.26953125" style="32" customWidth="1"/>
    <col min="12026" max="12026" width="49" style="32" customWidth="1"/>
    <col min="12027" max="12027" width="16.81640625" style="32" customWidth="1"/>
    <col min="12028" max="12028" width="1.1796875" style="32" customWidth="1"/>
    <col min="12029" max="12029" width="20.7265625" style="32" customWidth="1"/>
    <col min="12030" max="12030" width="17.7265625" style="32" customWidth="1"/>
    <col min="12031" max="12031" width="18.1796875" style="32" customWidth="1"/>
    <col min="12032" max="12032" width="17.1796875" style="32" customWidth="1"/>
    <col min="12033" max="12033" width="22.26953125" style="32" bestFit="1" customWidth="1"/>
    <col min="12034" max="12034" width="22.1796875" style="32" customWidth="1"/>
    <col min="12035" max="12035" width="17.81640625" style="32" customWidth="1"/>
    <col min="12036" max="12036" width="22.453125" style="32" customWidth="1"/>
    <col min="12037" max="12037" width="10.1796875" style="32" bestFit="1" customWidth="1"/>
    <col min="12038" max="12038" width="13.453125" style="32" customWidth="1"/>
    <col min="12039" max="12039" width="7.26953125" style="32" bestFit="1" customWidth="1"/>
    <col min="12040" max="12040" width="15.453125" style="32" bestFit="1" customWidth="1"/>
    <col min="12041" max="12041" width="7.26953125" style="32" bestFit="1" customWidth="1"/>
    <col min="12042" max="12042" width="19.7265625" style="32" bestFit="1" customWidth="1"/>
    <col min="12043" max="12043" width="7.26953125" style="32" bestFit="1" customWidth="1"/>
    <col min="12044" max="12044" width="26.81640625" style="32" bestFit="1" customWidth="1"/>
    <col min="12045" max="12045" width="19.81640625" style="32" bestFit="1" customWidth="1"/>
    <col min="12046" max="12280" width="11.453125" style="32"/>
    <col min="12281" max="12281" width="2.26953125" style="32" customWidth="1"/>
    <col min="12282" max="12282" width="49" style="32" customWidth="1"/>
    <col min="12283" max="12283" width="16.81640625" style="32" customWidth="1"/>
    <col min="12284" max="12284" width="1.1796875" style="32" customWidth="1"/>
    <col min="12285" max="12285" width="20.7265625" style="32" customWidth="1"/>
    <col min="12286" max="12286" width="17.7265625" style="32" customWidth="1"/>
    <col min="12287" max="12287" width="18.1796875" style="32" customWidth="1"/>
    <col min="12288" max="12288" width="17.1796875" style="32" customWidth="1"/>
    <col min="12289" max="12289" width="22.26953125" style="32" bestFit="1" customWidth="1"/>
    <col min="12290" max="12290" width="22.1796875" style="32" customWidth="1"/>
    <col min="12291" max="12291" width="17.81640625" style="32" customWidth="1"/>
    <col min="12292" max="12292" width="22.453125" style="32" customWidth="1"/>
    <col min="12293" max="12293" width="10.1796875" style="32" bestFit="1" customWidth="1"/>
    <col min="12294" max="12294" width="13.453125" style="32" customWidth="1"/>
    <col min="12295" max="12295" width="7.26953125" style="32" bestFit="1" customWidth="1"/>
    <col min="12296" max="12296" width="15.453125" style="32" bestFit="1" customWidth="1"/>
    <col min="12297" max="12297" width="7.26953125" style="32" bestFit="1" customWidth="1"/>
    <col min="12298" max="12298" width="19.7265625" style="32" bestFit="1" customWidth="1"/>
    <col min="12299" max="12299" width="7.26953125" style="32" bestFit="1" customWidth="1"/>
    <col min="12300" max="12300" width="26.81640625" style="32" bestFit="1" customWidth="1"/>
    <col min="12301" max="12301" width="19.81640625" style="32" bestFit="1" customWidth="1"/>
    <col min="12302" max="12536" width="11.453125" style="32"/>
    <col min="12537" max="12537" width="2.26953125" style="32" customWidth="1"/>
    <col min="12538" max="12538" width="49" style="32" customWidth="1"/>
    <col min="12539" max="12539" width="16.81640625" style="32" customWidth="1"/>
    <col min="12540" max="12540" width="1.1796875" style="32" customWidth="1"/>
    <col min="12541" max="12541" width="20.7265625" style="32" customWidth="1"/>
    <col min="12542" max="12542" width="17.7265625" style="32" customWidth="1"/>
    <col min="12543" max="12543" width="18.1796875" style="32" customWidth="1"/>
    <col min="12544" max="12544" width="17.1796875" style="32" customWidth="1"/>
    <col min="12545" max="12545" width="22.26953125" style="32" bestFit="1" customWidth="1"/>
    <col min="12546" max="12546" width="22.1796875" style="32" customWidth="1"/>
    <col min="12547" max="12547" width="17.81640625" style="32" customWidth="1"/>
    <col min="12548" max="12548" width="22.453125" style="32" customWidth="1"/>
    <col min="12549" max="12549" width="10.1796875" style="32" bestFit="1" customWidth="1"/>
    <col min="12550" max="12550" width="13.453125" style="32" customWidth="1"/>
    <col min="12551" max="12551" width="7.26953125" style="32" bestFit="1" customWidth="1"/>
    <col min="12552" max="12552" width="15.453125" style="32" bestFit="1" customWidth="1"/>
    <col min="12553" max="12553" width="7.26953125" style="32" bestFit="1" customWidth="1"/>
    <col min="12554" max="12554" width="19.7265625" style="32" bestFit="1" customWidth="1"/>
    <col min="12555" max="12555" width="7.26953125" style="32" bestFit="1" customWidth="1"/>
    <col min="12556" max="12556" width="26.81640625" style="32" bestFit="1" customWidth="1"/>
    <col min="12557" max="12557" width="19.81640625" style="32" bestFit="1" customWidth="1"/>
    <col min="12558" max="12792" width="11.453125" style="32"/>
    <col min="12793" max="12793" width="2.26953125" style="32" customWidth="1"/>
    <col min="12794" max="12794" width="49" style="32" customWidth="1"/>
    <col min="12795" max="12795" width="16.81640625" style="32" customWidth="1"/>
    <col min="12796" max="12796" width="1.1796875" style="32" customWidth="1"/>
    <col min="12797" max="12797" width="20.7265625" style="32" customWidth="1"/>
    <col min="12798" max="12798" width="17.7265625" style="32" customWidth="1"/>
    <col min="12799" max="12799" width="18.1796875" style="32" customWidth="1"/>
    <col min="12800" max="12800" width="17.1796875" style="32" customWidth="1"/>
    <col min="12801" max="12801" width="22.26953125" style="32" bestFit="1" customWidth="1"/>
    <col min="12802" max="12802" width="22.1796875" style="32" customWidth="1"/>
    <col min="12803" max="12803" width="17.81640625" style="32" customWidth="1"/>
    <col min="12804" max="12804" width="22.453125" style="32" customWidth="1"/>
    <col min="12805" max="12805" width="10.1796875" style="32" bestFit="1" customWidth="1"/>
    <col min="12806" max="12806" width="13.453125" style="32" customWidth="1"/>
    <col min="12807" max="12807" width="7.26953125" style="32" bestFit="1" customWidth="1"/>
    <col min="12808" max="12808" width="15.453125" style="32" bestFit="1" customWidth="1"/>
    <col min="12809" max="12809" width="7.26953125" style="32" bestFit="1" customWidth="1"/>
    <col min="12810" max="12810" width="19.7265625" style="32" bestFit="1" customWidth="1"/>
    <col min="12811" max="12811" width="7.26953125" style="32" bestFit="1" customWidth="1"/>
    <col min="12812" max="12812" width="26.81640625" style="32" bestFit="1" customWidth="1"/>
    <col min="12813" max="12813" width="19.81640625" style="32" bestFit="1" customWidth="1"/>
    <col min="12814" max="13048" width="11.453125" style="32"/>
    <col min="13049" max="13049" width="2.26953125" style="32" customWidth="1"/>
    <col min="13050" max="13050" width="49" style="32" customWidth="1"/>
    <col min="13051" max="13051" width="16.81640625" style="32" customWidth="1"/>
    <col min="13052" max="13052" width="1.1796875" style="32" customWidth="1"/>
    <col min="13053" max="13053" width="20.7265625" style="32" customWidth="1"/>
    <col min="13054" max="13054" width="17.7265625" style="32" customWidth="1"/>
    <col min="13055" max="13055" width="18.1796875" style="32" customWidth="1"/>
    <col min="13056" max="13056" width="17.1796875" style="32" customWidth="1"/>
    <col min="13057" max="13057" width="22.26953125" style="32" bestFit="1" customWidth="1"/>
    <col min="13058" max="13058" width="22.1796875" style="32" customWidth="1"/>
    <col min="13059" max="13059" width="17.81640625" style="32" customWidth="1"/>
    <col min="13060" max="13060" width="22.453125" style="32" customWidth="1"/>
    <col min="13061" max="13061" width="10.1796875" style="32" bestFit="1" customWidth="1"/>
    <col min="13062" max="13062" width="13.453125" style="32" customWidth="1"/>
    <col min="13063" max="13063" width="7.26953125" style="32" bestFit="1" customWidth="1"/>
    <col min="13064" max="13064" width="15.453125" style="32" bestFit="1" customWidth="1"/>
    <col min="13065" max="13065" width="7.26953125" style="32" bestFit="1" customWidth="1"/>
    <col min="13066" max="13066" width="19.7265625" style="32" bestFit="1" customWidth="1"/>
    <col min="13067" max="13067" width="7.26953125" style="32" bestFit="1" customWidth="1"/>
    <col min="13068" max="13068" width="26.81640625" style="32" bestFit="1" customWidth="1"/>
    <col min="13069" max="13069" width="19.81640625" style="32" bestFit="1" customWidth="1"/>
    <col min="13070" max="13304" width="11.453125" style="32"/>
    <col min="13305" max="13305" width="2.26953125" style="32" customWidth="1"/>
    <col min="13306" max="13306" width="49" style="32" customWidth="1"/>
    <col min="13307" max="13307" width="16.81640625" style="32" customWidth="1"/>
    <col min="13308" max="13308" width="1.1796875" style="32" customWidth="1"/>
    <col min="13309" max="13309" width="20.7265625" style="32" customWidth="1"/>
    <col min="13310" max="13310" width="17.7265625" style="32" customWidth="1"/>
    <col min="13311" max="13311" width="18.1796875" style="32" customWidth="1"/>
    <col min="13312" max="13312" width="17.1796875" style="32" customWidth="1"/>
    <col min="13313" max="13313" width="22.26953125" style="32" bestFit="1" customWidth="1"/>
    <col min="13314" max="13314" width="22.1796875" style="32" customWidth="1"/>
    <col min="13315" max="13315" width="17.81640625" style="32" customWidth="1"/>
    <col min="13316" max="13316" width="22.453125" style="32" customWidth="1"/>
    <col min="13317" max="13317" width="10.1796875" style="32" bestFit="1" customWidth="1"/>
    <col min="13318" max="13318" width="13.453125" style="32" customWidth="1"/>
    <col min="13319" max="13319" width="7.26953125" style="32" bestFit="1" customWidth="1"/>
    <col min="13320" max="13320" width="15.453125" style="32" bestFit="1" customWidth="1"/>
    <col min="13321" max="13321" width="7.26953125" style="32" bestFit="1" customWidth="1"/>
    <col min="13322" max="13322" width="19.7265625" style="32" bestFit="1" customWidth="1"/>
    <col min="13323" max="13323" width="7.26953125" style="32" bestFit="1" customWidth="1"/>
    <col min="13324" max="13324" width="26.81640625" style="32" bestFit="1" customWidth="1"/>
    <col min="13325" max="13325" width="19.81640625" style="32" bestFit="1" customWidth="1"/>
    <col min="13326" max="13560" width="11.453125" style="32"/>
    <col min="13561" max="13561" width="2.26953125" style="32" customWidth="1"/>
    <col min="13562" max="13562" width="49" style="32" customWidth="1"/>
    <col min="13563" max="13563" width="16.81640625" style="32" customWidth="1"/>
    <col min="13564" max="13564" width="1.1796875" style="32" customWidth="1"/>
    <col min="13565" max="13565" width="20.7265625" style="32" customWidth="1"/>
    <col min="13566" max="13566" width="17.7265625" style="32" customWidth="1"/>
    <col min="13567" max="13567" width="18.1796875" style="32" customWidth="1"/>
    <col min="13568" max="13568" width="17.1796875" style="32" customWidth="1"/>
    <col min="13569" max="13569" width="22.26953125" style="32" bestFit="1" customWidth="1"/>
    <col min="13570" max="13570" width="22.1796875" style="32" customWidth="1"/>
    <col min="13571" max="13571" width="17.81640625" style="32" customWidth="1"/>
    <col min="13572" max="13572" width="22.453125" style="32" customWidth="1"/>
    <col min="13573" max="13573" width="10.1796875" style="32" bestFit="1" customWidth="1"/>
    <col min="13574" max="13574" width="13.453125" style="32" customWidth="1"/>
    <col min="13575" max="13575" width="7.26953125" style="32" bestFit="1" customWidth="1"/>
    <col min="13576" max="13576" width="15.453125" style="32" bestFit="1" customWidth="1"/>
    <col min="13577" max="13577" width="7.26953125" style="32" bestFit="1" customWidth="1"/>
    <col min="13578" max="13578" width="19.7265625" style="32" bestFit="1" customWidth="1"/>
    <col min="13579" max="13579" width="7.26953125" style="32" bestFit="1" customWidth="1"/>
    <col min="13580" max="13580" width="26.81640625" style="32" bestFit="1" customWidth="1"/>
    <col min="13581" max="13581" width="19.81640625" style="32" bestFit="1" customWidth="1"/>
    <col min="13582" max="13816" width="11.453125" style="32"/>
    <col min="13817" max="13817" width="2.26953125" style="32" customWidth="1"/>
    <col min="13818" max="13818" width="49" style="32" customWidth="1"/>
    <col min="13819" max="13819" width="16.81640625" style="32" customWidth="1"/>
    <col min="13820" max="13820" width="1.1796875" style="32" customWidth="1"/>
    <col min="13821" max="13821" width="20.7265625" style="32" customWidth="1"/>
    <col min="13822" max="13822" width="17.7265625" style="32" customWidth="1"/>
    <col min="13823" max="13823" width="18.1796875" style="32" customWidth="1"/>
    <col min="13824" max="13824" width="17.1796875" style="32" customWidth="1"/>
    <col min="13825" max="13825" width="22.26953125" style="32" bestFit="1" customWidth="1"/>
    <col min="13826" max="13826" width="22.1796875" style="32" customWidth="1"/>
    <col min="13827" max="13827" width="17.81640625" style="32" customWidth="1"/>
    <col min="13828" max="13828" width="22.453125" style="32" customWidth="1"/>
    <col min="13829" max="13829" width="10.1796875" style="32" bestFit="1" customWidth="1"/>
    <col min="13830" max="13830" width="13.453125" style="32" customWidth="1"/>
    <col min="13831" max="13831" width="7.26953125" style="32" bestFit="1" customWidth="1"/>
    <col min="13832" max="13832" width="15.453125" style="32" bestFit="1" customWidth="1"/>
    <col min="13833" max="13833" width="7.26953125" style="32" bestFit="1" customWidth="1"/>
    <col min="13834" max="13834" width="19.7265625" style="32" bestFit="1" customWidth="1"/>
    <col min="13835" max="13835" width="7.26953125" style="32" bestFit="1" customWidth="1"/>
    <col min="13836" max="13836" width="26.81640625" style="32" bestFit="1" customWidth="1"/>
    <col min="13837" max="13837" width="19.81640625" style="32" bestFit="1" customWidth="1"/>
    <col min="13838" max="14072" width="11.453125" style="32"/>
    <col min="14073" max="14073" width="2.26953125" style="32" customWidth="1"/>
    <col min="14074" max="14074" width="49" style="32" customWidth="1"/>
    <col min="14075" max="14075" width="16.81640625" style="32" customWidth="1"/>
    <col min="14076" max="14076" width="1.1796875" style="32" customWidth="1"/>
    <col min="14077" max="14077" width="20.7265625" style="32" customWidth="1"/>
    <col min="14078" max="14078" width="17.7265625" style="32" customWidth="1"/>
    <col min="14079" max="14079" width="18.1796875" style="32" customWidth="1"/>
    <col min="14080" max="14080" width="17.1796875" style="32" customWidth="1"/>
    <col min="14081" max="14081" width="22.26953125" style="32" bestFit="1" customWidth="1"/>
    <col min="14082" max="14082" width="22.1796875" style="32" customWidth="1"/>
    <col min="14083" max="14083" width="17.81640625" style="32" customWidth="1"/>
    <col min="14084" max="14084" width="22.453125" style="32" customWidth="1"/>
    <col min="14085" max="14085" width="10.1796875" style="32" bestFit="1" customWidth="1"/>
    <col min="14086" max="14086" width="13.453125" style="32" customWidth="1"/>
    <col min="14087" max="14087" width="7.26953125" style="32" bestFit="1" customWidth="1"/>
    <col min="14088" max="14088" width="15.453125" style="32" bestFit="1" customWidth="1"/>
    <col min="14089" max="14089" width="7.26953125" style="32" bestFit="1" customWidth="1"/>
    <col min="14090" max="14090" width="19.7265625" style="32" bestFit="1" customWidth="1"/>
    <col min="14091" max="14091" width="7.26953125" style="32" bestFit="1" customWidth="1"/>
    <col min="14092" max="14092" width="26.81640625" style="32" bestFit="1" customWidth="1"/>
    <col min="14093" max="14093" width="19.81640625" style="32" bestFit="1" customWidth="1"/>
    <col min="14094" max="14328" width="11.453125" style="32"/>
    <col min="14329" max="14329" width="2.26953125" style="32" customWidth="1"/>
    <col min="14330" max="14330" width="49" style="32" customWidth="1"/>
    <col min="14331" max="14331" width="16.81640625" style="32" customWidth="1"/>
    <col min="14332" max="14332" width="1.1796875" style="32" customWidth="1"/>
    <col min="14333" max="14333" width="20.7265625" style="32" customWidth="1"/>
    <col min="14334" max="14334" width="17.7265625" style="32" customWidth="1"/>
    <col min="14335" max="14335" width="18.1796875" style="32" customWidth="1"/>
    <col min="14336" max="14336" width="17.1796875" style="32" customWidth="1"/>
    <col min="14337" max="14337" width="22.26953125" style="32" bestFit="1" customWidth="1"/>
    <col min="14338" max="14338" width="22.1796875" style="32" customWidth="1"/>
    <col min="14339" max="14339" width="17.81640625" style="32" customWidth="1"/>
    <col min="14340" max="14340" width="22.453125" style="32" customWidth="1"/>
    <col min="14341" max="14341" width="10.1796875" style="32" bestFit="1" customWidth="1"/>
    <col min="14342" max="14342" width="13.453125" style="32" customWidth="1"/>
    <col min="14343" max="14343" width="7.26953125" style="32" bestFit="1" customWidth="1"/>
    <col min="14344" max="14344" width="15.453125" style="32" bestFit="1" customWidth="1"/>
    <col min="14345" max="14345" width="7.26953125" style="32" bestFit="1" customWidth="1"/>
    <col min="14346" max="14346" width="19.7265625" style="32" bestFit="1" customWidth="1"/>
    <col min="14347" max="14347" width="7.26953125" style="32" bestFit="1" customWidth="1"/>
    <col min="14348" max="14348" width="26.81640625" style="32" bestFit="1" customWidth="1"/>
    <col min="14349" max="14349" width="19.81640625" style="32" bestFit="1" customWidth="1"/>
    <col min="14350" max="14584" width="11.453125" style="32"/>
    <col min="14585" max="14585" width="2.26953125" style="32" customWidth="1"/>
    <col min="14586" max="14586" width="49" style="32" customWidth="1"/>
    <col min="14587" max="14587" width="16.81640625" style="32" customWidth="1"/>
    <col min="14588" max="14588" width="1.1796875" style="32" customWidth="1"/>
    <col min="14589" max="14589" width="20.7265625" style="32" customWidth="1"/>
    <col min="14590" max="14590" width="17.7265625" style="32" customWidth="1"/>
    <col min="14591" max="14591" width="18.1796875" style="32" customWidth="1"/>
    <col min="14592" max="14592" width="17.1796875" style="32" customWidth="1"/>
    <col min="14593" max="14593" width="22.26953125" style="32" bestFit="1" customWidth="1"/>
    <col min="14594" max="14594" width="22.1796875" style="32" customWidth="1"/>
    <col min="14595" max="14595" width="17.81640625" style="32" customWidth="1"/>
    <col min="14596" max="14596" width="22.453125" style="32" customWidth="1"/>
    <col min="14597" max="14597" width="10.1796875" style="32" bestFit="1" customWidth="1"/>
    <col min="14598" max="14598" width="13.453125" style="32" customWidth="1"/>
    <col min="14599" max="14599" width="7.26953125" style="32" bestFit="1" customWidth="1"/>
    <col min="14600" max="14600" width="15.453125" style="32" bestFit="1" customWidth="1"/>
    <col min="14601" max="14601" width="7.26953125" style="32" bestFit="1" customWidth="1"/>
    <col min="14602" max="14602" width="19.7265625" style="32" bestFit="1" customWidth="1"/>
    <col min="14603" max="14603" width="7.26953125" style="32" bestFit="1" customWidth="1"/>
    <col min="14604" max="14604" width="26.81640625" style="32" bestFit="1" customWidth="1"/>
    <col min="14605" max="14605" width="19.81640625" style="32" bestFit="1" customWidth="1"/>
    <col min="14606" max="14840" width="11.453125" style="32"/>
    <col min="14841" max="14841" width="2.26953125" style="32" customWidth="1"/>
    <col min="14842" max="14842" width="49" style="32" customWidth="1"/>
    <col min="14843" max="14843" width="16.81640625" style="32" customWidth="1"/>
    <col min="14844" max="14844" width="1.1796875" style="32" customWidth="1"/>
    <col min="14845" max="14845" width="20.7265625" style="32" customWidth="1"/>
    <col min="14846" max="14846" width="17.7265625" style="32" customWidth="1"/>
    <col min="14847" max="14847" width="18.1796875" style="32" customWidth="1"/>
    <col min="14848" max="14848" width="17.1796875" style="32" customWidth="1"/>
    <col min="14849" max="14849" width="22.26953125" style="32" bestFit="1" customWidth="1"/>
    <col min="14850" max="14850" width="22.1796875" style="32" customWidth="1"/>
    <col min="14851" max="14851" width="17.81640625" style="32" customWidth="1"/>
    <col min="14852" max="14852" width="22.453125" style="32" customWidth="1"/>
    <col min="14853" max="14853" width="10.1796875" style="32" bestFit="1" customWidth="1"/>
    <col min="14854" max="14854" width="13.453125" style="32" customWidth="1"/>
    <col min="14855" max="14855" width="7.26953125" style="32" bestFit="1" customWidth="1"/>
    <col min="14856" max="14856" width="15.453125" style="32" bestFit="1" customWidth="1"/>
    <col min="14857" max="14857" width="7.26953125" style="32" bestFit="1" customWidth="1"/>
    <col min="14858" max="14858" width="19.7265625" style="32" bestFit="1" customWidth="1"/>
    <col min="14859" max="14859" width="7.26953125" style="32" bestFit="1" customWidth="1"/>
    <col min="14860" max="14860" width="26.81640625" style="32" bestFit="1" customWidth="1"/>
    <col min="14861" max="14861" width="19.81640625" style="32" bestFit="1" customWidth="1"/>
    <col min="14862" max="15096" width="11.453125" style="32"/>
    <col min="15097" max="15097" width="2.26953125" style="32" customWidth="1"/>
    <col min="15098" max="15098" width="49" style="32" customWidth="1"/>
    <col min="15099" max="15099" width="16.81640625" style="32" customWidth="1"/>
    <col min="15100" max="15100" width="1.1796875" style="32" customWidth="1"/>
    <col min="15101" max="15101" width="20.7265625" style="32" customWidth="1"/>
    <col min="15102" max="15102" width="17.7265625" style="32" customWidth="1"/>
    <col min="15103" max="15103" width="18.1796875" style="32" customWidth="1"/>
    <col min="15104" max="15104" width="17.1796875" style="32" customWidth="1"/>
    <col min="15105" max="15105" width="22.26953125" style="32" bestFit="1" customWidth="1"/>
    <col min="15106" max="15106" width="22.1796875" style="32" customWidth="1"/>
    <col min="15107" max="15107" width="17.81640625" style="32" customWidth="1"/>
    <col min="15108" max="15108" width="22.453125" style="32" customWidth="1"/>
    <col min="15109" max="15109" width="10.1796875" style="32" bestFit="1" customWidth="1"/>
    <col min="15110" max="15110" width="13.453125" style="32" customWidth="1"/>
    <col min="15111" max="15111" width="7.26953125" style="32" bestFit="1" customWidth="1"/>
    <col min="15112" max="15112" width="15.453125" style="32" bestFit="1" customWidth="1"/>
    <col min="15113" max="15113" width="7.26953125" style="32" bestFit="1" customWidth="1"/>
    <col min="15114" max="15114" width="19.7265625" style="32" bestFit="1" customWidth="1"/>
    <col min="15115" max="15115" width="7.26953125" style="32" bestFit="1" customWidth="1"/>
    <col min="15116" max="15116" width="26.81640625" style="32" bestFit="1" customWidth="1"/>
    <col min="15117" max="15117" width="19.81640625" style="32" bestFit="1" customWidth="1"/>
    <col min="15118" max="15352" width="11.453125" style="32"/>
    <col min="15353" max="15353" width="2.26953125" style="32" customWidth="1"/>
    <col min="15354" max="15354" width="49" style="32" customWidth="1"/>
    <col min="15355" max="15355" width="16.81640625" style="32" customWidth="1"/>
    <col min="15356" max="15356" width="1.1796875" style="32" customWidth="1"/>
    <col min="15357" max="15357" width="20.7265625" style="32" customWidth="1"/>
    <col min="15358" max="15358" width="17.7265625" style="32" customWidth="1"/>
    <col min="15359" max="15359" width="18.1796875" style="32" customWidth="1"/>
    <col min="15360" max="15360" width="17.1796875" style="32" customWidth="1"/>
    <col min="15361" max="15361" width="22.26953125" style="32" bestFit="1" customWidth="1"/>
    <col min="15362" max="15362" width="22.1796875" style="32" customWidth="1"/>
    <col min="15363" max="15363" width="17.81640625" style="32" customWidth="1"/>
    <col min="15364" max="15364" width="22.453125" style="32" customWidth="1"/>
    <col min="15365" max="15365" width="10.1796875" style="32" bestFit="1" customWidth="1"/>
    <col min="15366" max="15366" width="13.453125" style="32" customWidth="1"/>
    <col min="15367" max="15367" width="7.26953125" style="32" bestFit="1" customWidth="1"/>
    <col min="15368" max="15368" width="15.453125" style="32" bestFit="1" customWidth="1"/>
    <col min="15369" max="15369" width="7.26953125" style="32" bestFit="1" customWidth="1"/>
    <col min="15370" max="15370" width="19.7265625" style="32" bestFit="1" customWidth="1"/>
    <col min="15371" max="15371" width="7.26953125" style="32" bestFit="1" customWidth="1"/>
    <col min="15372" max="15372" width="26.81640625" style="32" bestFit="1" customWidth="1"/>
    <col min="15373" max="15373" width="19.81640625" style="32" bestFit="1" customWidth="1"/>
    <col min="15374" max="15608" width="11.453125" style="32"/>
    <col min="15609" max="15609" width="2.26953125" style="32" customWidth="1"/>
    <col min="15610" max="15610" width="49" style="32" customWidth="1"/>
    <col min="15611" max="15611" width="16.81640625" style="32" customWidth="1"/>
    <col min="15612" max="15612" width="1.1796875" style="32" customWidth="1"/>
    <col min="15613" max="15613" width="20.7265625" style="32" customWidth="1"/>
    <col min="15614" max="15614" width="17.7265625" style="32" customWidth="1"/>
    <col min="15615" max="15615" width="18.1796875" style="32" customWidth="1"/>
    <col min="15616" max="15616" width="17.1796875" style="32" customWidth="1"/>
    <col min="15617" max="15617" width="22.26953125" style="32" bestFit="1" customWidth="1"/>
    <col min="15618" max="15618" width="22.1796875" style="32" customWidth="1"/>
    <col min="15619" max="15619" width="17.81640625" style="32" customWidth="1"/>
    <col min="15620" max="15620" width="22.453125" style="32" customWidth="1"/>
    <col min="15621" max="15621" width="10.1796875" style="32" bestFit="1" customWidth="1"/>
    <col min="15622" max="15622" width="13.453125" style="32" customWidth="1"/>
    <col min="15623" max="15623" width="7.26953125" style="32" bestFit="1" customWidth="1"/>
    <col min="15624" max="15624" width="15.453125" style="32" bestFit="1" customWidth="1"/>
    <col min="15625" max="15625" width="7.26953125" style="32" bestFit="1" customWidth="1"/>
    <col min="15626" max="15626" width="19.7265625" style="32" bestFit="1" customWidth="1"/>
    <col min="15627" max="15627" width="7.26953125" style="32" bestFit="1" customWidth="1"/>
    <col min="15628" max="15628" width="26.81640625" style="32" bestFit="1" customWidth="1"/>
    <col min="15629" max="15629" width="19.81640625" style="32" bestFit="1" customWidth="1"/>
    <col min="15630" max="15864" width="11.453125" style="32"/>
    <col min="15865" max="15865" width="2.26953125" style="32" customWidth="1"/>
    <col min="15866" max="15866" width="49" style="32" customWidth="1"/>
    <col min="15867" max="15867" width="16.81640625" style="32" customWidth="1"/>
    <col min="15868" max="15868" width="1.1796875" style="32" customWidth="1"/>
    <col min="15869" max="15869" width="20.7265625" style="32" customWidth="1"/>
    <col min="15870" max="15870" width="17.7265625" style="32" customWidth="1"/>
    <col min="15871" max="15871" width="18.1796875" style="32" customWidth="1"/>
    <col min="15872" max="15872" width="17.1796875" style="32" customWidth="1"/>
    <col min="15873" max="15873" width="22.26953125" style="32" bestFit="1" customWidth="1"/>
    <col min="15874" max="15874" width="22.1796875" style="32" customWidth="1"/>
    <col min="15875" max="15875" width="17.81640625" style="32" customWidth="1"/>
    <col min="15876" max="15876" width="22.453125" style="32" customWidth="1"/>
    <col min="15877" max="15877" width="10.1796875" style="32" bestFit="1" customWidth="1"/>
    <col min="15878" max="15878" width="13.453125" style="32" customWidth="1"/>
    <col min="15879" max="15879" width="7.26953125" style="32" bestFit="1" customWidth="1"/>
    <col min="15880" max="15880" width="15.453125" style="32" bestFit="1" customWidth="1"/>
    <col min="15881" max="15881" width="7.26953125" style="32" bestFit="1" customWidth="1"/>
    <col min="15882" max="15882" width="19.7265625" style="32" bestFit="1" customWidth="1"/>
    <col min="15883" max="15883" width="7.26953125" style="32" bestFit="1" customWidth="1"/>
    <col min="15884" max="15884" width="26.81640625" style="32" bestFit="1" customWidth="1"/>
    <col min="15885" max="15885" width="19.81640625" style="32" bestFit="1" customWidth="1"/>
    <col min="15886" max="16120" width="11.453125" style="32"/>
    <col min="16121" max="16121" width="2.26953125" style="32" customWidth="1"/>
    <col min="16122" max="16122" width="49" style="32" customWidth="1"/>
    <col min="16123" max="16123" width="16.81640625" style="32" customWidth="1"/>
    <col min="16124" max="16124" width="1.1796875" style="32" customWidth="1"/>
    <col min="16125" max="16125" width="20.7265625" style="32" customWidth="1"/>
    <col min="16126" max="16126" width="17.7265625" style="32" customWidth="1"/>
    <col min="16127" max="16127" width="18.1796875" style="32" customWidth="1"/>
    <col min="16128" max="16128" width="17.1796875" style="32" customWidth="1"/>
    <col min="16129" max="16129" width="22.26953125" style="32" bestFit="1" customWidth="1"/>
    <col min="16130" max="16130" width="22.1796875" style="32" customWidth="1"/>
    <col min="16131" max="16131" width="17.81640625" style="32" customWidth="1"/>
    <col min="16132" max="16132" width="22.453125" style="32" customWidth="1"/>
    <col min="16133" max="16133" width="10.1796875" style="32" bestFit="1" customWidth="1"/>
    <col min="16134" max="16134" width="13.453125" style="32" customWidth="1"/>
    <col min="16135" max="16135" width="7.26953125" style="32" bestFit="1" customWidth="1"/>
    <col min="16136" max="16136" width="15.453125" style="32" bestFit="1" customWidth="1"/>
    <col min="16137" max="16137" width="7.26953125" style="32" bestFit="1" customWidth="1"/>
    <col min="16138" max="16138" width="19.7265625" style="32" bestFit="1" customWidth="1"/>
    <col min="16139" max="16139" width="7.26953125" style="32" bestFit="1" customWidth="1"/>
    <col min="16140" max="16140" width="26.81640625" style="32" bestFit="1" customWidth="1"/>
    <col min="16141" max="16141" width="19.81640625" style="32" bestFit="1" customWidth="1"/>
    <col min="16142" max="16384" width="11.453125" style="32"/>
  </cols>
  <sheetData>
    <row r="2" spans="3:13" ht="14.5" x14ac:dyDescent="0.25">
      <c r="F2" s="31" t="s">
        <v>108</v>
      </c>
      <c r="G2" s="33"/>
      <c r="H2" s="107"/>
    </row>
    <row r="3" spans="3:13" s="33" customFormat="1" ht="13.5" customHeight="1" x14ac:dyDescent="0.25">
      <c r="C3" s="169"/>
      <c r="D3" s="169"/>
      <c r="E3" s="169"/>
      <c r="F3" s="31" t="s">
        <v>107</v>
      </c>
      <c r="H3" s="107"/>
    </row>
    <row r="4" spans="3:13" s="33" customFormat="1" ht="14.5" x14ac:dyDescent="0.25">
      <c r="E4" s="169"/>
      <c r="F4" s="31" t="s">
        <v>87</v>
      </c>
      <c r="H4" s="107"/>
    </row>
    <row r="5" spans="3:13" s="33" customFormat="1" x14ac:dyDescent="0.25">
      <c r="E5" s="169"/>
      <c r="F5" s="169"/>
      <c r="G5" s="169"/>
    </row>
    <row r="6" spans="3:13" s="33" customFormat="1" x14ac:dyDescent="0.25">
      <c r="E6" s="169"/>
      <c r="F6" s="169"/>
      <c r="G6" s="169"/>
    </row>
    <row r="7" spans="3:13" s="33" customFormat="1" ht="13.5" customHeight="1" x14ac:dyDescent="0.25">
      <c r="G7" s="169"/>
    </row>
    <row r="8" spans="3:13" ht="15.5" x14ac:dyDescent="0.25">
      <c r="C8" s="876" t="s">
        <v>86</v>
      </c>
      <c r="D8" s="877"/>
      <c r="E8" s="877"/>
      <c r="F8" s="878"/>
      <c r="G8" s="190"/>
      <c r="I8" s="37"/>
    </row>
    <row r="9" spans="3:13" ht="16.5" x14ac:dyDescent="0.35">
      <c r="C9" s="34"/>
      <c r="D9" s="34"/>
      <c r="E9" s="35"/>
      <c r="F9" s="36"/>
      <c r="G9" s="169"/>
      <c r="H9" s="37"/>
      <c r="I9" s="37"/>
    </row>
    <row r="10" spans="3:13" ht="9.75" customHeight="1" thickBot="1" x14ac:dyDescent="0.3">
      <c r="H10" s="37"/>
      <c r="M10" s="41"/>
    </row>
    <row r="11" spans="3:13" s="44" customFormat="1" ht="14" thickTop="1" thickBot="1" x14ac:dyDescent="0.3">
      <c r="C11" s="247" t="s">
        <v>125</v>
      </c>
      <c r="F11" s="199"/>
    </row>
    <row r="12" spans="3:13" s="44" customFormat="1" ht="13.5" thickTop="1" x14ac:dyDescent="0.25">
      <c r="F12" s="200"/>
    </row>
    <row r="13" spans="3:13" ht="13.5" x14ac:dyDescent="0.25">
      <c r="C13" s="249"/>
      <c r="D13" s="47"/>
      <c r="E13" s="48"/>
      <c r="F13" s="199"/>
      <c r="G13" s="48"/>
      <c r="H13" s="49"/>
      <c r="I13" s="47"/>
    </row>
    <row r="14" spans="3:13" ht="13.5" x14ac:dyDescent="0.35">
      <c r="C14" s="250"/>
      <c r="D14" s="51"/>
      <c r="E14" s="53"/>
      <c r="F14" s="199"/>
      <c r="G14" s="54"/>
      <c r="H14" s="55"/>
      <c r="I14" s="56"/>
    </row>
    <row r="15" spans="3:13" ht="13.5" x14ac:dyDescent="0.35">
      <c r="C15" s="251"/>
      <c r="D15" s="51"/>
      <c r="E15" s="53"/>
      <c r="F15" s="199"/>
      <c r="G15" s="54"/>
      <c r="H15" s="55"/>
      <c r="I15" s="56"/>
    </row>
    <row r="16" spans="3:13" ht="13" thickBot="1" x14ac:dyDescent="0.3">
      <c r="E16" s="57"/>
      <c r="F16" s="57"/>
      <c r="G16" s="57"/>
      <c r="H16" s="57"/>
    </row>
    <row r="17" spans="3:11" s="58" customFormat="1" ht="14" thickTop="1" thickBot="1" x14ac:dyDescent="0.3">
      <c r="C17" s="248" t="s">
        <v>126</v>
      </c>
      <c r="E17" s="59"/>
      <c r="F17" s="199"/>
      <c r="G17" s="59"/>
      <c r="H17" s="60"/>
    </row>
    <row r="18" spans="3:11" s="62" customFormat="1" ht="7.5" customHeight="1" thickTop="1" x14ac:dyDescent="0.3">
      <c r="C18" s="61"/>
      <c r="E18" s="63"/>
      <c r="F18" s="63"/>
      <c r="G18" s="63"/>
      <c r="H18" s="63"/>
    </row>
    <row r="19" spans="3:11" s="68" customFormat="1" ht="13" x14ac:dyDescent="0.3">
      <c r="C19" s="249"/>
      <c r="D19" s="64"/>
      <c r="E19" s="66"/>
      <c r="F19" s="199"/>
      <c r="G19" s="67"/>
      <c r="H19" s="66"/>
    </row>
    <row r="20" spans="3:11" s="68" customFormat="1" ht="13" x14ac:dyDescent="0.3">
      <c r="C20" s="250"/>
      <c r="D20" s="64"/>
      <c r="E20" s="66"/>
      <c r="F20" s="199"/>
      <c r="G20" s="67"/>
      <c r="H20" s="66"/>
    </row>
    <row r="21" spans="3:11" s="68" customFormat="1" ht="13" x14ac:dyDescent="0.3">
      <c r="C21" s="250"/>
      <c r="D21" s="64"/>
      <c r="E21" s="66"/>
      <c r="F21" s="199"/>
      <c r="G21" s="67"/>
      <c r="H21" s="66"/>
    </row>
    <row r="22" spans="3:11" s="68" customFormat="1" ht="13" x14ac:dyDescent="0.3">
      <c r="C22" s="251"/>
      <c r="D22" s="64"/>
      <c r="E22" s="66"/>
      <c r="F22" s="199"/>
      <c r="G22" s="67"/>
      <c r="H22" s="66"/>
    </row>
    <row r="23" spans="3:11" s="62" customFormat="1" ht="15" thickBot="1" x14ac:dyDescent="0.4">
      <c r="D23" s="72"/>
      <c r="E23" s="74"/>
      <c r="F23" s="73"/>
      <c r="G23" s="75"/>
      <c r="H23" s="73"/>
      <c r="K23" s="68"/>
    </row>
    <row r="24" spans="3:11" s="58" customFormat="1" ht="15.5" thickTop="1" thickBot="1" x14ac:dyDescent="0.3">
      <c r="C24" s="248"/>
      <c r="E24" s="76"/>
      <c r="F24" s="199"/>
      <c r="G24" s="76"/>
      <c r="H24" s="77"/>
      <c r="K24" s="68"/>
    </row>
    <row r="25" spans="3:11" s="62" customFormat="1" ht="6.75" customHeight="1" thickTop="1" x14ac:dyDescent="0.35">
      <c r="C25" s="78"/>
      <c r="E25" s="74"/>
      <c r="F25" s="74"/>
      <c r="G25" s="75"/>
      <c r="H25" s="73"/>
      <c r="K25" s="68"/>
    </row>
    <row r="26" spans="3:11" s="62" customFormat="1" ht="14.5" x14ac:dyDescent="0.35">
      <c r="C26" s="252"/>
      <c r="E26" s="79"/>
      <c r="F26" s="199"/>
      <c r="G26" s="67"/>
      <c r="H26" s="79"/>
      <c r="K26" s="68"/>
    </row>
    <row r="27" spans="3:11" s="62" customFormat="1" ht="7.5" customHeight="1" thickBot="1" x14ac:dyDescent="0.4">
      <c r="C27" s="80"/>
      <c r="E27" s="79"/>
      <c r="F27" s="79"/>
      <c r="G27" s="67"/>
      <c r="H27" s="79"/>
      <c r="K27" s="68"/>
    </row>
    <row r="28" spans="3:11" s="62" customFormat="1" ht="15.5" thickTop="1" thickBot="1" x14ac:dyDescent="0.4">
      <c r="C28" s="247" t="s">
        <v>127</v>
      </c>
      <c r="E28" s="79"/>
      <c r="F28" s="199"/>
      <c r="G28" s="67"/>
      <c r="H28" s="79"/>
      <c r="K28" s="68"/>
    </row>
    <row r="29" spans="3:11" s="62" customFormat="1" ht="3.75" customHeight="1" thickTop="1" x14ac:dyDescent="0.35">
      <c r="C29" s="80"/>
      <c r="E29" s="79"/>
      <c r="F29" s="79"/>
      <c r="G29" s="67"/>
      <c r="H29" s="79"/>
      <c r="K29" s="68"/>
    </row>
    <row r="30" spans="3:11" s="62" customFormat="1" ht="14.5" x14ac:dyDescent="0.35">
      <c r="C30" s="249"/>
      <c r="E30" s="79"/>
      <c r="F30" s="199"/>
      <c r="G30" s="67"/>
      <c r="H30" s="79"/>
      <c r="K30" s="68"/>
    </row>
    <row r="31" spans="3:11" s="62" customFormat="1" ht="14.5" x14ac:dyDescent="0.35">
      <c r="C31" s="253"/>
      <c r="E31" s="79"/>
      <c r="F31" s="199"/>
      <c r="G31" s="67"/>
      <c r="H31" s="79"/>
      <c r="K31" s="68"/>
    </row>
    <row r="32" spans="3:11" s="62" customFormat="1" ht="15" thickBot="1" x14ac:dyDescent="0.4">
      <c r="C32" s="81"/>
      <c r="D32" s="72"/>
      <c r="E32" s="79"/>
      <c r="F32" s="79"/>
      <c r="G32" s="67"/>
      <c r="H32" s="79"/>
      <c r="K32" s="68"/>
    </row>
    <row r="33" spans="1:14" s="58" customFormat="1" ht="14" thickTop="1" thickBot="1" x14ac:dyDescent="0.3">
      <c r="C33" s="247" t="s">
        <v>128</v>
      </c>
      <c r="E33" s="82"/>
      <c r="F33" s="199"/>
      <c r="G33" s="76"/>
      <c r="H33" s="82"/>
      <c r="I33" s="83"/>
      <c r="K33" s="68"/>
    </row>
    <row r="34" spans="1:14" s="62" customFormat="1" ht="15" thickTop="1" x14ac:dyDescent="0.35">
      <c r="E34" s="73"/>
      <c r="F34" s="73"/>
      <c r="G34" s="73"/>
      <c r="H34" s="73"/>
      <c r="I34" s="84"/>
      <c r="K34" s="68"/>
    </row>
    <row r="35" spans="1:14" s="62" customFormat="1" ht="14.5" x14ac:dyDescent="0.35">
      <c r="C35" s="249"/>
      <c r="E35" s="85"/>
      <c r="F35" s="199"/>
      <c r="G35" s="87"/>
      <c r="H35" s="79"/>
      <c r="I35" s="88"/>
      <c r="K35" s="68"/>
    </row>
    <row r="36" spans="1:14" s="62" customFormat="1" ht="14.5" x14ac:dyDescent="0.35">
      <c r="C36" s="250"/>
      <c r="D36" s="85"/>
      <c r="E36" s="85"/>
      <c r="F36" s="199"/>
      <c r="G36" s="87"/>
      <c r="H36" s="79"/>
      <c r="I36" s="85"/>
      <c r="K36" s="68"/>
    </row>
    <row r="37" spans="1:14" s="62" customFormat="1" ht="14.5" x14ac:dyDescent="0.35">
      <c r="C37" s="251"/>
      <c r="F37" s="199"/>
      <c r="H37" s="79"/>
    </row>
    <row r="38" spans="1:14" s="62" customFormat="1" ht="7.5" customHeight="1" thickBot="1" x14ac:dyDescent="0.3">
      <c r="C38" s="81"/>
      <c r="H38" s="90"/>
      <c r="J38" s="38"/>
      <c r="K38" s="91"/>
      <c r="L38" s="92"/>
    </row>
    <row r="39" spans="1:14" s="62" customFormat="1" ht="15.75" customHeight="1" thickTop="1" thickBot="1" x14ac:dyDescent="0.35">
      <c r="C39" s="247" t="s">
        <v>129</v>
      </c>
      <c r="D39" s="58"/>
      <c r="E39" s="82"/>
      <c r="F39" s="213"/>
      <c r="H39" s="90"/>
      <c r="J39" s="38"/>
      <c r="K39" s="91"/>
      <c r="L39" s="92"/>
    </row>
    <row r="40" spans="1:14" s="62" customFormat="1" ht="7.5" customHeight="1" thickTop="1" x14ac:dyDescent="0.35">
      <c r="E40" s="73"/>
      <c r="F40" s="73"/>
      <c r="H40" s="90"/>
      <c r="J40" s="38"/>
      <c r="K40" s="91"/>
      <c r="L40" s="92"/>
    </row>
    <row r="41" spans="1:14" s="62" customFormat="1" ht="15" customHeight="1" x14ac:dyDescent="0.3">
      <c r="C41" s="252"/>
      <c r="E41" s="85"/>
      <c r="F41" s="213"/>
      <c r="H41" s="90"/>
      <c r="J41" s="38"/>
      <c r="K41" s="91"/>
      <c r="L41" s="92"/>
    </row>
    <row r="42" spans="1:14" s="62" customFormat="1" ht="7.5" customHeight="1" thickBot="1" x14ac:dyDescent="0.3">
      <c r="A42" s="38"/>
      <c r="B42" s="38"/>
      <c r="C42" s="38"/>
      <c r="D42" s="38"/>
      <c r="E42" s="38"/>
      <c r="F42" s="38"/>
      <c r="G42" s="38"/>
      <c r="H42" s="38"/>
      <c r="I42" s="38"/>
      <c r="J42" s="38"/>
      <c r="K42" s="91"/>
      <c r="L42" s="92"/>
    </row>
    <row r="43" spans="1:14" s="62" customFormat="1" ht="14" thickTop="1" thickBot="1" x14ac:dyDescent="0.3">
      <c r="C43" s="247" t="s">
        <v>99</v>
      </c>
      <c r="D43" s="58"/>
      <c r="E43" s="82"/>
      <c r="F43" s="199"/>
      <c r="J43" s="97"/>
      <c r="K43" s="98"/>
      <c r="L43" s="99"/>
      <c r="M43" s="100"/>
      <c r="N43" s="101"/>
    </row>
    <row r="44" spans="1:14" s="62" customFormat="1" ht="6.75" customHeight="1" thickTop="1" x14ac:dyDescent="0.35">
      <c r="E44" s="73"/>
      <c r="F44" s="73"/>
      <c r="J44" s="97"/>
      <c r="K44" s="97"/>
      <c r="L44" s="100"/>
      <c r="M44" s="100"/>
      <c r="N44" s="101"/>
    </row>
    <row r="45" spans="1:14" s="62" customFormat="1" ht="13" x14ac:dyDescent="0.25">
      <c r="C45" s="252"/>
      <c r="E45" s="85"/>
      <c r="F45" s="199"/>
      <c r="J45" s="97"/>
      <c r="K45" s="102"/>
      <c r="L45" s="102"/>
      <c r="M45" s="99"/>
    </row>
    <row r="46" spans="1:14" s="62" customFormat="1" x14ac:dyDescent="0.25">
      <c r="C46" s="32"/>
      <c r="E46" s="103"/>
      <c r="F46" s="103"/>
      <c r="J46" s="97"/>
      <c r="K46" s="102"/>
      <c r="L46" s="102"/>
      <c r="M46" s="99"/>
      <c r="N46" s="101"/>
    </row>
    <row r="47" spans="1:14" s="62" customFormat="1" ht="15.5" x14ac:dyDescent="0.25">
      <c r="F47" s="36"/>
      <c r="J47" s="97"/>
      <c r="K47" s="102"/>
      <c r="L47" s="102"/>
      <c r="M47" s="99"/>
      <c r="N47" s="101"/>
    </row>
    <row r="48" spans="1:14" s="62" customFormat="1" ht="15.5" x14ac:dyDescent="0.25">
      <c r="C48" s="879"/>
      <c r="D48" s="879"/>
      <c r="F48" s="36"/>
      <c r="J48" s="97"/>
      <c r="K48" s="102"/>
      <c r="L48" s="102"/>
      <c r="M48" s="99"/>
      <c r="N48" s="101"/>
    </row>
    <row r="49" spans="6:14" s="62" customFormat="1" ht="15.5" x14ac:dyDescent="0.25">
      <c r="F49" s="36"/>
      <c r="G49" s="32"/>
      <c r="H49" s="32"/>
      <c r="J49" s="97"/>
      <c r="K49" s="102"/>
      <c r="L49" s="102"/>
      <c r="M49" s="99"/>
      <c r="N49" s="101"/>
    </row>
    <row r="50" spans="6:14" s="62" customFormat="1" ht="15.5" x14ac:dyDescent="0.25">
      <c r="F50" s="36"/>
      <c r="G50" s="104"/>
      <c r="H50" s="104"/>
      <c r="I50" s="32"/>
      <c r="J50" s="97"/>
      <c r="K50" s="102"/>
      <c r="L50" s="102"/>
      <c r="M50" s="99"/>
      <c r="N50" s="101"/>
    </row>
    <row r="51" spans="6:14" ht="15.5" x14ac:dyDescent="0.25">
      <c r="F51" s="36"/>
      <c r="G51" s="104"/>
      <c r="H51" s="104"/>
      <c r="J51" s="97"/>
      <c r="K51" s="102"/>
      <c r="L51" s="102"/>
      <c r="M51" s="99"/>
      <c r="N51" s="106"/>
    </row>
    <row r="52" spans="6:14" ht="15.5" x14ac:dyDescent="0.25">
      <c r="F52" s="36"/>
      <c r="G52" s="104"/>
      <c r="H52" s="104"/>
      <c r="J52" s="97"/>
      <c r="K52" s="102"/>
      <c r="L52" s="102"/>
      <c r="M52" s="99"/>
      <c r="N52" s="106"/>
    </row>
    <row r="53" spans="6:14" ht="15.5" x14ac:dyDescent="0.25">
      <c r="F53" s="36"/>
      <c r="J53" s="97"/>
      <c r="K53" s="102"/>
      <c r="L53" s="102"/>
      <c r="M53" s="99"/>
      <c r="N53" s="106"/>
    </row>
    <row r="54" spans="6:14" ht="15.5" x14ac:dyDescent="0.25">
      <c r="F54" s="36"/>
      <c r="J54" s="97"/>
      <c r="K54" s="102"/>
      <c r="L54" s="102"/>
      <c r="M54" s="99"/>
      <c r="N54" s="106"/>
    </row>
    <row r="55" spans="6:14" ht="15.5" x14ac:dyDescent="0.25">
      <c r="F55" s="36"/>
      <c r="J55" s="97"/>
      <c r="K55" s="102"/>
      <c r="L55" s="102"/>
      <c r="M55" s="99"/>
      <c r="N55" s="106"/>
    </row>
    <row r="56" spans="6:14" x14ac:dyDescent="0.25">
      <c r="F56" s="105"/>
      <c r="J56" s="97"/>
      <c r="K56" s="102"/>
      <c r="L56" s="102"/>
      <c r="M56" s="99"/>
      <c r="N56" s="106"/>
    </row>
    <row r="57" spans="6:14" x14ac:dyDescent="0.25">
      <c r="F57" s="105"/>
      <c r="J57" s="97"/>
      <c r="K57" s="102"/>
      <c r="L57" s="102"/>
      <c r="M57" s="99"/>
      <c r="N57" s="106"/>
    </row>
    <row r="58" spans="6:14" x14ac:dyDescent="0.25">
      <c r="J58" s="97"/>
      <c r="K58" s="102"/>
      <c r="L58" s="102"/>
      <c r="M58" s="99"/>
      <c r="N58" s="106"/>
    </row>
    <row r="59" spans="6:14" x14ac:dyDescent="0.25">
      <c r="J59" s="97"/>
      <c r="K59" s="102"/>
      <c r="L59" s="102"/>
      <c r="M59" s="99"/>
      <c r="N59" s="106"/>
    </row>
    <row r="60" spans="6:14" x14ac:dyDescent="0.25">
      <c r="J60" s="97"/>
      <c r="K60" s="102"/>
      <c r="L60" s="102"/>
      <c r="M60" s="99"/>
      <c r="N60" s="106"/>
    </row>
    <row r="61" spans="6:14" x14ac:dyDescent="0.25">
      <c r="J61" s="97"/>
      <c r="K61" s="102"/>
      <c r="L61" s="102"/>
      <c r="M61" s="99"/>
      <c r="N61" s="106"/>
    </row>
    <row r="62" spans="6:14" x14ac:dyDescent="0.25">
      <c r="J62" s="97"/>
      <c r="K62" s="102"/>
      <c r="L62" s="102"/>
      <c r="M62" s="99"/>
      <c r="N62" s="106"/>
    </row>
    <row r="63" spans="6:14" x14ac:dyDescent="0.25">
      <c r="J63" s="97"/>
      <c r="K63" s="102"/>
      <c r="L63" s="102"/>
      <c r="M63" s="99"/>
      <c r="N63" s="106"/>
    </row>
    <row r="64" spans="6:14" x14ac:dyDescent="0.25">
      <c r="J64" s="97"/>
      <c r="K64" s="102"/>
      <c r="L64" s="102"/>
      <c r="M64" s="99"/>
      <c r="N64" s="106"/>
    </row>
    <row r="65" spans="10:14" x14ac:dyDescent="0.25">
      <c r="J65" s="97"/>
      <c r="K65" s="102"/>
      <c r="L65" s="102"/>
      <c r="M65" s="99"/>
      <c r="N65" s="106"/>
    </row>
    <row r="66" spans="10:14" x14ac:dyDescent="0.25">
      <c r="J66" s="97"/>
      <c r="K66" s="102"/>
      <c r="L66" s="102"/>
      <c r="M66" s="99"/>
      <c r="N66" s="106"/>
    </row>
    <row r="67" spans="10:14" x14ac:dyDescent="0.25">
      <c r="J67" s="97"/>
      <c r="K67" s="102"/>
      <c r="L67" s="102"/>
      <c r="M67" s="99"/>
      <c r="N67" s="106"/>
    </row>
    <row r="68" spans="10:14" x14ac:dyDescent="0.25">
      <c r="J68" s="97"/>
      <c r="K68" s="102"/>
      <c r="L68" s="102"/>
      <c r="M68" s="99"/>
      <c r="N68" s="106"/>
    </row>
    <row r="69" spans="10:14" x14ac:dyDescent="0.25">
      <c r="J69" s="97"/>
      <c r="K69" s="102"/>
      <c r="L69" s="102"/>
      <c r="M69" s="99"/>
      <c r="N69" s="106"/>
    </row>
    <row r="70" spans="10:14" x14ac:dyDescent="0.25">
      <c r="J70" s="97"/>
      <c r="K70" s="102"/>
      <c r="L70" s="102"/>
      <c r="M70" s="99"/>
      <c r="N70" s="106"/>
    </row>
    <row r="71" spans="10:14" x14ac:dyDescent="0.25">
      <c r="J71" s="97"/>
      <c r="K71" s="102"/>
      <c r="L71" s="102"/>
      <c r="M71" s="99"/>
      <c r="N71" s="106"/>
    </row>
    <row r="72" spans="10:14" x14ac:dyDescent="0.25">
      <c r="J72" s="97"/>
      <c r="K72" s="102"/>
      <c r="L72" s="102"/>
      <c r="M72" s="99"/>
      <c r="N72" s="106"/>
    </row>
    <row r="73" spans="10:14" x14ac:dyDescent="0.25">
      <c r="J73" s="97"/>
      <c r="K73" s="102"/>
      <c r="L73" s="102"/>
      <c r="M73" s="99"/>
      <c r="N73" s="106"/>
    </row>
    <row r="74" spans="10:14" x14ac:dyDescent="0.25">
      <c r="J74" s="97"/>
      <c r="K74" s="102"/>
      <c r="L74" s="102"/>
      <c r="M74" s="99"/>
      <c r="N74" s="106"/>
    </row>
    <row r="75" spans="10:14" x14ac:dyDescent="0.25">
      <c r="J75" s="97"/>
      <c r="K75" s="102"/>
      <c r="L75" s="102"/>
      <c r="M75" s="99"/>
      <c r="N75" s="106"/>
    </row>
    <row r="76" spans="10:14" x14ac:dyDescent="0.25">
      <c r="J76" s="97"/>
      <c r="K76" s="102"/>
      <c r="L76" s="102"/>
      <c r="M76" s="99"/>
      <c r="N76" s="106"/>
    </row>
    <row r="77" spans="10:14" x14ac:dyDescent="0.25">
      <c r="J77" s="97"/>
      <c r="K77" s="102"/>
      <c r="L77" s="102"/>
      <c r="M77" s="99"/>
      <c r="N77" s="106"/>
    </row>
    <row r="78" spans="10:14" x14ac:dyDescent="0.25">
      <c r="J78" s="97"/>
      <c r="K78" s="102"/>
      <c r="L78" s="102"/>
      <c r="M78" s="99"/>
      <c r="N78" s="106"/>
    </row>
    <row r="79" spans="10:14" x14ac:dyDescent="0.25">
      <c r="J79" s="97"/>
      <c r="K79" s="102"/>
      <c r="L79" s="102"/>
      <c r="M79" s="99"/>
      <c r="N79" s="106"/>
    </row>
  </sheetData>
  <mergeCells count="2">
    <mergeCell ref="C8:F8"/>
    <mergeCell ref="C48:D48"/>
  </mergeCells>
  <conditionalFormatting sqref="F11 F13:F15 F19:F22 F45">
    <cfRule type="cellIs" dxfId="69" priority="39" operator="equal">
      <formula>"KO"</formula>
    </cfRule>
    <cfRule type="cellIs" dxfId="68" priority="40" operator="equal">
      <formula>"OK"</formula>
    </cfRule>
  </conditionalFormatting>
  <conditionalFormatting sqref="F17">
    <cfRule type="cellIs" dxfId="67" priority="33" operator="equal">
      <formula>"KO"</formula>
    </cfRule>
    <cfRule type="cellIs" dxfId="66" priority="34" operator="equal">
      <formula>"OK"</formula>
    </cfRule>
  </conditionalFormatting>
  <conditionalFormatting sqref="F24">
    <cfRule type="cellIs" dxfId="65" priority="31" operator="equal">
      <formula>"KO"</formula>
    </cfRule>
    <cfRule type="cellIs" dxfId="64" priority="32" operator="equal">
      <formula>"OK"</formula>
    </cfRule>
  </conditionalFormatting>
  <conditionalFormatting sqref="F26">
    <cfRule type="cellIs" dxfId="63" priority="29" operator="equal">
      <formula>"KO"</formula>
    </cfRule>
    <cfRule type="cellIs" dxfId="62" priority="30" operator="equal">
      <formula>"OK"</formula>
    </cfRule>
  </conditionalFormatting>
  <conditionalFormatting sqref="F28">
    <cfRule type="cellIs" dxfId="61" priority="19" operator="equal">
      <formula>"KO"</formula>
    </cfRule>
    <cfRule type="cellIs" dxfId="60" priority="20" operator="equal">
      <formula>"OK"</formula>
    </cfRule>
  </conditionalFormatting>
  <conditionalFormatting sqref="F30:F31">
    <cfRule type="cellIs" dxfId="59" priority="17" operator="equal">
      <formula>"KO"</formula>
    </cfRule>
    <cfRule type="cellIs" dxfId="58" priority="18" operator="equal">
      <formula>"OK"</formula>
    </cfRule>
  </conditionalFormatting>
  <conditionalFormatting sqref="F33">
    <cfRule type="cellIs" dxfId="57" priority="21" operator="equal">
      <formula>"KO"</formula>
    </cfRule>
    <cfRule type="cellIs" dxfId="56" priority="22" operator="equal">
      <formula>"OK"</formula>
    </cfRule>
  </conditionalFormatting>
  <conditionalFormatting sqref="F35:F37">
    <cfRule type="cellIs" dxfId="55" priority="23" operator="equal">
      <formula>"KO"</formula>
    </cfRule>
    <cfRule type="cellIs" dxfId="54" priority="24" operator="equal">
      <formula>"OK"</formula>
    </cfRule>
  </conditionalFormatting>
  <conditionalFormatting sqref="F39">
    <cfRule type="cellIs" dxfId="53" priority="5" operator="equal">
      <formula>"Yes"</formula>
    </cfRule>
    <cfRule type="cellIs" dxfId="52" priority="6" operator="equal">
      <formula>"No"</formula>
    </cfRule>
  </conditionalFormatting>
  <conditionalFormatting sqref="F41">
    <cfRule type="cellIs" dxfId="51" priority="3" operator="equal">
      <formula>"Yes"</formula>
    </cfRule>
    <cfRule type="cellIs" dxfId="50" priority="4" operator="equal">
      <formula>"No"</formula>
    </cfRule>
  </conditionalFormatting>
  <conditionalFormatting sqref="F43">
    <cfRule type="cellIs" dxfId="49" priority="1" operator="equal">
      <formula>"KO"</formula>
    </cfRule>
    <cfRule type="cellIs" dxfId="48"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zoomScale="85" zoomScaleNormal="85" workbookViewId="0">
      <selection activeCell="K24" sqref="K24"/>
    </sheetView>
  </sheetViews>
  <sheetFormatPr defaultColWidth="11.453125" defaultRowHeight="12.5" x14ac:dyDescent="0.25"/>
  <cols>
    <col min="1" max="1" width="3.54296875" style="32" customWidth="1"/>
    <col min="2" max="2" width="2.26953125" style="32" customWidth="1"/>
    <col min="3" max="3" width="99.81640625" style="32" bestFit="1" customWidth="1"/>
    <col min="4" max="4" width="30.453125" style="32" customWidth="1"/>
    <col min="5" max="5" width="1.26953125" style="32" customWidth="1"/>
    <col min="6" max="6" width="29.26953125" style="32" customWidth="1"/>
    <col min="7" max="7" width="1.1796875" style="32" customWidth="1"/>
    <col min="8" max="8" width="4.54296875" style="32" customWidth="1"/>
    <col min="9" max="9" width="12.453125" style="32" bestFit="1" customWidth="1"/>
    <col min="10" max="10" width="13.453125" style="32" customWidth="1"/>
    <col min="11" max="11" width="7.26953125" style="32" bestFit="1" customWidth="1"/>
    <col min="12" max="12" width="19.81640625" style="32" bestFit="1" customWidth="1"/>
    <col min="13" max="247" width="11.453125" style="32"/>
    <col min="248" max="248" width="2.26953125" style="32" customWidth="1"/>
    <col min="249" max="249" width="49" style="32" customWidth="1"/>
    <col min="250" max="250" width="16.81640625" style="32" customWidth="1"/>
    <col min="251" max="251" width="1.1796875" style="32" customWidth="1"/>
    <col min="252" max="252" width="20.7265625" style="32" customWidth="1"/>
    <col min="253" max="253" width="17.7265625" style="32" customWidth="1"/>
    <col min="254" max="254" width="18.1796875" style="32" customWidth="1"/>
    <col min="255" max="255" width="17.1796875" style="32" customWidth="1"/>
    <col min="256" max="256" width="22.26953125" style="32" bestFit="1" customWidth="1"/>
    <col min="257" max="257" width="22.1796875" style="32" customWidth="1"/>
    <col min="258" max="258" width="17.81640625" style="32" customWidth="1"/>
    <col min="259" max="259" width="22.453125" style="32" customWidth="1"/>
    <col min="260" max="260" width="10.1796875" style="32" bestFit="1" customWidth="1"/>
    <col min="261" max="261" width="13.453125" style="32" customWidth="1"/>
    <col min="262" max="262" width="7.26953125" style="32" bestFit="1" customWidth="1"/>
    <col min="263" max="263" width="15.453125" style="32" bestFit="1" customWidth="1"/>
    <col min="264" max="264" width="7.26953125" style="32" bestFit="1" customWidth="1"/>
    <col min="265" max="265" width="19.7265625" style="32" bestFit="1" customWidth="1"/>
    <col min="266" max="266" width="7.26953125" style="32" bestFit="1" customWidth="1"/>
    <col min="267" max="267" width="26.81640625" style="32" bestFit="1" customWidth="1"/>
    <col min="268" max="268" width="19.81640625" style="32" bestFit="1" customWidth="1"/>
    <col min="269" max="503" width="11.453125" style="32"/>
    <col min="504" max="504" width="2.26953125" style="32" customWidth="1"/>
    <col min="505" max="505" width="49" style="32" customWidth="1"/>
    <col min="506" max="506" width="16.81640625" style="32" customWidth="1"/>
    <col min="507" max="507" width="1.1796875" style="32" customWidth="1"/>
    <col min="508" max="508" width="20.7265625" style="32" customWidth="1"/>
    <col min="509" max="509" width="17.7265625" style="32" customWidth="1"/>
    <col min="510" max="510" width="18.1796875" style="32" customWidth="1"/>
    <col min="511" max="511" width="17.1796875" style="32" customWidth="1"/>
    <col min="512" max="512" width="22.26953125" style="32" bestFit="1" customWidth="1"/>
    <col min="513" max="513" width="22.1796875" style="32" customWidth="1"/>
    <col min="514" max="514" width="17.81640625" style="32" customWidth="1"/>
    <col min="515" max="515" width="22.453125" style="32" customWidth="1"/>
    <col min="516" max="516" width="10.1796875" style="32" bestFit="1" customWidth="1"/>
    <col min="517" max="517" width="13.453125" style="32" customWidth="1"/>
    <col min="518" max="518" width="7.26953125" style="32" bestFit="1" customWidth="1"/>
    <col min="519" max="519" width="15.453125" style="32" bestFit="1" customWidth="1"/>
    <col min="520" max="520" width="7.26953125" style="32" bestFit="1" customWidth="1"/>
    <col min="521" max="521" width="19.7265625" style="32" bestFit="1" customWidth="1"/>
    <col min="522" max="522" width="7.26953125" style="32" bestFit="1" customWidth="1"/>
    <col min="523" max="523" width="26.81640625" style="32" bestFit="1" customWidth="1"/>
    <col min="524" max="524" width="19.81640625" style="32" bestFit="1" customWidth="1"/>
    <col min="525" max="759" width="11.453125" style="32"/>
    <col min="760" max="760" width="2.26953125" style="32" customWidth="1"/>
    <col min="761" max="761" width="49" style="32" customWidth="1"/>
    <col min="762" max="762" width="16.81640625" style="32" customWidth="1"/>
    <col min="763" max="763" width="1.1796875" style="32" customWidth="1"/>
    <col min="764" max="764" width="20.7265625" style="32" customWidth="1"/>
    <col min="765" max="765" width="17.7265625" style="32" customWidth="1"/>
    <col min="766" max="766" width="18.1796875" style="32" customWidth="1"/>
    <col min="767" max="767" width="17.1796875" style="32" customWidth="1"/>
    <col min="768" max="768" width="22.26953125" style="32" bestFit="1" customWidth="1"/>
    <col min="769" max="769" width="22.1796875" style="32" customWidth="1"/>
    <col min="770" max="770" width="17.81640625" style="32" customWidth="1"/>
    <col min="771" max="771" width="22.453125" style="32" customWidth="1"/>
    <col min="772" max="772" width="10.1796875" style="32" bestFit="1" customWidth="1"/>
    <col min="773" max="773" width="13.453125" style="32" customWidth="1"/>
    <col min="774" max="774" width="7.26953125" style="32" bestFit="1" customWidth="1"/>
    <col min="775" max="775" width="15.453125" style="32" bestFit="1" customWidth="1"/>
    <col min="776" max="776" width="7.26953125" style="32" bestFit="1" customWidth="1"/>
    <col min="777" max="777" width="19.7265625" style="32" bestFit="1" customWidth="1"/>
    <col min="778" max="778" width="7.26953125" style="32" bestFit="1" customWidth="1"/>
    <col min="779" max="779" width="26.81640625" style="32" bestFit="1" customWidth="1"/>
    <col min="780" max="780" width="19.81640625" style="32" bestFit="1" customWidth="1"/>
    <col min="781" max="1015" width="11.453125" style="32"/>
    <col min="1016" max="1016" width="2.26953125" style="32" customWidth="1"/>
    <col min="1017" max="1017" width="49" style="32" customWidth="1"/>
    <col min="1018" max="1018" width="16.81640625" style="32" customWidth="1"/>
    <col min="1019" max="1019" width="1.1796875" style="32" customWidth="1"/>
    <col min="1020" max="1020" width="20.7265625" style="32" customWidth="1"/>
    <col min="1021" max="1021" width="17.7265625" style="32" customWidth="1"/>
    <col min="1022" max="1022" width="18.1796875" style="32" customWidth="1"/>
    <col min="1023" max="1023" width="17.1796875" style="32" customWidth="1"/>
    <col min="1024" max="1024" width="22.26953125" style="32" bestFit="1" customWidth="1"/>
    <col min="1025" max="1025" width="22.1796875" style="32" customWidth="1"/>
    <col min="1026" max="1026" width="17.81640625" style="32" customWidth="1"/>
    <col min="1027" max="1027" width="22.453125" style="32" customWidth="1"/>
    <col min="1028" max="1028" width="10.1796875" style="32" bestFit="1" customWidth="1"/>
    <col min="1029" max="1029" width="13.453125" style="32" customWidth="1"/>
    <col min="1030" max="1030" width="7.26953125" style="32" bestFit="1" customWidth="1"/>
    <col min="1031" max="1031" width="15.453125" style="32" bestFit="1" customWidth="1"/>
    <col min="1032" max="1032" width="7.26953125" style="32" bestFit="1" customWidth="1"/>
    <col min="1033" max="1033" width="19.7265625" style="32" bestFit="1" customWidth="1"/>
    <col min="1034" max="1034" width="7.26953125" style="32" bestFit="1" customWidth="1"/>
    <col min="1035" max="1035" width="26.81640625" style="32" bestFit="1" customWidth="1"/>
    <col min="1036" max="1036" width="19.81640625" style="32" bestFit="1" customWidth="1"/>
    <col min="1037" max="1271" width="11.453125" style="32"/>
    <col min="1272" max="1272" width="2.26953125" style="32" customWidth="1"/>
    <col min="1273" max="1273" width="49" style="32" customWidth="1"/>
    <col min="1274" max="1274" width="16.81640625" style="32" customWidth="1"/>
    <col min="1275" max="1275" width="1.1796875" style="32" customWidth="1"/>
    <col min="1276" max="1276" width="20.7265625" style="32" customWidth="1"/>
    <col min="1277" max="1277" width="17.7265625" style="32" customWidth="1"/>
    <col min="1278" max="1278" width="18.1796875" style="32" customWidth="1"/>
    <col min="1279" max="1279" width="17.1796875" style="32" customWidth="1"/>
    <col min="1280" max="1280" width="22.26953125" style="32" bestFit="1" customWidth="1"/>
    <col min="1281" max="1281" width="22.1796875" style="32" customWidth="1"/>
    <col min="1282" max="1282" width="17.81640625" style="32" customWidth="1"/>
    <col min="1283" max="1283" width="22.453125" style="32" customWidth="1"/>
    <col min="1284" max="1284" width="10.1796875" style="32" bestFit="1" customWidth="1"/>
    <col min="1285" max="1285" width="13.453125" style="32" customWidth="1"/>
    <col min="1286" max="1286" width="7.26953125" style="32" bestFit="1" customWidth="1"/>
    <col min="1287" max="1287" width="15.453125" style="32" bestFit="1" customWidth="1"/>
    <col min="1288" max="1288" width="7.26953125" style="32" bestFit="1" customWidth="1"/>
    <col min="1289" max="1289" width="19.7265625" style="32" bestFit="1" customWidth="1"/>
    <col min="1290" max="1290" width="7.26953125" style="32" bestFit="1" customWidth="1"/>
    <col min="1291" max="1291" width="26.81640625" style="32" bestFit="1" customWidth="1"/>
    <col min="1292" max="1292" width="19.81640625" style="32" bestFit="1" customWidth="1"/>
    <col min="1293" max="1527" width="11.453125" style="32"/>
    <col min="1528" max="1528" width="2.26953125" style="32" customWidth="1"/>
    <col min="1529" max="1529" width="49" style="32" customWidth="1"/>
    <col min="1530" max="1530" width="16.81640625" style="32" customWidth="1"/>
    <col min="1531" max="1531" width="1.1796875" style="32" customWidth="1"/>
    <col min="1532" max="1532" width="20.7265625" style="32" customWidth="1"/>
    <col min="1533" max="1533" width="17.7265625" style="32" customWidth="1"/>
    <col min="1534" max="1534" width="18.1796875" style="32" customWidth="1"/>
    <col min="1535" max="1535" width="17.1796875" style="32" customWidth="1"/>
    <col min="1536" max="1536" width="22.26953125" style="32" bestFit="1" customWidth="1"/>
    <col min="1537" max="1537" width="22.1796875" style="32" customWidth="1"/>
    <col min="1538" max="1538" width="17.81640625" style="32" customWidth="1"/>
    <col min="1539" max="1539" width="22.453125" style="32" customWidth="1"/>
    <col min="1540" max="1540" width="10.1796875" style="32" bestFit="1" customWidth="1"/>
    <col min="1541" max="1541" width="13.453125" style="32" customWidth="1"/>
    <col min="1542" max="1542" width="7.26953125" style="32" bestFit="1" customWidth="1"/>
    <col min="1543" max="1543" width="15.453125" style="32" bestFit="1" customWidth="1"/>
    <col min="1544" max="1544" width="7.26953125" style="32" bestFit="1" customWidth="1"/>
    <col min="1545" max="1545" width="19.7265625" style="32" bestFit="1" customWidth="1"/>
    <col min="1546" max="1546" width="7.26953125" style="32" bestFit="1" customWidth="1"/>
    <col min="1547" max="1547" width="26.81640625" style="32" bestFit="1" customWidth="1"/>
    <col min="1548" max="1548" width="19.81640625" style="32" bestFit="1" customWidth="1"/>
    <col min="1549" max="1783" width="11.453125" style="32"/>
    <col min="1784" max="1784" width="2.26953125" style="32" customWidth="1"/>
    <col min="1785" max="1785" width="49" style="32" customWidth="1"/>
    <col min="1786" max="1786" width="16.81640625" style="32" customWidth="1"/>
    <col min="1787" max="1787" width="1.1796875" style="32" customWidth="1"/>
    <col min="1788" max="1788" width="20.7265625" style="32" customWidth="1"/>
    <col min="1789" max="1789" width="17.7265625" style="32" customWidth="1"/>
    <col min="1790" max="1790" width="18.1796875" style="32" customWidth="1"/>
    <col min="1791" max="1791" width="17.1796875" style="32" customWidth="1"/>
    <col min="1792" max="1792" width="22.26953125" style="32" bestFit="1" customWidth="1"/>
    <col min="1793" max="1793" width="22.1796875" style="32" customWidth="1"/>
    <col min="1794" max="1794" width="17.81640625" style="32" customWidth="1"/>
    <col min="1795" max="1795" width="22.453125" style="32" customWidth="1"/>
    <col min="1796" max="1796" width="10.1796875" style="32" bestFit="1" customWidth="1"/>
    <col min="1797" max="1797" width="13.453125" style="32" customWidth="1"/>
    <col min="1798" max="1798" width="7.26953125" style="32" bestFit="1" customWidth="1"/>
    <col min="1799" max="1799" width="15.453125" style="32" bestFit="1" customWidth="1"/>
    <col min="1800" max="1800" width="7.26953125" style="32" bestFit="1" customWidth="1"/>
    <col min="1801" max="1801" width="19.7265625" style="32" bestFit="1" customWidth="1"/>
    <col min="1802" max="1802" width="7.26953125" style="32" bestFit="1" customWidth="1"/>
    <col min="1803" max="1803" width="26.81640625" style="32" bestFit="1" customWidth="1"/>
    <col min="1804" max="1804" width="19.81640625" style="32" bestFit="1" customWidth="1"/>
    <col min="1805" max="2039" width="11.453125" style="32"/>
    <col min="2040" max="2040" width="2.26953125" style="32" customWidth="1"/>
    <col min="2041" max="2041" width="49" style="32" customWidth="1"/>
    <col min="2042" max="2042" width="16.81640625" style="32" customWidth="1"/>
    <col min="2043" max="2043" width="1.1796875" style="32" customWidth="1"/>
    <col min="2044" max="2044" width="20.7265625" style="32" customWidth="1"/>
    <col min="2045" max="2045" width="17.7265625" style="32" customWidth="1"/>
    <col min="2046" max="2046" width="18.1796875" style="32" customWidth="1"/>
    <col min="2047" max="2047" width="17.1796875" style="32" customWidth="1"/>
    <col min="2048" max="2048" width="22.26953125" style="32" bestFit="1" customWidth="1"/>
    <col min="2049" max="2049" width="22.1796875" style="32" customWidth="1"/>
    <col min="2050" max="2050" width="17.81640625" style="32" customWidth="1"/>
    <col min="2051" max="2051" width="22.453125" style="32" customWidth="1"/>
    <col min="2052" max="2052" width="10.1796875" style="32" bestFit="1" customWidth="1"/>
    <col min="2053" max="2053" width="13.453125" style="32" customWidth="1"/>
    <col min="2054" max="2054" width="7.26953125" style="32" bestFit="1" customWidth="1"/>
    <col min="2055" max="2055" width="15.453125" style="32" bestFit="1" customWidth="1"/>
    <col min="2056" max="2056" width="7.26953125" style="32" bestFit="1" customWidth="1"/>
    <col min="2057" max="2057" width="19.7265625" style="32" bestFit="1" customWidth="1"/>
    <col min="2058" max="2058" width="7.26953125" style="32" bestFit="1" customWidth="1"/>
    <col min="2059" max="2059" width="26.81640625" style="32" bestFit="1" customWidth="1"/>
    <col min="2060" max="2060" width="19.81640625" style="32" bestFit="1" customWidth="1"/>
    <col min="2061" max="2295" width="11.453125" style="32"/>
    <col min="2296" max="2296" width="2.26953125" style="32" customWidth="1"/>
    <col min="2297" max="2297" width="49" style="32" customWidth="1"/>
    <col min="2298" max="2298" width="16.81640625" style="32" customWidth="1"/>
    <col min="2299" max="2299" width="1.1796875" style="32" customWidth="1"/>
    <col min="2300" max="2300" width="20.7265625" style="32" customWidth="1"/>
    <col min="2301" max="2301" width="17.7265625" style="32" customWidth="1"/>
    <col min="2302" max="2302" width="18.1796875" style="32" customWidth="1"/>
    <col min="2303" max="2303" width="17.1796875" style="32" customWidth="1"/>
    <col min="2304" max="2304" width="22.26953125" style="32" bestFit="1" customWidth="1"/>
    <col min="2305" max="2305" width="22.1796875" style="32" customWidth="1"/>
    <col min="2306" max="2306" width="17.81640625" style="32" customWidth="1"/>
    <col min="2307" max="2307" width="22.453125" style="32" customWidth="1"/>
    <col min="2308" max="2308" width="10.1796875" style="32" bestFit="1" customWidth="1"/>
    <col min="2309" max="2309" width="13.453125" style="32" customWidth="1"/>
    <col min="2310" max="2310" width="7.26953125" style="32" bestFit="1" customWidth="1"/>
    <col min="2311" max="2311" width="15.453125" style="32" bestFit="1" customWidth="1"/>
    <col min="2312" max="2312" width="7.26953125" style="32" bestFit="1" customWidth="1"/>
    <col min="2313" max="2313" width="19.7265625" style="32" bestFit="1" customWidth="1"/>
    <col min="2314" max="2314" width="7.26953125" style="32" bestFit="1" customWidth="1"/>
    <col min="2315" max="2315" width="26.81640625" style="32" bestFit="1" customWidth="1"/>
    <col min="2316" max="2316" width="19.81640625" style="32" bestFit="1" customWidth="1"/>
    <col min="2317" max="2551" width="11.453125" style="32"/>
    <col min="2552" max="2552" width="2.26953125" style="32" customWidth="1"/>
    <col min="2553" max="2553" width="49" style="32" customWidth="1"/>
    <col min="2554" max="2554" width="16.81640625" style="32" customWidth="1"/>
    <col min="2555" max="2555" width="1.1796875" style="32" customWidth="1"/>
    <col min="2556" max="2556" width="20.7265625" style="32" customWidth="1"/>
    <col min="2557" max="2557" width="17.7265625" style="32" customWidth="1"/>
    <col min="2558" max="2558" width="18.1796875" style="32" customWidth="1"/>
    <col min="2559" max="2559" width="17.1796875" style="32" customWidth="1"/>
    <col min="2560" max="2560" width="22.26953125" style="32" bestFit="1" customWidth="1"/>
    <col min="2561" max="2561" width="22.1796875" style="32" customWidth="1"/>
    <col min="2562" max="2562" width="17.81640625" style="32" customWidth="1"/>
    <col min="2563" max="2563" width="22.453125" style="32" customWidth="1"/>
    <col min="2564" max="2564" width="10.1796875" style="32" bestFit="1" customWidth="1"/>
    <col min="2565" max="2565" width="13.453125" style="32" customWidth="1"/>
    <col min="2566" max="2566" width="7.26953125" style="32" bestFit="1" customWidth="1"/>
    <col min="2567" max="2567" width="15.453125" style="32" bestFit="1" customWidth="1"/>
    <col min="2568" max="2568" width="7.26953125" style="32" bestFit="1" customWidth="1"/>
    <col min="2569" max="2569" width="19.7265625" style="32" bestFit="1" customWidth="1"/>
    <col min="2570" max="2570" width="7.26953125" style="32" bestFit="1" customWidth="1"/>
    <col min="2571" max="2571" width="26.81640625" style="32" bestFit="1" customWidth="1"/>
    <col min="2572" max="2572" width="19.81640625" style="32" bestFit="1" customWidth="1"/>
    <col min="2573" max="2807" width="11.453125" style="32"/>
    <col min="2808" max="2808" width="2.26953125" style="32" customWidth="1"/>
    <col min="2809" max="2809" width="49" style="32" customWidth="1"/>
    <col min="2810" max="2810" width="16.81640625" style="32" customWidth="1"/>
    <col min="2811" max="2811" width="1.1796875" style="32" customWidth="1"/>
    <col min="2812" max="2812" width="20.7265625" style="32" customWidth="1"/>
    <col min="2813" max="2813" width="17.7265625" style="32" customWidth="1"/>
    <col min="2814" max="2814" width="18.1796875" style="32" customWidth="1"/>
    <col min="2815" max="2815" width="17.1796875" style="32" customWidth="1"/>
    <col min="2816" max="2816" width="22.26953125" style="32" bestFit="1" customWidth="1"/>
    <col min="2817" max="2817" width="22.1796875" style="32" customWidth="1"/>
    <col min="2818" max="2818" width="17.81640625" style="32" customWidth="1"/>
    <col min="2819" max="2819" width="22.453125" style="32" customWidth="1"/>
    <col min="2820" max="2820" width="10.1796875" style="32" bestFit="1" customWidth="1"/>
    <col min="2821" max="2821" width="13.453125" style="32" customWidth="1"/>
    <col min="2822" max="2822" width="7.26953125" style="32" bestFit="1" customWidth="1"/>
    <col min="2823" max="2823" width="15.453125" style="32" bestFit="1" customWidth="1"/>
    <col min="2824" max="2824" width="7.26953125" style="32" bestFit="1" customWidth="1"/>
    <col min="2825" max="2825" width="19.7265625" style="32" bestFit="1" customWidth="1"/>
    <col min="2826" max="2826" width="7.26953125" style="32" bestFit="1" customWidth="1"/>
    <col min="2827" max="2827" width="26.81640625" style="32" bestFit="1" customWidth="1"/>
    <col min="2828" max="2828" width="19.81640625" style="32" bestFit="1" customWidth="1"/>
    <col min="2829" max="3063" width="11.453125" style="32"/>
    <col min="3064" max="3064" width="2.26953125" style="32" customWidth="1"/>
    <col min="3065" max="3065" width="49" style="32" customWidth="1"/>
    <col min="3066" max="3066" width="16.81640625" style="32" customWidth="1"/>
    <col min="3067" max="3067" width="1.1796875" style="32" customWidth="1"/>
    <col min="3068" max="3068" width="20.7265625" style="32" customWidth="1"/>
    <col min="3069" max="3069" width="17.7265625" style="32" customWidth="1"/>
    <col min="3070" max="3070" width="18.1796875" style="32" customWidth="1"/>
    <col min="3071" max="3071" width="17.1796875" style="32" customWidth="1"/>
    <col min="3072" max="3072" width="22.26953125" style="32" bestFit="1" customWidth="1"/>
    <col min="3073" max="3073" width="22.1796875" style="32" customWidth="1"/>
    <col min="3074" max="3074" width="17.81640625" style="32" customWidth="1"/>
    <col min="3075" max="3075" width="22.453125" style="32" customWidth="1"/>
    <col min="3076" max="3076" width="10.1796875" style="32" bestFit="1" customWidth="1"/>
    <col min="3077" max="3077" width="13.453125" style="32" customWidth="1"/>
    <col min="3078" max="3078" width="7.26953125" style="32" bestFit="1" customWidth="1"/>
    <col min="3079" max="3079" width="15.453125" style="32" bestFit="1" customWidth="1"/>
    <col min="3080" max="3080" width="7.26953125" style="32" bestFit="1" customWidth="1"/>
    <col min="3081" max="3081" width="19.7265625" style="32" bestFit="1" customWidth="1"/>
    <col min="3082" max="3082" width="7.26953125" style="32" bestFit="1" customWidth="1"/>
    <col min="3083" max="3083" width="26.81640625" style="32" bestFit="1" customWidth="1"/>
    <col min="3084" max="3084" width="19.81640625" style="32" bestFit="1" customWidth="1"/>
    <col min="3085" max="3319" width="11.453125" style="32"/>
    <col min="3320" max="3320" width="2.26953125" style="32" customWidth="1"/>
    <col min="3321" max="3321" width="49" style="32" customWidth="1"/>
    <col min="3322" max="3322" width="16.81640625" style="32" customWidth="1"/>
    <col min="3323" max="3323" width="1.1796875" style="32" customWidth="1"/>
    <col min="3324" max="3324" width="20.7265625" style="32" customWidth="1"/>
    <col min="3325" max="3325" width="17.7265625" style="32" customWidth="1"/>
    <col min="3326" max="3326" width="18.1796875" style="32" customWidth="1"/>
    <col min="3327" max="3327" width="17.1796875" style="32" customWidth="1"/>
    <col min="3328" max="3328" width="22.26953125" style="32" bestFit="1" customWidth="1"/>
    <col min="3329" max="3329" width="22.1796875" style="32" customWidth="1"/>
    <col min="3330" max="3330" width="17.81640625" style="32" customWidth="1"/>
    <col min="3331" max="3331" width="22.453125" style="32" customWidth="1"/>
    <col min="3332" max="3332" width="10.1796875" style="32" bestFit="1" customWidth="1"/>
    <col min="3333" max="3333" width="13.453125" style="32" customWidth="1"/>
    <col min="3334" max="3334" width="7.26953125" style="32" bestFit="1" customWidth="1"/>
    <col min="3335" max="3335" width="15.453125" style="32" bestFit="1" customWidth="1"/>
    <col min="3336" max="3336" width="7.26953125" style="32" bestFit="1" customWidth="1"/>
    <col min="3337" max="3337" width="19.7265625" style="32" bestFit="1" customWidth="1"/>
    <col min="3338" max="3338" width="7.26953125" style="32" bestFit="1" customWidth="1"/>
    <col min="3339" max="3339" width="26.81640625" style="32" bestFit="1" customWidth="1"/>
    <col min="3340" max="3340" width="19.81640625" style="32" bestFit="1" customWidth="1"/>
    <col min="3341" max="3575" width="11.453125" style="32"/>
    <col min="3576" max="3576" width="2.26953125" style="32" customWidth="1"/>
    <col min="3577" max="3577" width="49" style="32" customWidth="1"/>
    <col min="3578" max="3578" width="16.81640625" style="32" customWidth="1"/>
    <col min="3579" max="3579" width="1.1796875" style="32" customWidth="1"/>
    <col min="3580" max="3580" width="20.7265625" style="32" customWidth="1"/>
    <col min="3581" max="3581" width="17.7265625" style="32" customWidth="1"/>
    <col min="3582" max="3582" width="18.1796875" style="32" customWidth="1"/>
    <col min="3583" max="3583" width="17.1796875" style="32" customWidth="1"/>
    <col min="3584" max="3584" width="22.26953125" style="32" bestFit="1" customWidth="1"/>
    <col min="3585" max="3585" width="22.1796875" style="32" customWidth="1"/>
    <col min="3586" max="3586" width="17.81640625" style="32" customWidth="1"/>
    <col min="3587" max="3587" width="22.453125" style="32" customWidth="1"/>
    <col min="3588" max="3588" width="10.1796875" style="32" bestFit="1" customWidth="1"/>
    <col min="3589" max="3589" width="13.453125" style="32" customWidth="1"/>
    <col min="3590" max="3590" width="7.26953125" style="32" bestFit="1" customWidth="1"/>
    <col min="3591" max="3591" width="15.453125" style="32" bestFit="1" customWidth="1"/>
    <col min="3592" max="3592" width="7.26953125" style="32" bestFit="1" customWidth="1"/>
    <col min="3593" max="3593" width="19.7265625" style="32" bestFit="1" customWidth="1"/>
    <col min="3594" max="3594" width="7.26953125" style="32" bestFit="1" customWidth="1"/>
    <col min="3595" max="3595" width="26.81640625" style="32" bestFit="1" customWidth="1"/>
    <col min="3596" max="3596" width="19.81640625" style="32" bestFit="1" customWidth="1"/>
    <col min="3597" max="3831" width="11.453125" style="32"/>
    <col min="3832" max="3832" width="2.26953125" style="32" customWidth="1"/>
    <col min="3833" max="3833" width="49" style="32" customWidth="1"/>
    <col min="3834" max="3834" width="16.81640625" style="32" customWidth="1"/>
    <col min="3835" max="3835" width="1.1796875" style="32" customWidth="1"/>
    <col min="3836" max="3836" width="20.7265625" style="32" customWidth="1"/>
    <col min="3837" max="3837" width="17.7265625" style="32" customWidth="1"/>
    <col min="3838" max="3838" width="18.1796875" style="32" customWidth="1"/>
    <col min="3839" max="3839" width="17.1796875" style="32" customWidth="1"/>
    <col min="3840" max="3840" width="22.26953125" style="32" bestFit="1" customWidth="1"/>
    <col min="3841" max="3841" width="22.1796875" style="32" customWidth="1"/>
    <col min="3842" max="3842" width="17.81640625" style="32" customWidth="1"/>
    <col min="3843" max="3843" width="22.453125" style="32" customWidth="1"/>
    <col min="3844" max="3844" width="10.1796875" style="32" bestFit="1" customWidth="1"/>
    <col min="3845" max="3845" width="13.453125" style="32" customWidth="1"/>
    <col min="3846" max="3846" width="7.26953125" style="32" bestFit="1" customWidth="1"/>
    <col min="3847" max="3847" width="15.453125" style="32" bestFit="1" customWidth="1"/>
    <col min="3848" max="3848" width="7.26953125" style="32" bestFit="1" customWidth="1"/>
    <col min="3849" max="3849" width="19.7265625" style="32" bestFit="1" customWidth="1"/>
    <col min="3850" max="3850" width="7.26953125" style="32" bestFit="1" customWidth="1"/>
    <col min="3851" max="3851" width="26.81640625" style="32" bestFit="1" customWidth="1"/>
    <col min="3852" max="3852" width="19.81640625" style="32" bestFit="1" customWidth="1"/>
    <col min="3853" max="4087" width="11.453125" style="32"/>
    <col min="4088" max="4088" width="2.26953125" style="32" customWidth="1"/>
    <col min="4089" max="4089" width="49" style="32" customWidth="1"/>
    <col min="4090" max="4090" width="16.81640625" style="32" customWidth="1"/>
    <col min="4091" max="4091" width="1.1796875" style="32" customWidth="1"/>
    <col min="4092" max="4092" width="20.7265625" style="32" customWidth="1"/>
    <col min="4093" max="4093" width="17.7265625" style="32" customWidth="1"/>
    <col min="4094" max="4094" width="18.1796875" style="32" customWidth="1"/>
    <col min="4095" max="4095" width="17.1796875" style="32" customWidth="1"/>
    <col min="4096" max="4096" width="22.26953125" style="32" bestFit="1" customWidth="1"/>
    <col min="4097" max="4097" width="22.1796875" style="32" customWidth="1"/>
    <col min="4098" max="4098" width="17.81640625" style="32" customWidth="1"/>
    <col min="4099" max="4099" width="22.453125" style="32" customWidth="1"/>
    <col min="4100" max="4100" width="10.1796875" style="32" bestFit="1" customWidth="1"/>
    <col min="4101" max="4101" width="13.453125" style="32" customWidth="1"/>
    <col min="4102" max="4102" width="7.26953125" style="32" bestFit="1" customWidth="1"/>
    <col min="4103" max="4103" width="15.453125" style="32" bestFit="1" customWidth="1"/>
    <col min="4104" max="4104" width="7.26953125" style="32" bestFit="1" customWidth="1"/>
    <col min="4105" max="4105" width="19.7265625" style="32" bestFit="1" customWidth="1"/>
    <col min="4106" max="4106" width="7.26953125" style="32" bestFit="1" customWidth="1"/>
    <col min="4107" max="4107" width="26.81640625" style="32" bestFit="1" customWidth="1"/>
    <col min="4108" max="4108" width="19.81640625" style="32" bestFit="1" customWidth="1"/>
    <col min="4109" max="4343" width="11.453125" style="32"/>
    <col min="4344" max="4344" width="2.26953125" style="32" customWidth="1"/>
    <col min="4345" max="4345" width="49" style="32" customWidth="1"/>
    <col min="4346" max="4346" width="16.81640625" style="32" customWidth="1"/>
    <col min="4347" max="4347" width="1.1796875" style="32" customWidth="1"/>
    <col min="4348" max="4348" width="20.7265625" style="32" customWidth="1"/>
    <col min="4349" max="4349" width="17.7265625" style="32" customWidth="1"/>
    <col min="4350" max="4350" width="18.1796875" style="32" customWidth="1"/>
    <col min="4351" max="4351" width="17.1796875" style="32" customWidth="1"/>
    <col min="4352" max="4352" width="22.26953125" style="32" bestFit="1" customWidth="1"/>
    <col min="4353" max="4353" width="22.1796875" style="32" customWidth="1"/>
    <col min="4354" max="4354" width="17.81640625" style="32" customWidth="1"/>
    <col min="4355" max="4355" width="22.453125" style="32" customWidth="1"/>
    <col min="4356" max="4356" width="10.1796875" style="32" bestFit="1" customWidth="1"/>
    <col min="4357" max="4357" width="13.453125" style="32" customWidth="1"/>
    <col min="4358" max="4358" width="7.26953125" style="32" bestFit="1" customWidth="1"/>
    <col min="4359" max="4359" width="15.453125" style="32" bestFit="1" customWidth="1"/>
    <col min="4360" max="4360" width="7.26953125" style="32" bestFit="1" customWidth="1"/>
    <col min="4361" max="4361" width="19.7265625" style="32" bestFit="1" customWidth="1"/>
    <col min="4362" max="4362" width="7.26953125" style="32" bestFit="1" customWidth="1"/>
    <col min="4363" max="4363" width="26.81640625" style="32" bestFit="1" customWidth="1"/>
    <col min="4364" max="4364" width="19.81640625" style="32" bestFit="1" customWidth="1"/>
    <col min="4365" max="4599" width="11.453125" style="32"/>
    <col min="4600" max="4600" width="2.26953125" style="32" customWidth="1"/>
    <col min="4601" max="4601" width="49" style="32" customWidth="1"/>
    <col min="4602" max="4602" width="16.81640625" style="32" customWidth="1"/>
    <col min="4603" max="4603" width="1.1796875" style="32" customWidth="1"/>
    <col min="4604" max="4604" width="20.7265625" style="32" customWidth="1"/>
    <col min="4605" max="4605" width="17.7265625" style="32" customWidth="1"/>
    <col min="4606" max="4606" width="18.1796875" style="32" customWidth="1"/>
    <col min="4607" max="4607" width="17.1796875" style="32" customWidth="1"/>
    <col min="4608" max="4608" width="22.26953125" style="32" bestFit="1" customWidth="1"/>
    <col min="4609" max="4609" width="22.1796875" style="32" customWidth="1"/>
    <col min="4610" max="4610" width="17.81640625" style="32" customWidth="1"/>
    <col min="4611" max="4611" width="22.453125" style="32" customWidth="1"/>
    <col min="4612" max="4612" width="10.1796875" style="32" bestFit="1" customWidth="1"/>
    <col min="4613" max="4613" width="13.453125" style="32" customWidth="1"/>
    <col min="4614" max="4614" width="7.26953125" style="32" bestFit="1" customWidth="1"/>
    <col min="4615" max="4615" width="15.453125" style="32" bestFit="1" customWidth="1"/>
    <col min="4616" max="4616" width="7.26953125" style="32" bestFit="1" customWidth="1"/>
    <col min="4617" max="4617" width="19.7265625" style="32" bestFit="1" customWidth="1"/>
    <col min="4618" max="4618" width="7.26953125" style="32" bestFit="1" customWidth="1"/>
    <col min="4619" max="4619" width="26.81640625" style="32" bestFit="1" customWidth="1"/>
    <col min="4620" max="4620" width="19.81640625" style="32" bestFit="1" customWidth="1"/>
    <col min="4621" max="4855" width="11.453125" style="32"/>
    <col min="4856" max="4856" width="2.26953125" style="32" customWidth="1"/>
    <col min="4857" max="4857" width="49" style="32" customWidth="1"/>
    <col min="4858" max="4858" width="16.81640625" style="32" customWidth="1"/>
    <col min="4859" max="4859" width="1.1796875" style="32" customWidth="1"/>
    <col min="4860" max="4860" width="20.7265625" style="32" customWidth="1"/>
    <col min="4861" max="4861" width="17.7265625" style="32" customWidth="1"/>
    <col min="4862" max="4862" width="18.1796875" style="32" customWidth="1"/>
    <col min="4863" max="4863" width="17.1796875" style="32" customWidth="1"/>
    <col min="4864" max="4864" width="22.26953125" style="32" bestFit="1" customWidth="1"/>
    <col min="4865" max="4865" width="22.1796875" style="32" customWidth="1"/>
    <col min="4866" max="4866" width="17.81640625" style="32" customWidth="1"/>
    <col min="4867" max="4867" width="22.453125" style="32" customWidth="1"/>
    <col min="4868" max="4868" width="10.1796875" style="32" bestFit="1" customWidth="1"/>
    <col min="4869" max="4869" width="13.453125" style="32" customWidth="1"/>
    <col min="4870" max="4870" width="7.26953125" style="32" bestFit="1" customWidth="1"/>
    <col min="4871" max="4871" width="15.453125" style="32" bestFit="1" customWidth="1"/>
    <col min="4872" max="4872" width="7.26953125" style="32" bestFit="1" customWidth="1"/>
    <col min="4873" max="4873" width="19.7265625" style="32" bestFit="1" customWidth="1"/>
    <col min="4874" max="4874" width="7.26953125" style="32" bestFit="1" customWidth="1"/>
    <col min="4875" max="4875" width="26.81640625" style="32" bestFit="1" customWidth="1"/>
    <col min="4876" max="4876" width="19.81640625" style="32" bestFit="1" customWidth="1"/>
    <col min="4877" max="5111" width="11.453125" style="32"/>
    <col min="5112" max="5112" width="2.26953125" style="32" customWidth="1"/>
    <col min="5113" max="5113" width="49" style="32" customWidth="1"/>
    <col min="5114" max="5114" width="16.81640625" style="32" customWidth="1"/>
    <col min="5115" max="5115" width="1.1796875" style="32" customWidth="1"/>
    <col min="5116" max="5116" width="20.7265625" style="32" customWidth="1"/>
    <col min="5117" max="5117" width="17.7265625" style="32" customWidth="1"/>
    <col min="5118" max="5118" width="18.1796875" style="32" customWidth="1"/>
    <col min="5119" max="5119" width="17.1796875" style="32" customWidth="1"/>
    <col min="5120" max="5120" width="22.26953125" style="32" bestFit="1" customWidth="1"/>
    <col min="5121" max="5121" width="22.1796875" style="32" customWidth="1"/>
    <col min="5122" max="5122" width="17.81640625" style="32" customWidth="1"/>
    <col min="5123" max="5123" width="22.453125" style="32" customWidth="1"/>
    <col min="5124" max="5124" width="10.1796875" style="32" bestFit="1" customWidth="1"/>
    <col min="5125" max="5125" width="13.453125" style="32" customWidth="1"/>
    <col min="5126" max="5126" width="7.26953125" style="32" bestFit="1" customWidth="1"/>
    <col min="5127" max="5127" width="15.453125" style="32" bestFit="1" customWidth="1"/>
    <col min="5128" max="5128" width="7.26953125" style="32" bestFit="1" customWidth="1"/>
    <col min="5129" max="5129" width="19.7265625" style="32" bestFit="1" customWidth="1"/>
    <col min="5130" max="5130" width="7.26953125" style="32" bestFit="1" customWidth="1"/>
    <col min="5131" max="5131" width="26.81640625" style="32" bestFit="1" customWidth="1"/>
    <col min="5132" max="5132" width="19.81640625" style="32" bestFit="1" customWidth="1"/>
    <col min="5133" max="5367" width="11.453125" style="32"/>
    <col min="5368" max="5368" width="2.26953125" style="32" customWidth="1"/>
    <col min="5369" max="5369" width="49" style="32" customWidth="1"/>
    <col min="5370" max="5370" width="16.81640625" style="32" customWidth="1"/>
    <col min="5371" max="5371" width="1.1796875" style="32" customWidth="1"/>
    <col min="5372" max="5372" width="20.7265625" style="32" customWidth="1"/>
    <col min="5373" max="5373" width="17.7265625" style="32" customWidth="1"/>
    <col min="5374" max="5374" width="18.1796875" style="32" customWidth="1"/>
    <col min="5375" max="5375" width="17.1796875" style="32" customWidth="1"/>
    <col min="5376" max="5376" width="22.26953125" style="32" bestFit="1" customWidth="1"/>
    <col min="5377" max="5377" width="22.1796875" style="32" customWidth="1"/>
    <col min="5378" max="5378" width="17.81640625" style="32" customWidth="1"/>
    <col min="5379" max="5379" width="22.453125" style="32" customWidth="1"/>
    <col min="5380" max="5380" width="10.1796875" style="32" bestFit="1" customWidth="1"/>
    <col min="5381" max="5381" width="13.453125" style="32" customWidth="1"/>
    <col min="5382" max="5382" width="7.26953125" style="32" bestFit="1" customWidth="1"/>
    <col min="5383" max="5383" width="15.453125" style="32" bestFit="1" customWidth="1"/>
    <col min="5384" max="5384" width="7.26953125" style="32" bestFit="1" customWidth="1"/>
    <col min="5385" max="5385" width="19.7265625" style="32" bestFit="1" customWidth="1"/>
    <col min="5386" max="5386" width="7.26953125" style="32" bestFit="1" customWidth="1"/>
    <col min="5387" max="5387" width="26.81640625" style="32" bestFit="1" customWidth="1"/>
    <col min="5388" max="5388" width="19.81640625" style="32" bestFit="1" customWidth="1"/>
    <col min="5389" max="5623" width="11.453125" style="32"/>
    <col min="5624" max="5624" width="2.26953125" style="32" customWidth="1"/>
    <col min="5625" max="5625" width="49" style="32" customWidth="1"/>
    <col min="5626" max="5626" width="16.81640625" style="32" customWidth="1"/>
    <col min="5627" max="5627" width="1.1796875" style="32" customWidth="1"/>
    <col min="5628" max="5628" width="20.7265625" style="32" customWidth="1"/>
    <col min="5629" max="5629" width="17.7265625" style="32" customWidth="1"/>
    <col min="5630" max="5630" width="18.1796875" style="32" customWidth="1"/>
    <col min="5631" max="5631" width="17.1796875" style="32" customWidth="1"/>
    <col min="5632" max="5632" width="22.26953125" style="32" bestFit="1" customWidth="1"/>
    <col min="5633" max="5633" width="22.1796875" style="32" customWidth="1"/>
    <col min="5634" max="5634" width="17.81640625" style="32" customWidth="1"/>
    <col min="5635" max="5635" width="22.453125" style="32" customWidth="1"/>
    <col min="5636" max="5636" width="10.1796875" style="32" bestFit="1" customWidth="1"/>
    <col min="5637" max="5637" width="13.453125" style="32" customWidth="1"/>
    <col min="5638" max="5638" width="7.26953125" style="32" bestFit="1" customWidth="1"/>
    <col min="5639" max="5639" width="15.453125" style="32" bestFit="1" customWidth="1"/>
    <col min="5640" max="5640" width="7.26953125" style="32" bestFit="1" customWidth="1"/>
    <col min="5641" max="5641" width="19.7265625" style="32" bestFit="1" customWidth="1"/>
    <col min="5642" max="5642" width="7.26953125" style="32" bestFit="1" customWidth="1"/>
    <col min="5643" max="5643" width="26.81640625" style="32" bestFit="1" customWidth="1"/>
    <col min="5644" max="5644" width="19.81640625" style="32" bestFit="1" customWidth="1"/>
    <col min="5645" max="5879" width="11.453125" style="32"/>
    <col min="5880" max="5880" width="2.26953125" style="32" customWidth="1"/>
    <col min="5881" max="5881" width="49" style="32" customWidth="1"/>
    <col min="5882" max="5882" width="16.81640625" style="32" customWidth="1"/>
    <col min="5883" max="5883" width="1.1796875" style="32" customWidth="1"/>
    <col min="5884" max="5884" width="20.7265625" style="32" customWidth="1"/>
    <col min="5885" max="5885" width="17.7265625" style="32" customWidth="1"/>
    <col min="5886" max="5886" width="18.1796875" style="32" customWidth="1"/>
    <col min="5887" max="5887" width="17.1796875" style="32" customWidth="1"/>
    <col min="5888" max="5888" width="22.26953125" style="32" bestFit="1" customWidth="1"/>
    <col min="5889" max="5889" width="22.1796875" style="32" customWidth="1"/>
    <col min="5890" max="5890" width="17.81640625" style="32" customWidth="1"/>
    <col min="5891" max="5891" width="22.453125" style="32" customWidth="1"/>
    <col min="5892" max="5892" width="10.1796875" style="32" bestFit="1" customWidth="1"/>
    <col min="5893" max="5893" width="13.453125" style="32" customWidth="1"/>
    <col min="5894" max="5894" width="7.26953125" style="32" bestFit="1" customWidth="1"/>
    <col min="5895" max="5895" width="15.453125" style="32" bestFit="1" customWidth="1"/>
    <col min="5896" max="5896" width="7.26953125" style="32" bestFit="1" customWidth="1"/>
    <col min="5897" max="5897" width="19.7265625" style="32" bestFit="1" customWidth="1"/>
    <col min="5898" max="5898" width="7.26953125" style="32" bestFit="1" customWidth="1"/>
    <col min="5899" max="5899" width="26.81640625" style="32" bestFit="1" customWidth="1"/>
    <col min="5900" max="5900" width="19.81640625" style="32" bestFit="1" customWidth="1"/>
    <col min="5901" max="6135" width="11.453125" style="32"/>
    <col min="6136" max="6136" width="2.26953125" style="32" customWidth="1"/>
    <col min="6137" max="6137" width="49" style="32" customWidth="1"/>
    <col min="6138" max="6138" width="16.81640625" style="32" customWidth="1"/>
    <col min="6139" max="6139" width="1.1796875" style="32" customWidth="1"/>
    <col min="6140" max="6140" width="20.7265625" style="32" customWidth="1"/>
    <col min="6141" max="6141" width="17.7265625" style="32" customWidth="1"/>
    <col min="6142" max="6142" width="18.1796875" style="32" customWidth="1"/>
    <col min="6143" max="6143" width="17.1796875" style="32" customWidth="1"/>
    <col min="6144" max="6144" width="22.26953125" style="32" bestFit="1" customWidth="1"/>
    <col min="6145" max="6145" width="22.1796875" style="32" customWidth="1"/>
    <col min="6146" max="6146" width="17.81640625" style="32" customWidth="1"/>
    <col min="6147" max="6147" width="22.453125" style="32" customWidth="1"/>
    <col min="6148" max="6148" width="10.1796875" style="32" bestFit="1" customWidth="1"/>
    <col min="6149" max="6149" width="13.453125" style="32" customWidth="1"/>
    <col min="6150" max="6150" width="7.26953125" style="32" bestFit="1" customWidth="1"/>
    <col min="6151" max="6151" width="15.453125" style="32" bestFit="1" customWidth="1"/>
    <col min="6152" max="6152" width="7.26953125" style="32" bestFit="1" customWidth="1"/>
    <col min="6153" max="6153" width="19.7265625" style="32" bestFit="1" customWidth="1"/>
    <col min="6154" max="6154" width="7.26953125" style="32" bestFit="1" customWidth="1"/>
    <col min="6155" max="6155" width="26.81640625" style="32" bestFit="1" customWidth="1"/>
    <col min="6156" max="6156" width="19.81640625" style="32" bestFit="1" customWidth="1"/>
    <col min="6157" max="6391" width="11.453125" style="32"/>
    <col min="6392" max="6392" width="2.26953125" style="32" customWidth="1"/>
    <col min="6393" max="6393" width="49" style="32" customWidth="1"/>
    <col min="6394" max="6394" width="16.81640625" style="32" customWidth="1"/>
    <col min="6395" max="6395" width="1.1796875" style="32" customWidth="1"/>
    <col min="6396" max="6396" width="20.7265625" style="32" customWidth="1"/>
    <col min="6397" max="6397" width="17.7265625" style="32" customWidth="1"/>
    <col min="6398" max="6398" width="18.1796875" style="32" customWidth="1"/>
    <col min="6399" max="6399" width="17.1796875" style="32" customWidth="1"/>
    <col min="6400" max="6400" width="22.26953125" style="32" bestFit="1" customWidth="1"/>
    <col min="6401" max="6401" width="22.1796875" style="32" customWidth="1"/>
    <col min="6402" max="6402" width="17.81640625" style="32" customWidth="1"/>
    <col min="6403" max="6403" width="22.453125" style="32" customWidth="1"/>
    <col min="6404" max="6404" width="10.1796875" style="32" bestFit="1" customWidth="1"/>
    <col min="6405" max="6405" width="13.453125" style="32" customWidth="1"/>
    <col min="6406" max="6406" width="7.26953125" style="32" bestFit="1" customWidth="1"/>
    <col min="6407" max="6407" width="15.453125" style="32" bestFit="1" customWidth="1"/>
    <col min="6408" max="6408" width="7.26953125" style="32" bestFit="1" customWidth="1"/>
    <col min="6409" max="6409" width="19.7265625" style="32" bestFit="1" customWidth="1"/>
    <col min="6410" max="6410" width="7.26953125" style="32" bestFit="1" customWidth="1"/>
    <col min="6411" max="6411" width="26.81640625" style="32" bestFit="1" customWidth="1"/>
    <col min="6412" max="6412" width="19.81640625" style="32" bestFit="1" customWidth="1"/>
    <col min="6413" max="6647" width="11.453125" style="32"/>
    <col min="6648" max="6648" width="2.26953125" style="32" customWidth="1"/>
    <col min="6649" max="6649" width="49" style="32" customWidth="1"/>
    <col min="6650" max="6650" width="16.81640625" style="32" customWidth="1"/>
    <col min="6651" max="6651" width="1.1796875" style="32" customWidth="1"/>
    <col min="6652" max="6652" width="20.7265625" style="32" customWidth="1"/>
    <col min="6653" max="6653" width="17.7265625" style="32" customWidth="1"/>
    <col min="6654" max="6654" width="18.1796875" style="32" customWidth="1"/>
    <col min="6655" max="6655" width="17.1796875" style="32" customWidth="1"/>
    <col min="6656" max="6656" width="22.26953125" style="32" bestFit="1" customWidth="1"/>
    <col min="6657" max="6657" width="22.1796875" style="32" customWidth="1"/>
    <col min="6658" max="6658" width="17.81640625" style="32" customWidth="1"/>
    <col min="6659" max="6659" width="22.453125" style="32" customWidth="1"/>
    <col min="6660" max="6660" width="10.1796875" style="32" bestFit="1" customWidth="1"/>
    <col min="6661" max="6661" width="13.453125" style="32" customWidth="1"/>
    <col min="6662" max="6662" width="7.26953125" style="32" bestFit="1" customWidth="1"/>
    <col min="6663" max="6663" width="15.453125" style="32" bestFit="1" customWidth="1"/>
    <col min="6664" max="6664" width="7.26953125" style="32" bestFit="1" customWidth="1"/>
    <col min="6665" max="6665" width="19.7265625" style="32" bestFit="1" customWidth="1"/>
    <col min="6666" max="6666" width="7.26953125" style="32" bestFit="1" customWidth="1"/>
    <col min="6667" max="6667" width="26.81640625" style="32" bestFit="1" customWidth="1"/>
    <col min="6668" max="6668" width="19.81640625" style="32" bestFit="1" customWidth="1"/>
    <col min="6669" max="6903" width="11.453125" style="32"/>
    <col min="6904" max="6904" width="2.26953125" style="32" customWidth="1"/>
    <col min="6905" max="6905" width="49" style="32" customWidth="1"/>
    <col min="6906" max="6906" width="16.81640625" style="32" customWidth="1"/>
    <col min="6907" max="6907" width="1.1796875" style="32" customWidth="1"/>
    <col min="6908" max="6908" width="20.7265625" style="32" customWidth="1"/>
    <col min="6909" max="6909" width="17.7265625" style="32" customWidth="1"/>
    <col min="6910" max="6910" width="18.1796875" style="32" customWidth="1"/>
    <col min="6911" max="6911" width="17.1796875" style="32" customWidth="1"/>
    <col min="6912" max="6912" width="22.26953125" style="32" bestFit="1" customWidth="1"/>
    <col min="6913" max="6913" width="22.1796875" style="32" customWidth="1"/>
    <col min="6914" max="6914" width="17.81640625" style="32" customWidth="1"/>
    <col min="6915" max="6915" width="22.453125" style="32" customWidth="1"/>
    <col min="6916" max="6916" width="10.1796875" style="32" bestFit="1" customWidth="1"/>
    <col min="6917" max="6917" width="13.453125" style="32" customWidth="1"/>
    <col min="6918" max="6918" width="7.26953125" style="32" bestFit="1" customWidth="1"/>
    <col min="6919" max="6919" width="15.453125" style="32" bestFit="1" customWidth="1"/>
    <col min="6920" max="6920" width="7.26953125" style="32" bestFit="1" customWidth="1"/>
    <col min="6921" max="6921" width="19.7265625" style="32" bestFit="1" customWidth="1"/>
    <col min="6922" max="6922" width="7.26953125" style="32" bestFit="1" customWidth="1"/>
    <col min="6923" max="6923" width="26.81640625" style="32" bestFit="1" customWidth="1"/>
    <col min="6924" max="6924" width="19.81640625" style="32" bestFit="1" customWidth="1"/>
    <col min="6925" max="7159" width="11.453125" style="32"/>
    <col min="7160" max="7160" width="2.26953125" style="32" customWidth="1"/>
    <col min="7161" max="7161" width="49" style="32" customWidth="1"/>
    <col min="7162" max="7162" width="16.81640625" style="32" customWidth="1"/>
    <col min="7163" max="7163" width="1.1796875" style="32" customWidth="1"/>
    <col min="7164" max="7164" width="20.7265625" style="32" customWidth="1"/>
    <col min="7165" max="7165" width="17.7265625" style="32" customWidth="1"/>
    <col min="7166" max="7166" width="18.1796875" style="32" customWidth="1"/>
    <col min="7167" max="7167" width="17.1796875" style="32" customWidth="1"/>
    <col min="7168" max="7168" width="22.26953125" style="32" bestFit="1" customWidth="1"/>
    <col min="7169" max="7169" width="22.1796875" style="32" customWidth="1"/>
    <col min="7170" max="7170" width="17.81640625" style="32" customWidth="1"/>
    <col min="7171" max="7171" width="22.453125" style="32" customWidth="1"/>
    <col min="7172" max="7172" width="10.1796875" style="32" bestFit="1" customWidth="1"/>
    <col min="7173" max="7173" width="13.453125" style="32" customWidth="1"/>
    <col min="7174" max="7174" width="7.26953125" style="32" bestFit="1" customWidth="1"/>
    <col min="7175" max="7175" width="15.453125" style="32" bestFit="1" customWidth="1"/>
    <col min="7176" max="7176" width="7.26953125" style="32" bestFit="1" customWidth="1"/>
    <col min="7177" max="7177" width="19.7265625" style="32" bestFit="1" customWidth="1"/>
    <col min="7178" max="7178" width="7.26953125" style="32" bestFit="1" customWidth="1"/>
    <col min="7179" max="7179" width="26.81640625" style="32" bestFit="1" customWidth="1"/>
    <col min="7180" max="7180" width="19.81640625" style="32" bestFit="1" customWidth="1"/>
    <col min="7181" max="7415" width="11.453125" style="32"/>
    <col min="7416" max="7416" width="2.26953125" style="32" customWidth="1"/>
    <col min="7417" max="7417" width="49" style="32" customWidth="1"/>
    <col min="7418" max="7418" width="16.81640625" style="32" customWidth="1"/>
    <col min="7419" max="7419" width="1.1796875" style="32" customWidth="1"/>
    <col min="7420" max="7420" width="20.7265625" style="32" customWidth="1"/>
    <col min="7421" max="7421" width="17.7265625" style="32" customWidth="1"/>
    <col min="7422" max="7422" width="18.1796875" style="32" customWidth="1"/>
    <col min="7423" max="7423" width="17.1796875" style="32" customWidth="1"/>
    <col min="7424" max="7424" width="22.26953125" style="32" bestFit="1" customWidth="1"/>
    <col min="7425" max="7425" width="22.1796875" style="32" customWidth="1"/>
    <col min="7426" max="7426" width="17.81640625" style="32" customWidth="1"/>
    <col min="7427" max="7427" width="22.453125" style="32" customWidth="1"/>
    <col min="7428" max="7428" width="10.1796875" style="32" bestFit="1" customWidth="1"/>
    <col min="7429" max="7429" width="13.453125" style="32" customWidth="1"/>
    <col min="7430" max="7430" width="7.26953125" style="32" bestFit="1" customWidth="1"/>
    <col min="7431" max="7431" width="15.453125" style="32" bestFit="1" customWidth="1"/>
    <col min="7432" max="7432" width="7.26953125" style="32" bestFit="1" customWidth="1"/>
    <col min="7433" max="7433" width="19.7265625" style="32" bestFit="1" customWidth="1"/>
    <col min="7434" max="7434" width="7.26953125" style="32" bestFit="1" customWidth="1"/>
    <col min="7435" max="7435" width="26.81640625" style="32" bestFit="1" customWidth="1"/>
    <col min="7436" max="7436" width="19.81640625" style="32" bestFit="1" customWidth="1"/>
    <col min="7437" max="7671" width="11.453125" style="32"/>
    <col min="7672" max="7672" width="2.26953125" style="32" customWidth="1"/>
    <col min="7673" max="7673" width="49" style="32" customWidth="1"/>
    <col min="7674" max="7674" width="16.81640625" style="32" customWidth="1"/>
    <col min="7675" max="7675" width="1.1796875" style="32" customWidth="1"/>
    <col min="7676" max="7676" width="20.7265625" style="32" customWidth="1"/>
    <col min="7677" max="7677" width="17.7265625" style="32" customWidth="1"/>
    <col min="7678" max="7678" width="18.1796875" style="32" customWidth="1"/>
    <col min="7679" max="7679" width="17.1796875" style="32" customWidth="1"/>
    <col min="7680" max="7680" width="22.26953125" style="32" bestFit="1" customWidth="1"/>
    <col min="7681" max="7681" width="22.1796875" style="32" customWidth="1"/>
    <col min="7682" max="7682" width="17.81640625" style="32" customWidth="1"/>
    <col min="7683" max="7683" width="22.453125" style="32" customWidth="1"/>
    <col min="7684" max="7684" width="10.1796875" style="32" bestFit="1" customWidth="1"/>
    <col min="7685" max="7685" width="13.453125" style="32" customWidth="1"/>
    <col min="7686" max="7686" width="7.26953125" style="32" bestFit="1" customWidth="1"/>
    <col min="7687" max="7687" width="15.453125" style="32" bestFit="1" customWidth="1"/>
    <col min="7688" max="7688" width="7.26953125" style="32" bestFit="1" customWidth="1"/>
    <col min="7689" max="7689" width="19.7265625" style="32" bestFit="1" customWidth="1"/>
    <col min="7690" max="7690" width="7.26953125" style="32" bestFit="1" customWidth="1"/>
    <col min="7691" max="7691" width="26.81640625" style="32" bestFit="1" customWidth="1"/>
    <col min="7692" max="7692" width="19.81640625" style="32" bestFit="1" customWidth="1"/>
    <col min="7693" max="7927" width="11.453125" style="32"/>
    <col min="7928" max="7928" width="2.26953125" style="32" customWidth="1"/>
    <col min="7929" max="7929" width="49" style="32" customWidth="1"/>
    <col min="7930" max="7930" width="16.81640625" style="32" customWidth="1"/>
    <col min="7931" max="7931" width="1.1796875" style="32" customWidth="1"/>
    <col min="7932" max="7932" width="20.7265625" style="32" customWidth="1"/>
    <col min="7933" max="7933" width="17.7265625" style="32" customWidth="1"/>
    <col min="7934" max="7934" width="18.1796875" style="32" customWidth="1"/>
    <col min="7935" max="7935" width="17.1796875" style="32" customWidth="1"/>
    <col min="7936" max="7936" width="22.26953125" style="32" bestFit="1" customWidth="1"/>
    <col min="7937" max="7937" width="22.1796875" style="32" customWidth="1"/>
    <col min="7938" max="7938" width="17.81640625" style="32" customWidth="1"/>
    <col min="7939" max="7939" width="22.453125" style="32" customWidth="1"/>
    <col min="7940" max="7940" width="10.1796875" style="32" bestFit="1" customWidth="1"/>
    <col min="7941" max="7941" width="13.453125" style="32" customWidth="1"/>
    <col min="7942" max="7942" width="7.26953125" style="32" bestFit="1" customWidth="1"/>
    <col min="7943" max="7943" width="15.453125" style="32" bestFit="1" customWidth="1"/>
    <col min="7944" max="7944" width="7.26953125" style="32" bestFit="1" customWidth="1"/>
    <col min="7945" max="7945" width="19.7265625" style="32" bestFit="1" customWidth="1"/>
    <col min="7946" max="7946" width="7.26953125" style="32" bestFit="1" customWidth="1"/>
    <col min="7947" max="7947" width="26.81640625" style="32" bestFit="1" customWidth="1"/>
    <col min="7948" max="7948" width="19.81640625" style="32" bestFit="1" customWidth="1"/>
    <col min="7949" max="8183" width="11.453125" style="32"/>
    <col min="8184" max="8184" width="2.26953125" style="32" customWidth="1"/>
    <col min="8185" max="8185" width="49" style="32" customWidth="1"/>
    <col min="8186" max="8186" width="16.81640625" style="32" customWidth="1"/>
    <col min="8187" max="8187" width="1.1796875" style="32" customWidth="1"/>
    <col min="8188" max="8188" width="20.7265625" style="32" customWidth="1"/>
    <col min="8189" max="8189" width="17.7265625" style="32" customWidth="1"/>
    <col min="8190" max="8190" width="18.1796875" style="32" customWidth="1"/>
    <col min="8191" max="8191" width="17.1796875" style="32" customWidth="1"/>
    <col min="8192" max="8192" width="22.26953125" style="32" bestFit="1" customWidth="1"/>
    <col min="8193" max="8193" width="22.1796875" style="32" customWidth="1"/>
    <col min="8194" max="8194" width="17.81640625" style="32" customWidth="1"/>
    <col min="8195" max="8195" width="22.453125" style="32" customWidth="1"/>
    <col min="8196" max="8196" width="10.1796875" style="32" bestFit="1" customWidth="1"/>
    <col min="8197" max="8197" width="13.453125" style="32" customWidth="1"/>
    <col min="8198" max="8198" width="7.26953125" style="32" bestFit="1" customWidth="1"/>
    <col min="8199" max="8199" width="15.453125" style="32" bestFit="1" customWidth="1"/>
    <col min="8200" max="8200" width="7.26953125" style="32" bestFit="1" customWidth="1"/>
    <col min="8201" max="8201" width="19.7265625" style="32" bestFit="1" customWidth="1"/>
    <col min="8202" max="8202" width="7.26953125" style="32" bestFit="1" customWidth="1"/>
    <col min="8203" max="8203" width="26.81640625" style="32" bestFit="1" customWidth="1"/>
    <col min="8204" max="8204" width="19.81640625" style="32" bestFit="1" customWidth="1"/>
    <col min="8205" max="8439" width="11.453125" style="32"/>
    <col min="8440" max="8440" width="2.26953125" style="32" customWidth="1"/>
    <col min="8441" max="8441" width="49" style="32" customWidth="1"/>
    <col min="8442" max="8442" width="16.81640625" style="32" customWidth="1"/>
    <col min="8443" max="8443" width="1.1796875" style="32" customWidth="1"/>
    <col min="8444" max="8444" width="20.7265625" style="32" customWidth="1"/>
    <col min="8445" max="8445" width="17.7265625" style="32" customWidth="1"/>
    <col min="8446" max="8446" width="18.1796875" style="32" customWidth="1"/>
    <col min="8447" max="8447" width="17.1796875" style="32" customWidth="1"/>
    <col min="8448" max="8448" width="22.26953125" style="32" bestFit="1" customWidth="1"/>
    <col min="8449" max="8449" width="22.1796875" style="32" customWidth="1"/>
    <col min="8450" max="8450" width="17.81640625" style="32" customWidth="1"/>
    <col min="8451" max="8451" width="22.453125" style="32" customWidth="1"/>
    <col min="8452" max="8452" width="10.1796875" style="32" bestFit="1" customWidth="1"/>
    <col min="8453" max="8453" width="13.453125" style="32" customWidth="1"/>
    <col min="8454" max="8454" width="7.26953125" style="32" bestFit="1" customWidth="1"/>
    <col min="8455" max="8455" width="15.453125" style="32" bestFit="1" customWidth="1"/>
    <col min="8456" max="8456" width="7.26953125" style="32" bestFit="1" customWidth="1"/>
    <col min="8457" max="8457" width="19.7265625" style="32" bestFit="1" customWidth="1"/>
    <col min="8458" max="8458" width="7.26953125" style="32" bestFit="1" customWidth="1"/>
    <col min="8459" max="8459" width="26.81640625" style="32" bestFit="1" customWidth="1"/>
    <col min="8460" max="8460" width="19.81640625" style="32" bestFit="1" customWidth="1"/>
    <col min="8461" max="8695" width="11.453125" style="32"/>
    <col min="8696" max="8696" width="2.26953125" style="32" customWidth="1"/>
    <col min="8697" max="8697" width="49" style="32" customWidth="1"/>
    <col min="8698" max="8698" width="16.81640625" style="32" customWidth="1"/>
    <col min="8699" max="8699" width="1.1796875" style="32" customWidth="1"/>
    <col min="8700" max="8700" width="20.7265625" style="32" customWidth="1"/>
    <col min="8701" max="8701" width="17.7265625" style="32" customWidth="1"/>
    <col min="8702" max="8702" width="18.1796875" style="32" customWidth="1"/>
    <col min="8703" max="8703" width="17.1796875" style="32" customWidth="1"/>
    <col min="8704" max="8704" width="22.26953125" style="32" bestFit="1" customWidth="1"/>
    <col min="8705" max="8705" width="22.1796875" style="32" customWidth="1"/>
    <col min="8706" max="8706" width="17.81640625" style="32" customWidth="1"/>
    <col min="8707" max="8707" width="22.453125" style="32" customWidth="1"/>
    <col min="8708" max="8708" width="10.1796875" style="32" bestFit="1" customWidth="1"/>
    <col min="8709" max="8709" width="13.453125" style="32" customWidth="1"/>
    <col min="8710" max="8710" width="7.26953125" style="32" bestFit="1" customWidth="1"/>
    <col min="8711" max="8711" width="15.453125" style="32" bestFit="1" customWidth="1"/>
    <col min="8712" max="8712" width="7.26953125" style="32" bestFit="1" customWidth="1"/>
    <col min="8713" max="8713" width="19.7265625" style="32" bestFit="1" customWidth="1"/>
    <col min="8714" max="8714" width="7.26953125" style="32" bestFit="1" customWidth="1"/>
    <col min="8715" max="8715" width="26.81640625" style="32" bestFit="1" customWidth="1"/>
    <col min="8716" max="8716" width="19.81640625" style="32" bestFit="1" customWidth="1"/>
    <col min="8717" max="8951" width="11.453125" style="32"/>
    <col min="8952" max="8952" width="2.26953125" style="32" customWidth="1"/>
    <col min="8953" max="8953" width="49" style="32" customWidth="1"/>
    <col min="8954" max="8954" width="16.81640625" style="32" customWidth="1"/>
    <col min="8955" max="8955" width="1.1796875" style="32" customWidth="1"/>
    <col min="8956" max="8956" width="20.7265625" style="32" customWidth="1"/>
    <col min="8957" max="8957" width="17.7265625" style="32" customWidth="1"/>
    <col min="8958" max="8958" width="18.1796875" style="32" customWidth="1"/>
    <col min="8959" max="8959" width="17.1796875" style="32" customWidth="1"/>
    <col min="8960" max="8960" width="22.26953125" style="32" bestFit="1" customWidth="1"/>
    <col min="8961" max="8961" width="22.1796875" style="32" customWidth="1"/>
    <col min="8962" max="8962" width="17.81640625" style="32" customWidth="1"/>
    <col min="8963" max="8963" width="22.453125" style="32" customWidth="1"/>
    <col min="8964" max="8964" width="10.1796875" style="32" bestFit="1" customWidth="1"/>
    <col min="8965" max="8965" width="13.453125" style="32" customWidth="1"/>
    <col min="8966" max="8966" width="7.26953125" style="32" bestFit="1" customWidth="1"/>
    <col min="8967" max="8967" width="15.453125" style="32" bestFit="1" customWidth="1"/>
    <col min="8968" max="8968" width="7.26953125" style="32" bestFit="1" customWidth="1"/>
    <col min="8969" max="8969" width="19.7265625" style="32" bestFit="1" customWidth="1"/>
    <col min="8970" max="8970" width="7.26953125" style="32" bestFit="1" customWidth="1"/>
    <col min="8971" max="8971" width="26.81640625" style="32" bestFit="1" customWidth="1"/>
    <col min="8972" max="8972" width="19.81640625" style="32" bestFit="1" customWidth="1"/>
    <col min="8973" max="9207" width="11.453125" style="32"/>
    <col min="9208" max="9208" width="2.26953125" style="32" customWidth="1"/>
    <col min="9209" max="9209" width="49" style="32" customWidth="1"/>
    <col min="9210" max="9210" width="16.81640625" style="32" customWidth="1"/>
    <col min="9211" max="9211" width="1.1796875" style="32" customWidth="1"/>
    <col min="9212" max="9212" width="20.7265625" style="32" customWidth="1"/>
    <col min="9213" max="9213" width="17.7265625" style="32" customWidth="1"/>
    <col min="9214" max="9214" width="18.1796875" style="32" customWidth="1"/>
    <col min="9215" max="9215" width="17.1796875" style="32" customWidth="1"/>
    <col min="9216" max="9216" width="22.26953125" style="32" bestFit="1" customWidth="1"/>
    <col min="9217" max="9217" width="22.1796875" style="32" customWidth="1"/>
    <col min="9218" max="9218" width="17.81640625" style="32" customWidth="1"/>
    <col min="9219" max="9219" width="22.453125" style="32" customWidth="1"/>
    <col min="9220" max="9220" width="10.1796875" style="32" bestFit="1" customWidth="1"/>
    <col min="9221" max="9221" width="13.453125" style="32" customWidth="1"/>
    <col min="9222" max="9222" width="7.26953125" style="32" bestFit="1" customWidth="1"/>
    <col min="9223" max="9223" width="15.453125" style="32" bestFit="1" customWidth="1"/>
    <col min="9224" max="9224" width="7.26953125" style="32" bestFit="1" customWidth="1"/>
    <col min="9225" max="9225" width="19.7265625" style="32" bestFit="1" customWidth="1"/>
    <col min="9226" max="9226" width="7.26953125" style="32" bestFit="1" customWidth="1"/>
    <col min="9227" max="9227" width="26.81640625" style="32" bestFit="1" customWidth="1"/>
    <col min="9228" max="9228" width="19.81640625" style="32" bestFit="1" customWidth="1"/>
    <col min="9229" max="9463" width="11.453125" style="32"/>
    <col min="9464" max="9464" width="2.26953125" style="32" customWidth="1"/>
    <col min="9465" max="9465" width="49" style="32" customWidth="1"/>
    <col min="9466" max="9466" width="16.81640625" style="32" customWidth="1"/>
    <col min="9467" max="9467" width="1.1796875" style="32" customWidth="1"/>
    <col min="9468" max="9468" width="20.7265625" style="32" customWidth="1"/>
    <col min="9469" max="9469" width="17.7265625" style="32" customWidth="1"/>
    <col min="9470" max="9470" width="18.1796875" style="32" customWidth="1"/>
    <col min="9471" max="9471" width="17.1796875" style="32" customWidth="1"/>
    <col min="9472" max="9472" width="22.26953125" style="32" bestFit="1" customWidth="1"/>
    <col min="9473" max="9473" width="22.1796875" style="32" customWidth="1"/>
    <col min="9474" max="9474" width="17.81640625" style="32" customWidth="1"/>
    <col min="9475" max="9475" width="22.453125" style="32" customWidth="1"/>
    <col min="9476" max="9476" width="10.1796875" style="32" bestFit="1" customWidth="1"/>
    <col min="9477" max="9477" width="13.453125" style="32" customWidth="1"/>
    <col min="9478" max="9478" width="7.26953125" style="32" bestFit="1" customWidth="1"/>
    <col min="9479" max="9479" width="15.453125" style="32" bestFit="1" customWidth="1"/>
    <col min="9480" max="9480" width="7.26953125" style="32" bestFit="1" customWidth="1"/>
    <col min="9481" max="9481" width="19.7265625" style="32" bestFit="1" customWidth="1"/>
    <col min="9482" max="9482" width="7.26953125" style="32" bestFit="1" customWidth="1"/>
    <col min="9483" max="9483" width="26.81640625" style="32" bestFit="1" customWidth="1"/>
    <col min="9484" max="9484" width="19.81640625" style="32" bestFit="1" customWidth="1"/>
    <col min="9485" max="9719" width="11.453125" style="32"/>
    <col min="9720" max="9720" width="2.26953125" style="32" customWidth="1"/>
    <col min="9721" max="9721" width="49" style="32" customWidth="1"/>
    <col min="9722" max="9722" width="16.81640625" style="32" customWidth="1"/>
    <col min="9723" max="9723" width="1.1796875" style="32" customWidth="1"/>
    <col min="9724" max="9724" width="20.7265625" style="32" customWidth="1"/>
    <col min="9725" max="9725" width="17.7265625" style="32" customWidth="1"/>
    <col min="9726" max="9726" width="18.1796875" style="32" customWidth="1"/>
    <col min="9727" max="9727" width="17.1796875" style="32" customWidth="1"/>
    <col min="9728" max="9728" width="22.26953125" style="32" bestFit="1" customWidth="1"/>
    <col min="9729" max="9729" width="22.1796875" style="32" customWidth="1"/>
    <col min="9730" max="9730" width="17.81640625" style="32" customWidth="1"/>
    <col min="9731" max="9731" width="22.453125" style="32" customWidth="1"/>
    <col min="9732" max="9732" width="10.1796875" style="32" bestFit="1" customWidth="1"/>
    <col min="9733" max="9733" width="13.453125" style="32" customWidth="1"/>
    <col min="9734" max="9734" width="7.26953125" style="32" bestFit="1" customWidth="1"/>
    <col min="9735" max="9735" width="15.453125" style="32" bestFit="1" customWidth="1"/>
    <col min="9736" max="9736" width="7.26953125" style="32" bestFit="1" customWidth="1"/>
    <col min="9737" max="9737" width="19.7265625" style="32" bestFit="1" customWidth="1"/>
    <col min="9738" max="9738" width="7.26953125" style="32" bestFit="1" customWidth="1"/>
    <col min="9739" max="9739" width="26.81640625" style="32" bestFit="1" customWidth="1"/>
    <col min="9740" max="9740" width="19.81640625" style="32" bestFit="1" customWidth="1"/>
    <col min="9741" max="9975" width="11.453125" style="32"/>
    <col min="9976" max="9976" width="2.26953125" style="32" customWidth="1"/>
    <col min="9977" max="9977" width="49" style="32" customWidth="1"/>
    <col min="9978" max="9978" width="16.81640625" style="32" customWidth="1"/>
    <col min="9979" max="9979" width="1.1796875" style="32" customWidth="1"/>
    <col min="9980" max="9980" width="20.7265625" style="32" customWidth="1"/>
    <col min="9981" max="9981" width="17.7265625" style="32" customWidth="1"/>
    <col min="9982" max="9982" width="18.1796875" style="32" customWidth="1"/>
    <col min="9983" max="9983" width="17.1796875" style="32" customWidth="1"/>
    <col min="9984" max="9984" width="22.26953125" style="32" bestFit="1" customWidth="1"/>
    <col min="9985" max="9985" width="22.1796875" style="32" customWidth="1"/>
    <col min="9986" max="9986" width="17.81640625" style="32" customWidth="1"/>
    <col min="9987" max="9987" width="22.453125" style="32" customWidth="1"/>
    <col min="9988" max="9988" width="10.1796875" style="32" bestFit="1" customWidth="1"/>
    <col min="9989" max="9989" width="13.453125" style="32" customWidth="1"/>
    <col min="9990" max="9990" width="7.26953125" style="32" bestFit="1" customWidth="1"/>
    <col min="9991" max="9991" width="15.453125" style="32" bestFit="1" customWidth="1"/>
    <col min="9992" max="9992" width="7.26953125" style="32" bestFit="1" customWidth="1"/>
    <col min="9993" max="9993" width="19.7265625" style="32" bestFit="1" customWidth="1"/>
    <col min="9994" max="9994" width="7.26953125" style="32" bestFit="1" customWidth="1"/>
    <col min="9995" max="9995" width="26.81640625" style="32" bestFit="1" customWidth="1"/>
    <col min="9996" max="9996" width="19.81640625" style="32" bestFit="1" customWidth="1"/>
    <col min="9997" max="10231" width="11.453125" style="32"/>
    <col min="10232" max="10232" width="2.26953125" style="32" customWidth="1"/>
    <col min="10233" max="10233" width="49" style="32" customWidth="1"/>
    <col min="10234" max="10234" width="16.81640625" style="32" customWidth="1"/>
    <col min="10235" max="10235" width="1.1796875" style="32" customWidth="1"/>
    <col min="10236" max="10236" width="20.7265625" style="32" customWidth="1"/>
    <col min="10237" max="10237" width="17.7265625" style="32" customWidth="1"/>
    <col min="10238" max="10238" width="18.1796875" style="32" customWidth="1"/>
    <col min="10239" max="10239" width="17.1796875" style="32" customWidth="1"/>
    <col min="10240" max="10240" width="22.26953125" style="32" bestFit="1" customWidth="1"/>
    <col min="10241" max="10241" width="22.1796875" style="32" customWidth="1"/>
    <col min="10242" max="10242" width="17.81640625" style="32" customWidth="1"/>
    <col min="10243" max="10243" width="22.453125" style="32" customWidth="1"/>
    <col min="10244" max="10244" width="10.1796875" style="32" bestFit="1" customWidth="1"/>
    <col min="10245" max="10245" width="13.453125" style="32" customWidth="1"/>
    <col min="10246" max="10246" width="7.26953125" style="32" bestFit="1" customWidth="1"/>
    <col min="10247" max="10247" width="15.453125" style="32" bestFit="1" customWidth="1"/>
    <col min="10248" max="10248" width="7.26953125" style="32" bestFit="1" customWidth="1"/>
    <col min="10249" max="10249" width="19.7265625" style="32" bestFit="1" customWidth="1"/>
    <col min="10250" max="10250" width="7.26953125" style="32" bestFit="1" customWidth="1"/>
    <col min="10251" max="10251" width="26.81640625" style="32" bestFit="1" customWidth="1"/>
    <col min="10252" max="10252" width="19.81640625" style="32" bestFit="1" customWidth="1"/>
    <col min="10253" max="10487" width="11.453125" style="32"/>
    <col min="10488" max="10488" width="2.26953125" style="32" customWidth="1"/>
    <col min="10489" max="10489" width="49" style="32" customWidth="1"/>
    <col min="10490" max="10490" width="16.81640625" style="32" customWidth="1"/>
    <col min="10491" max="10491" width="1.1796875" style="32" customWidth="1"/>
    <col min="10492" max="10492" width="20.7265625" style="32" customWidth="1"/>
    <col min="10493" max="10493" width="17.7265625" style="32" customWidth="1"/>
    <col min="10494" max="10494" width="18.1796875" style="32" customWidth="1"/>
    <col min="10495" max="10495" width="17.1796875" style="32" customWidth="1"/>
    <col min="10496" max="10496" width="22.26953125" style="32" bestFit="1" customWidth="1"/>
    <col min="10497" max="10497" width="22.1796875" style="32" customWidth="1"/>
    <col min="10498" max="10498" width="17.81640625" style="32" customWidth="1"/>
    <col min="10499" max="10499" width="22.453125" style="32" customWidth="1"/>
    <col min="10500" max="10500" width="10.1796875" style="32" bestFit="1" customWidth="1"/>
    <col min="10501" max="10501" width="13.453125" style="32" customWidth="1"/>
    <col min="10502" max="10502" width="7.26953125" style="32" bestFit="1" customWidth="1"/>
    <col min="10503" max="10503" width="15.453125" style="32" bestFit="1" customWidth="1"/>
    <col min="10504" max="10504" width="7.26953125" style="32" bestFit="1" customWidth="1"/>
    <col min="10505" max="10505" width="19.7265625" style="32" bestFit="1" customWidth="1"/>
    <col min="10506" max="10506" width="7.26953125" style="32" bestFit="1" customWidth="1"/>
    <col min="10507" max="10507" width="26.81640625" style="32" bestFit="1" customWidth="1"/>
    <col min="10508" max="10508" width="19.81640625" style="32" bestFit="1" customWidth="1"/>
    <col min="10509" max="10743" width="11.453125" style="32"/>
    <col min="10744" max="10744" width="2.26953125" style="32" customWidth="1"/>
    <col min="10745" max="10745" width="49" style="32" customWidth="1"/>
    <col min="10746" max="10746" width="16.81640625" style="32" customWidth="1"/>
    <col min="10747" max="10747" width="1.1796875" style="32" customWidth="1"/>
    <col min="10748" max="10748" width="20.7265625" style="32" customWidth="1"/>
    <col min="10749" max="10749" width="17.7265625" style="32" customWidth="1"/>
    <col min="10750" max="10750" width="18.1796875" style="32" customWidth="1"/>
    <col min="10751" max="10751" width="17.1796875" style="32" customWidth="1"/>
    <col min="10752" max="10752" width="22.26953125" style="32" bestFit="1" customWidth="1"/>
    <col min="10753" max="10753" width="22.1796875" style="32" customWidth="1"/>
    <col min="10754" max="10754" width="17.81640625" style="32" customWidth="1"/>
    <col min="10755" max="10755" width="22.453125" style="32" customWidth="1"/>
    <col min="10756" max="10756" width="10.1796875" style="32" bestFit="1" customWidth="1"/>
    <col min="10757" max="10757" width="13.453125" style="32" customWidth="1"/>
    <col min="10758" max="10758" width="7.26953125" style="32" bestFit="1" customWidth="1"/>
    <col min="10759" max="10759" width="15.453125" style="32" bestFit="1" customWidth="1"/>
    <col min="10760" max="10760" width="7.26953125" style="32" bestFit="1" customWidth="1"/>
    <col min="10761" max="10761" width="19.7265625" style="32" bestFit="1" customWidth="1"/>
    <col min="10762" max="10762" width="7.26953125" style="32" bestFit="1" customWidth="1"/>
    <col min="10763" max="10763" width="26.81640625" style="32" bestFit="1" customWidth="1"/>
    <col min="10764" max="10764" width="19.81640625" style="32" bestFit="1" customWidth="1"/>
    <col min="10765" max="10999" width="11.453125" style="32"/>
    <col min="11000" max="11000" width="2.26953125" style="32" customWidth="1"/>
    <col min="11001" max="11001" width="49" style="32" customWidth="1"/>
    <col min="11002" max="11002" width="16.81640625" style="32" customWidth="1"/>
    <col min="11003" max="11003" width="1.1796875" style="32" customWidth="1"/>
    <col min="11004" max="11004" width="20.7265625" style="32" customWidth="1"/>
    <col min="11005" max="11005" width="17.7265625" style="32" customWidth="1"/>
    <col min="11006" max="11006" width="18.1796875" style="32" customWidth="1"/>
    <col min="11007" max="11007" width="17.1796875" style="32" customWidth="1"/>
    <col min="11008" max="11008" width="22.26953125" style="32" bestFit="1" customWidth="1"/>
    <col min="11009" max="11009" width="22.1796875" style="32" customWidth="1"/>
    <col min="11010" max="11010" width="17.81640625" style="32" customWidth="1"/>
    <col min="11011" max="11011" width="22.453125" style="32" customWidth="1"/>
    <col min="11012" max="11012" width="10.1796875" style="32" bestFit="1" customWidth="1"/>
    <col min="11013" max="11013" width="13.453125" style="32" customWidth="1"/>
    <col min="11014" max="11014" width="7.26953125" style="32" bestFit="1" customWidth="1"/>
    <col min="11015" max="11015" width="15.453125" style="32" bestFit="1" customWidth="1"/>
    <col min="11016" max="11016" width="7.26953125" style="32" bestFit="1" customWidth="1"/>
    <col min="11017" max="11017" width="19.7265625" style="32" bestFit="1" customWidth="1"/>
    <col min="11018" max="11018" width="7.26953125" style="32" bestFit="1" customWidth="1"/>
    <col min="11019" max="11019" width="26.81640625" style="32" bestFit="1" customWidth="1"/>
    <col min="11020" max="11020" width="19.81640625" style="32" bestFit="1" customWidth="1"/>
    <col min="11021" max="11255" width="11.453125" style="32"/>
    <col min="11256" max="11256" width="2.26953125" style="32" customWidth="1"/>
    <col min="11257" max="11257" width="49" style="32" customWidth="1"/>
    <col min="11258" max="11258" width="16.81640625" style="32" customWidth="1"/>
    <col min="11259" max="11259" width="1.1796875" style="32" customWidth="1"/>
    <col min="11260" max="11260" width="20.7265625" style="32" customWidth="1"/>
    <col min="11261" max="11261" width="17.7265625" style="32" customWidth="1"/>
    <col min="11262" max="11262" width="18.1796875" style="32" customWidth="1"/>
    <col min="11263" max="11263" width="17.1796875" style="32" customWidth="1"/>
    <col min="11264" max="11264" width="22.26953125" style="32" bestFit="1" customWidth="1"/>
    <col min="11265" max="11265" width="22.1796875" style="32" customWidth="1"/>
    <col min="11266" max="11266" width="17.81640625" style="32" customWidth="1"/>
    <col min="11267" max="11267" width="22.453125" style="32" customWidth="1"/>
    <col min="11268" max="11268" width="10.1796875" style="32" bestFit="1" customWidth="1"/>
    <col min="11269" max="11269" width="13.453125" style="32" customWidth="1"/>
    <col min="11270" max="11270" width="7.26953125" style="32" bestFit="1" customWidth="1"/>
    <col min="11271" max="11271" width="15.453125" style="32" bestFit="1" customWidth="1"/>
    <col min="11272" max="11272" width="7.26953125" style="32" bestFit="1" customWidth="1"/>
    <col min="11273" max="11273" width="19.7265625" style="32" bestFit="1" customWidth="1"/>
    <col min="11274" max="11274" width="7.26953125" style="32" bestFit="1" customWidth="1"/>
    <col min="11275" max="11275" width="26.81640625" style="32" bestFit="1" customWidth="1"/>
    <col min="11276" max="11276" width="19.81640625" style="32" bestFit="1" customWidth="1"/>
    <col min="11277" max="11511" width="11.453125" style="32"/>
    <col min="11512" max="11512" width="2.26953125" style="32" customWidth="1"/>
    <col min="11513" max="11513" width="49" style="32" customWidth="1"/>
    <col min="11514" max="11514" width="16.81640625" style="32" customWidth="1"/>
    <col min="11515" max="11515" width="1.1796875" style="32" customWidth="1"/>
    <col min="11516" max="11516" width="20.7265625" style="32" customWidth="1"/>
    <col min="11517" max="11517" width="17.7265625" style="32" customWidth="1"/>
    <col min="11518" max="11518" width="18.1796875" style="32" customWidth="1"/>
    <col min="11519" max="11519" width="17.1796875" style="32" customWidth="1"/>
    <col min="11520" max="11520" width="22.26953125" style="32" bestFit="1" customWidth="1"/>
    <col min="11521" max="11521" width="22.1796875" style="32" customWidth="1"/>
    <col min="11522" max="11522" width="17.81640625" style="32" customWidth="1"/>
    <col min="11523" max="11523" width="22.453125" style="32" customWidth="1"/>
    <col min="11524" max="11524" width="10.1796875" style="32" bestFit="1" customWidth="1"/>
    <col min="11525" max="11525" width="13.453125" style="32" customWidth="1"/>
    <col min="11526" max="11526" width="7.26953125" style="32" bestFit="1" customWidth="1"/>
    <col min="11527" max="11527" width="15.453125" style="32" bestFit="1" customWidth="1"/>
    <col min="11528" max="11528" width="7.26953125" style="32" bestFit="1" customWidth="1"/>
    <col min="11529" max="11529" width="19.7265625" style="32" bestFit="1" customWidth="1"/>
    <col min="11530" max="11530" width="7.26953125" style="32" bestFit="1" customWidth="1"/>
    <col min="11531" max="11531" width="26.81640625" style="32" bestFit="1" customWidth="1"/>
    <col min="11532" max="11532" width="19.81640625" style="32" bestFit="1" customWidth="1"/>
    <col min="11533" max="11767" width="11.453125" style="32"/>
    <col min="11768" max="11768" width="2.26953125" style="32" customWidth="1"/>
    <col min="11769" max="11769" width="49" style="32" customWidth="1"/>
    <col min="11770" max="11770" width="16.81640625" style="32" customWidth="1"/>
    <col min="11771" max="11771" width="1.1796875" style="32" customWidth="1"/>
    <col min="11772" max="11772" width="20.7265625" style="32" customWidth="1"/>
    <col min="11773" max="11773" width="17.7265625" style="32" customWidth="1"/>
    <col min="11774" max="11774" width="18.1796875" style="32" customWidth="1"/>
    <col min="11775" max="11775" width="17.1796875" style="32" customWidth="1"/>
    <col min="11776" max="11776" width="22.26953125" style="32" bestFit="1" customWidth="1"/>
    <col min="11777" max="11777" width="22.1796875" style="32" customWidth="1"/>
    <col min="11778" max="11778" width="17.81640625" style="32" customWidth="1"/>
    <col min="11779" max="11779" width="22.453125" style="32" customWidth="1"/>
    <col min="11780" max="11780" width="10.1796875" style="32" bestFit="1" customWidth="1"/>
    <col min="11781" max="11781" width="13.453125" style="32" customWidth="1"/>
    <col min="11782" max="11782" width="7.26953125" style="32" bestFit="1" customWidth="1"/>
    <col min="11783" max="11783" width="15.453125" style="32" bestFit="1" customWidth="1"/>
    <col min="11784" max="11784" width="7.26953125" style="32" bestFit="1" customWidth="1"/>
    <col min="11785" max="11785" width="19.7265625" style="32" bestFit="1" customWidth="1"/>
    <col min="11786" max="11786" width="7.26953125" style="32" bestFit="1" customWidth="1"/>
    <col min="11787" max="11787" width="26.81640625" style="32" bestFit="1" customWidth="1"/>
    <col min="11788" max="11788" width="19.81640625" style="32" bestFit="1" customWidth="1"/>
    <col min="11789" max="12023" width="11.453125" style="32"/>
    <col min="12024" max="12024" width="2.26953125" style="32" customWidth="1"/>
    <col min="12025" max="12025" width="49" style="32" customWidth="1"/>
    <col min="12026" max="12026" width="16.81640625" style="32" customWidth="1"/>
    <col min="12027" max="12027" width="1.1796875" style="32" customWidth="1"/>
    <col min="12028" max="12028" width="20.7265625" style="32" customWidth="1"/>
    <col min="12029" max="12029" width="17.7265625" style="32" customWidth="1"/>
    <col min="12030" max="12030" width="18.1796875" style="32" customWidth="1"/>
    <col min="12031" max="12031" width="17.1796875" style="32" customWidth="1"/>
    <col min="12032" max="12032" width="22.26953125" style="32" bestFit="1" customWidth="1"/>
    <col min="12033" max="12033" width="22.1796875" style="32" customWidth="1"/>
    <col min="12034" max="12034" width="17.81640625" style="32" customWidth="1"/>
    <col min="12035" max="12035" width="22.453125" style="32" customWidth="1"/>
    <col min="12036" max="12036" width="10.1796875" style="32" bestFit="1" customWidth="1"/>
    <col min="12037" max="12037" width="13.453125" style="32" customWidth="1"/>
    <col min="12038" max="12038" width="7.26953125" style="32" bestFit="1" customWidth="1"/>
    <col min="12039" max="12039" width="15.453125" style="32" bestFit="1" customWidth="1"/>
    <col min="12040" max="12040" width="7.26953125" style="32" bestFit="1" customWidth="1"/>
    <col min="12041" max="12041" width="19.7265625" style="32" bestFit="1" customWidth="1"/>
    <col min="12042" max="12042" width="7.26953125" style="32" bestFit="1" customWidth="1"/>
    <col min="12043" max="12043" width="26.81640625" style="32" bestFit="1" customWidth="1"/>
    <col min="12044" max="12044" width="19.81640625" style="32" bestFit="1" customWidth="1"/>
    <col min="12045" max="12279" width="11.453125" style="32"/>
    <col min="12280" max="12280" width="2.26953125" style="32" customWidth="1"/>
    <col min="12281" max="12281" width="49" style="32" customWidth="1"/>
    <col min="12282" max="12282" width="16.81640625" style="32" customWidth="1"/>
    <col min="12283" max="12283" width="1.1796875" style="32" customWidth="1"/>
    <col min="12284" max="12284" width="20.7265625" style="32" customWidth="1"/>
    <col min="12285" max="12285" width="17.7265625" style="32" customWidth="1"/>
    <col min="12286" max="12286" width="18.1796875" style="32" customWidth="1"/>
    <col min="12287" max="12287" width="17.1796875" style="32" customWidth="1"/>
    <col min="12288" max="12288" width="22.26953125" style="32" bestFit="1" customWidth="1"/>
    <col min="12289" max="12289" width="22.1796875" style="32" customWidth="1"/>
    <col min="12290" max="12290" width="17.81640625" style="32" customWidth="1"/>
    <col min="12291" max="12291" width="22.453125" style="32" customWidth="1"/>
    <col min="12292" max="12292" width="10.1796875" style="32" bestFit="1" customWidth="1"/>
    <col min="12293" max="12293" width="13.453125" style="32" customWidth="1"/>
    <col min="12294" max="12294" width="7.26953125" style="32" bestFit="1" customWidth="1"/>
    <col min="12295" max="12295" width="15.453125" style="32" bestFit="1" customWidth="1"/>
    <col min="12296" max="12296" width="7.26953125" style="32" bestFit="1" customWidth="1"/>
    <col min="12297" max="12297" width="19.7265625" style="32" bestFit="1" customWidth="1"/>
    <col min="12298" max="12298" width="7.26953125" style="32" bestFit="1" customWidth="1"/>
    <col min="12299" max="12299" width="26.81640625" style="32" bestFit="1" customWidth="1"/>
    <col min="12300" max="12300" width="19.81640625" style="32" bestFit="1" customWidth="1"/>
    <col min="12301" max="12535" width="11.453125" style="32"/>
    <col min="12536" max="12536" width="2.26953125" style="32" customWidth="1"/>
    <col min="12537" max="12537" width="49" style="32" customWidth="1"/>
    <col min="12538" max="12538" width="16.81640625" style="32" customWidth="1"/>
    <col min="12539" max="12539" width="1.1796875" style="32" customWidth="1"/>
    <col min="12540" max="12540" width="20.7265625" style="32" customWidth="1"/>
    <col min="12541" max="12541" width="17.7265625" style="32" customWidth="1"/>
    <col min="12542" max="12542" width="18.1796875" style="32" customWidth="1"/>
    <col min="12543" max="12543" width="17.1796875" style="32" customWidth="1"/>
    <col min="12544" max="12544" width="22.26953125" style="32" bestFit="1" customWidth="1"/>
    <col min="12545" max="12545" width="22.1796875" style="32" customWidth="1"/>
    <col min="12546" max="12546" width="17.81640625" style="32" customWidth="1"/>
    <col min="12547" max="12547" width="22.453125" style="32" customWidth="1"/>
    <col min="12548" max="12548" width="10.1796875" style="32" bestFit="1" customWidth="1"/>
    <col min="12549" max="12549" width="13.453125" style="32" customWidth="1"/>
    <col min="12550" max="12550" width="7.26953125" style="32" bestFit="1" customWidth="1"/>
    <col min="12551" max="12551" width="15.453125" style="32" bestFit="1" customWidth="1"/>
    <col min="12552" max="12552" width="7.26953125" style="32" bestFit="1" customWidth="1"/>
    <col min="12553" max="12553" width="19.7265625" style="32" bestFit="1" customWidth="1"/>
    <col min="12554" max="12554" width="7.26953125" style="32" bestFit="1" customWidth="1"/>
    <col min="12555" max="12555" width="26.81640625" style="32" bestFit="1" customWidth="1"/>
    <col min="12556" max="12556" width="19.81640625" style="32" bestFit="1" customWidth="1"/>
    <col min="12557" max="12791" width="11.453125" style="32"/>
    <col min="12792" max="12792" width="2.26953125" style="32" customWidth="1"/>
    <col min="12793" max="12793" width="49" style="32" customWidth="1"/>
    <col min="12794" max="12794" width="16.81640625" style="32" customWidth="1"/>
    <col min="12795" max="12795" width="1.1796875" style="32" customWidth="1"/>
    <col min="12796" max="12796" width="20.7265625" style="32" customWidth="1"/>
    <col min="12797" max="12797" width="17.7265625" style="32" customWidth="1"/>
    <col min="12798" max="12798" width="18.1796875" style="32" customWidth="1"/>
    <col min="12799" max="12799" width="17.1796875" style="32" customWidth="1"/>
    <col min="12800" max="12800" width="22.26953125" style="32" bestFit="1" customWidth="1"/>
    <col min="12801" max="12801" width="22.1796875" style="32" customWidth="1"/>
    <col min="12802" max="12802" width="17.81640625" style="32" customWidth="1"/>
    <col min="12803" max="12803" width="22.453125" style="32" customWidth="1"/>
    <col min="12804" max="12804" width="10.1796875" style="32" bestFit="1" customWidth="1"/>
    <col min="12805" max="12805" width="13.453125" style="32" customWidth="1"/>
    <col min="12806" max="12806" width="7.26953125" style="32" bestFit="1" customWidth="1"/>
    <col min="12807" max="12807" width="15.453125" style="32" bestFit="1" customWidth="1"/>
    <col min="12808" max="12808" width="7.26953125" style="32" bestFit="1" customWidth="1"/>
    <col min="12809" max="12809" width="19.7265625" style="32" bestFit="1" customWidth="1"/>
    <col min="12810" max="12810" width="7.26953125" style="32" bestFit="1" customWidth="1"/>
    <col min="12811" max="12811" width="26.81640625" style="32" bestFit="1" customWidth="1"/>
    <col min="12812" max="12812" width="19.81640625" style="32" bestFit="1" customWidth="1"/>
    <col min="12813" max="13047" width="11.453125" style="32"/>
    <col min="13048" max="13048" width="2.26953125" style="32" customWidth="1"/>
    <col min="13049" max="13049" width="49" style="32" customWidth="1"/>
    <col min="13050" max="13050" width="16.81640625" style="32" customWidth="1"/>
    <col min="13051" max="13051" width="1.1796875" style="32" customWidth="1"/>
    <col min="13052" max="13052" width="20.7265625" style="32" customWidth="1"/>
    <col min="13053" max="13053" width="17.7265625" style="32" customWidth="1"/>
    <col min="13054" max="13054" width="18.1796875" style="32" customWidth="1"/>
    <col min="13055" max="13055" width="17.1796875" style="32" customWidth="1"/>
    <col min="13056" max="13056" width="22.26953125" style="32" bestFit="1" customWidth="1"/>
    <col min="13057" max="13057" width="22.1796875" style="32" customWidth="1"/>
    <col min="13058" max="13058" width="17.81640625" style="32" customWidth="1"/>
    <col min="13059" max="13059" width="22.453125" style="32" customWidth="1"/>
    <col min="13060" max="13060" width="10.1796875" style="32" bestFit="1" customWidth="1"/>
    <col min="13061" max="13061" width="13.453125" style="32" customWidth="1"/>
    <col min="13062" max="13062" width="7.26953125" style="32" bestFit="1" customWidth="1"/>
    <col min="13063" max="13063" width="15.453125" style="32" bestFit="1" customWidth="1"/>
    <col min="13064" max="13064" width="7.26953125" style="32" bestFit="1" customWidth="1"/>
    <col min="13065" max="13065" width="19.7265625" style="32" bestFit="1" customWidth="1"/>
    <col min="13066" max="13066" width="7.26953125" style="32" bestFit="1" customWidth="1"/>
    <col min="13067" max="13067" width="26.81640625" style="32" bestFit="1" customWidth="1"/>
    <col min="13068" max="13068" width="19.81640625" style="32" bestFit="1" customWidth="1"/>
    <col min="13069" max="13303" width="11.453125" style="32"/>
    <col min="13304" max="13304" width="2.26953125" style="32" customWidth="1"/>
    <col min="13305" max="13305" width="49" style="32" customWidth="1"/>
    <col min="13306" max="13306" width="16.81640625" style="32" customWidth="1"/>
    <col min="13307" max="13307" width="1.1796875" style="32" customWidth="1"/>
    <col min="13308" max="13308" width="20.7265625" style="32" customWidth="1"/>
    <col min="13309" max="13309" width="17.7265625" style="32" customWidth="1"/>
    <col min="13310" max="13310" width="18.1796875" style="32" customWidth="1"/>
    <col min="13311" max="13311" width="17.1796875" style="32" customWidth="1"/>
    <col min="13312" max="13312" width="22.26953125" style="32" bestFit="1" customWidth="1"/>
    <col min="13313" max="13313" width="22.1796875" style="32" customWidth="1"/>
    <col min="13314" max="13314" width="17.81640625" style="32" customWidth="1"/>
    <col min="13315" max="13315" width="22.453125" style="32" customWidth="1"/>
    <col min="13316" max="13316" width="10.1796875" style="32" bestFit="1" customWidth="1"/>
    <col min="13317" max="13317" width="13.453125" style="32" customWidth="1"/>
    <col min="13318" max="13318" width="7.26953125" style="32" bestFit="1" customWidth="1"/>
    <col min="13319" max="13319" width="15.453125" style="32" bestFit="1" customWidth="1"/>
    <col min="13320" max="13320" width="7.26953125" style="32" bestFit="1" customWidth="1"/>
    <col min="13321" max="13321" width="19.7265625" style="32" bestFit="1" customWidth="1"/>
    <col min="13322" max="13322" width="7.26953125" style="32" bestFit="1" customWidth="1"/>
    <col min="13323" max="13323" width="26.81640625" style="32" bestFit="1" customWidth="1"/>
    <col min="13324" max="13324" width="19.81640625" style="32" bestFit="1" customWidth="1"/>
    <col min="13325" max="13559" width="11.453125" style="32"/>
    <col min="13560" max="13560" width="2.26953125" style="32" customWidth="1"/>
    <col min="13561" max="13561" width="49" style="32" customWidth="1"/>
    <col min="13562" max="13562" width="16.81640625" style="32" customWidth="1"/>
    <col min="13563" max="13563" width="1.1796875" style="32" customWidth="1"/>
    <col min="13564" max="13564" width="20.7265625" style="32" customWidth="1"/>
    <col min="13565" max="13565" width="17.7265625" style="32" customWidth="1"/>
    <col min="13566" max="13566" width="18.1796875" style="32" customWidth="1"/>
    <col min="13567" max="13567" width="17.1796875" style="32" customWidth="1"/>
    <col min="13568" max="13568" width="22.26953125" style="32" bestFit="1" customWidth="1"/>
    <col min="13569" max="13569" width="22.1796875" style="32" customWidth="1"/>
    <col min="13570" max="13570" width="17.81640625" style="32" customWidth="1"/>
    <col min="13571" max="13571" width="22.453125" style="32" customWidth="1"/>
    <col min="13572" max="13572" width="10.1796875" style="32" bestFit="1" customWidth="1"/>
    <col min="13573" max="13573" width="13.453125" style="32" customWidth="1"/>
    <col min="13574" max="13574" width="7.26953125" style="32" bestFit="1" customWidth="1"/>
    <col min="13575" max="13575" width="15.453125" style="32" bestFit="1" customWidth="1"/>
    <col min="13576" max="13576" width="7.26953125" style="32" bestFit="1" customWidth="1"/>
    <col min="13577" max="13577" width="19.7265625" style="32" bestFit="1" customWidth="1"/>
    <col min="13578" max="13578" width="7.26953125" style="32" bestFit="1" customWidth="1"/>
    <col min="13579" max="13579" width="26.81640625" style="32" bestFit="1" customWidth="1"/>
    <col min="13580" max="13580" width="19.81640625" style="32" bestFit="1" customWidth="1"/>
    <col min="13581" max="13815" width="11.453125" style="32"/>
    <col min="13816" max="13816" width="2.26953125" style="32" customWidth="1"/>
    <col min="13817" max="13817" width="49" style="32" customWidth="1"/>
    <col min="13818" max="13818" width="16.81640625" style="32" customWidth="1"/>
    <col min="13819" max="13819" width="1.1796875" style="32" customWidth="1"/>
    <col min="13820" max="13820" width="20.7265625" style="32" customWidth="1"/>
    <col min="13821" max="13821" width="17.7265625" style="32" customWidth="1"/>
    <col min="13822" max="13822" width="18.1796875" style="32" customWidth="1"/>
    <col min="13823" max="13823" width="17.1796875" style="32" customWidth="1"/>
    <col min="13824" max="13824" width="22.26953125" style="32" bestFit="1" customWidth="1"/>
    <col min="13825" max="13825" width="22.1796875" style="32" customWidth="1"/>
    <col min="13826" max="13826" width="17.81640625" style="32" customWidth="1"/>
    <col min="13827" max="13827" width="22.453125" style="32" customWidth="1"/>
    <col min="13828" max="13828" width="10.1796875" style="32" bestFit="1" customWidth="1"/>
    <col min="13829" max="13829" width="13.453125" style="32" customWidth="1"/>
    <col min="13830" max="13830" width="7.26953125" style="32" bestFit="1" customWidth="1"/>
    <col min="13831" max="13831" width="15.453125" style="32" bestFit="1" customWidth="1"/>
    <col min="13832" max="13832" width="7.26953125" style="32" bestFit="1" customWidth="1"/>
    <col min="13833" max="13833" width="19.7265625" style="32" bestFit="1" customWidth="1"/>
    <col min="13834" max="13834" width="7.26953125" style="32" bestFit="1" customWidth="1"/>
    <col min="13835" max="13835" width="26.81640625" style="32" bestFit="1" customWidth="1"/>
    <col min="13836" max="13836" width="19.81640625" style="32" bestFit="1" customWidth="1"/>
    <col min="13837" max="14071" width="11.453125" style="32"/>
    <col min="14072" max="14072" width="2.26953125" style="32" customWidth="1"/>
    <col min="14073" max="14073" width="49" style="32" customWidth="1"/>
    <col min="14074" max="14074" width="16.81640625" style="32" customWidth="1"/>
    <col min="14075" max="14075" width="1.1796875" style="32" customWidth="1"/>
    <col min="14076" max="14076" width="20.7265625" style="32" customWidth="1"/>
    <col min="14077" max="14077" width="17.7265625" style="32" customWidth="1"/>
    <col min="14078" max="14078" width="18.1796875" style="32" customWidth="1"/>
    <col min="14079" max="14079" width="17.1796875" style="32" customWidth="1"/>
    <col min="14080" max="14080" width="22.26953125" style="32" bestFit="1" customWidth="1"/>
    <col min="14081" max="14081" width="22.1796875" style="32" customWidth="1"/>
    <col min="14082" max="14082" width="17.81640625" style="32" customWidth="1"/>
    <col min="14083" max="14083" width="22.453125" style="32" customWidth="1"/>
    <col min="14084" max="14084" width="10.1796875" style="32" bestFit="1" customWidth="1"/>
    <col min="14085" max="14085" width="13.453125" style="32" customWidth="1"/>
    <col min="14086" max="14086" width="7.26953125" style="32" bestFit="1" customWidth="1"/>
    <col min="14087" max="14087" width="15.453125" style="32" bestFit="1" customWidth="1"/>
    <col min="14088" max="14088" width="7.26953125" style="32" bestFit="1" customWidth="1"/>
    <col min="14089" max="14089" width="19.7265625" style="32" bestFit="1" customWidth="1"/>
    <col min="14090" max="14090" width="7.26953125" style="32" bestFit="1" customWidth="1"/>
    <col min="14091" max="14091" width="26.81640625" style="32" bestFit="1" customWidth="1"/>
    <col min="14092" max="14092" width="19.81640625" style="32" bestFit="1" customWidth="1"/>
    <col min="14093" max="14327" width="11.453125" style="32"/>
    <col min="14328" max="14328" width="2.26953125" style="32" customWidth="1"/>
    <col min="14329" max="14329" width="49" style="32" customWidth="1"/>
    <col min="14330" max="14330" width="16.81640625" style="32" customWidth="1"/>
    <col min="14331" max="14331" width="1.1796875" style="32" customWidth="1"/>
    <col min="14332" max="14332" width="20.7265625" style="32" customWidth="1"/>
    <col min="14333" max="14333" width="17.7265625" style="32" customWidth="1"/>
    <col min="14334" max="14334" width="18.1796875" style="32" customWidth="1"/>
    <col min="14335" max="14335" width="17.1796875" style="32" customWidth="1"/>
    <col min="14336" max="14336" width="22.26953125" style="32" bestFit="1" customWidth="1"/>
    <col min="14337" max="14337" width="22.1796875" style="32" customWidth="1"/>
    <col min="14338" max="14338" width="17.81640625" style="32" customWidth="1"/>
    <col min="14339" max="14339" width="22.453125" style="32" customWidth="1"/>
    <col min="14340" max="14340" width="10.1796875" style="32" bestFit="1" customWidth="1"/>
    <col min="14341" max="14341" width="13.453125" style="32" customWidth="1"/>
    <col min="14342" max="14342" width="7.26953125" style="32" bestFit="1" customWidth="1"/>
    <col min="14343" max="14343" width="15.453125" style="32" bestFit="1" customWidth="1"/>
    <col min="14344" max="14344" width="7.26953125" style="32" bestFit="1" customWidth="1"/>
    <col min="14345" max="14345" width="19.7265625" style="32" bestFit="1" customWidth="1"/>
    <col min="14346" max="14346" width="7.26953125" style="32" bestFit="1" customWidth="1"/>
    <col min="14347" max="14347" width="26.81640625" style="32" bestFit="1" customWidth="1"/>
    <col min="14348" max="14348" width="19.81640625" style="32" bestFit="1" customWidth="1"/>
    <col min="14349" max="14583" width="11.453125" style="32"/>
    <col min="14584" max="14584" width="2.26953125" style="32" customWidth="1"/>
    <col min="14585" max="14585" width="49" style="32" customWidth="1"/>
    <col min="14586" max="14586" width="16.81640625" style="32" customWidth="1"/>
    <col min="14587" max="14587" width="1.1796875" style="32" customWidth="1"/>
    <col min="14588" max="14588" width="20.7265625" style="32" customWidth="1"/>
    <col min="14589" max="14589" width="17.7265625" style="32" customWidth="1"/>
    <col min="14590" max="14590" width="18.1796875" style="32" customWidth="1"/>
    <col min="14591" max="14591" width="17.1796875" style="32" customWidth="1"/>
    <col min="14592" max="14592" width="22.26953125" style="32" bestFit="1" customWidth="1"/>
    <col min="14593" max="14593" width="22.1796875" style="32" customWidth="1"/>
    <col min="14594" max="14594" width="17.81640625" style="32" customWidth="1"/>
    <col min="14595" max="14595" width="22.453125" style="32" customWidth="1"/>
    <col min="14596" max="14596" width="10.1796875" style="32" bestFit="1" customWidth="1"/>
    <col min="14597" max="14597" width="13.453125" style="32" customWidth="1"/>
    <col min="14598" max="14598" width="7.26953125" style="32" bestFit="1" customWidth="1"/>
    <col min="14599" max="14599" width="15.453125" style="32" bestFit="1" customWidth="1"/>
    <col min="14600" max="14600" width="7.26953125" style="32" bestFit="1" customWidth="1"/>
    <col min="14601" max="14601" width="19.7265625" style="32" bestFit="1" customWidth="1"/>
    <col min="14602" max="14602" width="7.26953125" style="32" bestFit="1" customWidth="1"/>
    <col min="14603" max="14603" width="26.81640625" style="32" bestFit="1" customWidth="1"/>
    <col min="14604" max="14604" width="19.81640625" style="32" bestFit="1" customWidth="1"/>
    <col min="14605" max="14839" width="11.453125" style="32"/>
    <col min="14840" max="14840" width="2.26953125" style="32" customWidth="1"/>
    <col min="14841" max="14841" width="49" style="32" customWidth="1"/>
    <col min="14842" max="14842" width="16.81640625" style="32" customWidth="1"/>
    <col min="14843" max="14843" width="1.1796875" style="32" customWidth="1"/>
    <col min="14844" max="14844" width="20.7265625" style="32" customWidth="1"/>
    <col min="14845" max="14845" width="17.7265625" style="32" customWidth="1"/>
    <col min="14846" max="14846" width="18.1796875" style="32" customWidth="1"/>
    <col min="14847" max="14847" width="17.1796875" style="32" customWidth="1"/>
    <col min="14848" max="14848" width="22.26953125" style="32" bestFit="1" customWidth="1"/>
    <col min="14849" max="14849" width="22.1796875" style="32" customWidth="1"/>
    <col min="14850" max="14850" width="17.81640625" style="32" customWidth="1"/>
    <col min="14851" max="14851" width="22.453125" style="32" customWidth="1"/>
    <col min="14852" max="14852" width="10.1796875" style="32" bestFit="1" customWidth="1"/>
    <col min="14853" max="14853" width="13.453125" style="32" customWidth="1"/>
    <col min="14854" max="14854" width="7.26953125" style="32" bestFit="1" customWidth="1"/>
    <col min="14855" max="14855" width="15.453125" style="32" bestFit="1" customWidth="1"/>
    <col min="14856" max="14856" width="7.26953125" style="32" bestFit="1" customWidth="1"/>
    <col min="14857" max="14857" width="19.7265625" style="32" bestFit="1" customWidth="1"/>
    <col min="14858" max="14858" width="7.26953125" style="32" bestFit="1" customWidth="1"/>
    <col min="14859" max="14859" width="26.81640625" style="32" bestFit="1" customWidth="1"/>
    <col min="14860" max="14860" width="19.81640625" style="32" bestFit="1" customWidth="1"/>
    <col min="14861" max="15095" width="11.453125" style="32"/>
    <col min="15096" max="15096" width="2.26953125" style="32" customWidth="1"/>
    <col min="15097" max="15097" width="49" style="32" customWidth="1"/>
    <col min="15098" max="15098" width="16.81640625" style="32" customWidth="1"/>
    <col min="15099" max="15099" width="1.1796875" style="32" customWidth="1"/>
    <col min="15100" max="15100" width="20.7265625" style="32" customWidth="1"/>
    <col min="15101" max="15101" width="17.7265625" style="32" customWidth="1"/>
    <col min="15102" max="15102" width="18.1796875" style="32" customWidth="1"/>
    <col min="15103" max="15103" width="17.1796875" style="32" customWidth="1"/>
    <col min="15104" max="15104" width="22.26953125" style="32" bestFit="1" customWidth="1"/>
    <col min="15105" max="15105" width="22.1796875" style="32" customWidth="1"/>
    <col min="15106" max="15106" width="17.81640625" style="32" customWidth="1"/>
    <col min="15107" max="15107" width="22.453125" style="32" customWidth="1"/>
    <col min="15108" max="15108" width="10.1796875" style="32" bestFit="1" customWidth="1"/>
    <col min="15109" max="15109" width="13.453125" style="32" customWidth="1"/>
    <col min="15110" max="15110" width="7.26953125" style="32" bestFit="1" customWidth="1"/>
    <col min="15111" max="15111" width="15.453125" style="32" bestFit="1" customWidth="1"/>
    <col min="15112" max="15112" width="7.26953125" style="32" bestFit="1" customWidth="1"/>
    <col min="15113" max="15113" width="19.7265625" style="32" bestFit="1" customWidth="1"/>
    <col min="15114" max="15114" width="7.26953125" style="32" bestFit="1" customWidth="1"/>
    <col min="15115" max="15115" width="26.81640625" style="32" bestFit="1" customWidth="1"/>
    <col min="15116" max="15116" width="19.81640625" style="32" bestFit="1" customWidth="1"/>
    <col min="15117" max="15351" width="11.453125" style="32"/>
    <col min="15352" max="15352" width="2.26953125" style="32" customWidth="1"/>
    <col min="15353" max="15353" width="49" style="32" customWidth="1"/>
    <col min="15354" max="15354" width="16.81640625" style="32" customWidth="1"/>
    <col min="15355" max="15355" width="1.1796875" style="32" customWidth="1"/>
    <col min="15356" max="15356" width="20.7265625" style="32" customWidth="1"/>
    <col min="15357" max="15357" width="17.7265625" style="32" customWidth="1"/>
    <col min="15358" max="15358" width="18.1796875" style="32" customWidth="1"/>
    <col min="15359" max="15359" width="17.1796875" style="32" customWidth="1"/>
    <col min="15360" max="15360" width="22.26953125" style="32" bestFit="1" customWidth="1"/>
    <col min="15361" max="15361" width="22.1796875" style="32" customWidth="1"/>
    <col min="15362" max="15362" width="17.81640625" style="32" customWidth="1"/>
    <col min="15363" max="15363" width="22.453125" style="32" customWidth="1"/>
    <col min="15364" max="15364" width="10.1796875" style="32" bestFit="1" customWidth="1"/>
    <col min="15365" max="15365" width="13.453125" style="32" customWidth="1"/>
    <col min="15366" max="15366" width="7.26953125" style="32" bestFit="1" customWidth="1"/>
    <col min="15367" max="15367" width="15.453125" style="32" bestFit="1" customWidth="1"/>
    <col min="15368" max="15368" width="7.26953125" style="32" bestFit="1" customWidth="1"/>
    <col min="15369" max="15369" width="19.7265625" style="32" bestFit="1" customWidth="1"/>
    <col min="15370" max="15370" width="7.26953125" style="32" bestFit="1" customWidth="1"/>
    <col min="15371" max="15371" width="26.81640625" style="32" bestFit="1" customWidth="1"/>
    <col min="15372" max="15372" width="19.81640625" style="32" bestFit="1" customWidth="1"/>
    <col min="15373" max="15607" width="11.453125" style="32"/>
    <col min="15608" max="15608" width="2.26953125" style="32" customWidth="1"/>
    <col min="15609" max="15609" width="49" style="32" customWidth="1"/>
    <col min="15610" max="15610" width="16.81640625" style="32" customWidth="1"/>
    <col min="15611" max="15611" width="1.1796875" style="32" customWidth="1"/>
    <col min="15612" max="15612" width="20.7265625" style="32" customWidth="1"/>
    <col min="15613" max="15613" width="17.7265625" style="32" customWidth="1"/>
    <col min="15614" max="15614" width="18.1796875" style="32" customWidth="1"/>
    <col min="15615" max="15615" width="17.1796875" style="32" customWidth="1"/>
    <col min="15616" max="15616" width="22.26953125" style="32" bestFit="1" customWidth="1"/>
    <col min="15617" max="15617" width="22.1796875" style="32" customWidth="1"/>
    <col min="15618" max="15618" width="17.81640625" style="32" customWidth="1"/>
    <col min="15619" max="15619" width="22.453125" style="32" customWidth="1"/>
    <col min="15620" max="15620" width="10.1796875" style="32" bestFit="1" customWidth="1"/>
    <col min="15621" max="15621" width="13.453125" style="32" customWidth="1"/>
    <col min="15622" max="15622" width="7.26953125" style="32" bestFit="1" customWidth="1"/>
    <col min="15623" max="15623" width="15.453125" style="32" bestFit="1" customWidth="1"/>
    <col min="15624" max="15624" width="7.26953125" style="32" bestFit="1" customWidth="1"/>
    <col min="15625" max="15625" width="19.7265625" style="32" bestFit="1" customWidth="1"/>
    <col min="15626" max="15626" width="7.26953125" style="32" bestFit="1" customWidth="1"/>
    <col min="15627" max="15627" width="26.81640625" style="32" bestFit="1" customWidth="1"/>
    <col min="15628" max="15628" width="19.81640625" style="32" bestFit="1" customWidth="1"/>
    <col min="15629" max="15863" width="11.453125" style="32"/>
    <col min="15864" max="15864" width="2.26953125" style="32" customWidth="1"/>
    <col min="15865" max="15865" width="49" style="32" customWidth="1"/>
    <col min="15866" max="15866" width="16.81640625" style="32" customWidth="1"/>
    <col min="15867" max="15867" width="1.1796875" style="32" customWidth="1"/>
    <col min="15868" max="15868" width="20.7265625" style="32" customWidth="1"/>
    <col min="15869" max="15869" width="17.7265625" style="32" customWidth="1"/>
    <col min="15870" max="15870" width="18.1796875" style="32" customWidth="1"/>
    <col min="15871" max="15871" width="17.1796875" style="32" customWidth="1"/>
    <col min="15872" max="15872" width="22.26953125" style="32" bestFit="1" customWidth="1"/>
    <col min="15873" max="15873" width="22.1796875" style="32" customWidth="1"/>
    <col min="15874" max="15874" width="17.81640625" style="32" customWidth="1"/>
    <col min="15875" max="15875" width="22.453125" style="32" customWidth="1"/>
    <col min="15876" max="15876" width="10.1796875" style="32" bestFit="1" customWidth="1"/>
    <col min="15877" max="15877" width="13.453125" style="32" customWidth="1"/>
    <col min="15878" max="15878" width="7.26953125" style="32" bestFit="1" customWidth="1"/>
    <col min="15879" max="15879" width="15.453125" style="32" bestFit="1" customWidth="1"/>
    <col min="15880" max="15880" width="7.26953125" style="32" bestFit="1" customWidth="1"/>
    <col min="15881" max="15881" width="19.7265625" style="32" bestFit="1" customWidth="1"/>
    <col min="15882" max="15882" width="7.26953125" style="32" bestFit="1" customWidth="1"/>
    <col min="15883" max="15883" width="26.81640625" style="32" bestFit="1" customWidth="1"/>
    <col min="15884" max="15884" width="19.81640625" style="32" bestFit="1" customWidth="1"/>
    <col min="15885" max="16119" width="11.453125" style="32"/>
    <col min="16120" max="16120" width="2.26953125" style="32" customWidth="1"/>
    <col min="16121" max="16121" width="49" style="32" customWidth="1"/>
    <col min="16122" max="16122" width="16.81640625" style="32" customWidth="1"/>
    <col min="16123" max="16123" width="1.1796875" style="32" customWidth="1"/>
    <col min="16124" max="16124" width="20.7265625" style="32" customWidth="1"/>
    <col min="16125" max="16125" width="17.7265625" style="32" customWidth="1"/>
    <col min="16126" max="16126" width="18.1796875" style="32" customWidth="1"/>
    <col min="16127" max="16127" width="17.1796875" style="32" customWidth="1"/>
    <col min="16128" max="16128" width="22.26953125" style="32" bestFit="1" customWidth="1"/>
    <col min="16129" max="16129" width="22.1796875" style="32" customWidth="1"/>
    <col min="16130" max="16130" width="17.81640625" style="32" customWidth="1"/>
    <col min="16131" max="16131" width="22.453125" style="32" customWidth="1"/>
    <col min="16132" max="16132" width="10.1796875" style="32" bestFit="1" customWidth="1"/>
    <col min="16133" max="16133" width="13.453125" style="32" customWidth="1"/>
    <col min="16134" max="16134" width="7.26953125" style="32" bestFit="1" customWidth="1"/>
    <col min="16135" max="16135" width="15.453125" style="32" bestFit="1" customWidth="1"/>
    <col min="16136" max="16136" width="7.26953125" style="32" bestFit="1" customWidth="1"/>
    <col min="16137" max="16137" width="19.7265625" style="32" bestFit="1" customWidth="1"/>
    <col min="16138" max="16138" width="7.26953125" style="32" bestFit="1" customWidth="1"/>
    <col min="16139" max="16139" width="26.81640625" style="32" bestFit="1" customWidth="1"/>
    <col min="16140" max="16140" width="19.81640625" style="32" bestFit="1" customWidth="1"/>
    <col min="16141" max="16384" width="11.453125" style="32"/>
  </cols>
  <sheetData>
    <row r="3" spans="3:14" s="33" customFormat="1" ht="13.5" customHeight="1" x14ac:dyDescent="0.25">
      <c r="C3" s="169"/>
      <c r="D3" s="169"/>
      <c r="E3" s="169"/>
      <c r="F3" s="169"/>
      <c r="N3" s="214" t="s">
        <v>22</v>
      </c>
    </row>
    <row r="4" spans="3:14" s="33" customFormat="1" ht="14.5" x14ac:dyDescent="0.25">
      <c r="D4" s="441"/>
      <c r="F4" s="165"/>
      <c r="N4" s="214" t="s">
        <v>20</v>
      </c>
    </row>
    <row r="5" spans="3:14" s="33" customFormat="1" ht="14.5" x14ac:dyDescent="0.25">
      <c r="D5" s="441"/>
      <c r="F5" s="165"/>
    </row>
    <row r="6" spans="3:14" s="33" customFormat="1" ht="14.5" x14ac:dyDescent="0.25">
      <c r="D6" s="441"/>
      <c r="F6" s="165"/>
    </row>
    <row r="7" spans="3:14" s="33" customFormat="1" ht="13.5" customHeight="1" x14ac:dyDescent="0.25">
      <c r="F7" s="169"/>
    </row>
    <row r="8" spans="3:14" ht="15.5" x14ac:dyDescent="0.25">
      <c r="C8" s="1005" t="s">
        <v>1259</v>
      </c>
      <c r="D8" s="1006"/>
      <c r="E8" s="1006"/>
      <c r="F8" s="1006"/>
      <c r="G8" s="444"/>
      <c r="H8" s="37"/>
    </row>
    <row r="9" spans="3:14" ht="9.75" customHeight="1" x14ac:dyDescent="0.25">
      <c r="E9" s="33"/>
      <c r="G9" s="37"/>
      <c r="L9" s="41"/>
    </row>
    <row r="10" spans="3:14" s="44" customFormat="1" ht="13" x14ac:dyDescent="0.3">
      <c r="C10" s="1029" t="s">
        <v>1260</v>
      </c>
      <c r="D10" s="1030"/>
      <c r="E10" s="33"/>
      <c r="F10" s="792"/>
    </row>
    <row r="11" spans="3:14" s="44" customFormat="1" ht="13" x14ac:dyDescent="0.25">
      <c r="E11" s="33"/>
      <c r="F11" s="45"/>
    </row>
    <row r="12" spans="3:14" ht="31.5" customHeight="1" x14ac:dyDescent="0.25">
      <c r="C12" s="1027" t="s">
        <v>1261</v>
      </c>
      <c r="D12" s="1028"/>
      <c r="E12" s="33"/>
      <c r="F12" s="212" t="s">
        <v>20</v>
      </c>
      <c r="G12" s="49"/>
      <c r="H12" s="47"/>
    </row>
    <row r="13" spans="3:14" ht="7.5" customHeight="1" x14ac:dyDescent="0.25"/>
    <row r="14" spans="3:14" ht="31.5" customHeight="1" x14ac:dyDescent="0.25">
      <c r="C14" s="1027" t="s">
        <v>1262</v>
      </c>
      <c r="D14" s="1028"/>
      <c r="E14" s="33"/>
      <c r="F14" s="212" t="s">
        <v>20</v>
      </c>
      <c r="G14" s="49"/>
      <c r="H14" s="47"/>
    </row>
    <row r="15" spans="3:14" ht="7.5" customHeight="1" x14ac:dyDescent="0.25"/>
    <row r="16" spans="3:14" ht="25.5" customHeight="1" x14ac:dyDescent="0.25">
      <c r="C16" s="1027" t="s">
        <v>1263</v>
      </c>
      <c r="D16" s="1028"/>
      <c r="E16" s="33"/>
      <c r="F16" s="212" t="s">
        <v>20</v>
      </c>
      <c r="G16" s="49"/>
      <c r="H16" s="47"/>
    </row>
    <row r="17" spans="3:13" ht="7.5" customHeight="1" x14ac:dyDescent="0.25"/>
    <row r="18" spans="3:13" ht="25.5" customHeight="1" x14ac:dyDescent="0.25">
      <c r="C18" s="1027" t="s">
        <v>1264</v>
      </c>
      <c r="D18" s="1028"/>
      <c r="E18" s="33"/>
      <c r="F18" s="212" t="s">
        <v>20</v>
      </c>
      <c r="G18" s="49"/>
      <c r="H18" s="47"/>
    </row>
    <row r="19" spans="3:13" ht="7.5" customHeight="1" x14ac:dyDescent="0.25"/>
    <row r="20" spans="3:13" ht="25.5" customHeight="1" x14ac:dyDescent="0.25">
      <c r="C20" s="1027" t="s">
        <v>1265</v>
      </c>
      <c r="D20" s="1028"/>
      <c r="E20" s="33"/>
      <c r="F20" s="212" t="s">
        <v>20</v>
      </c>
      <c r="G20" s="49"/>
      <c r="H20" s="47"/>
    </row>
    <row r="21" spans="3:13" ht="7.5" customHeight="1" x14ac:dyDescent="0.25"/>
    <row r="22" spans="3:13" s="44" customFormat="1" ht="13" x14ac:dyDescent="0.3">
      <c r="C22" s="1029" t="s">
        <v>1266</v>
      </c>
      <c r="D22" s="1030"/>
      <c r="E22" s="33"/>
      <c r="F22" s="792"/>
    </row>
    <row r="23" spans="3:13" ht="7.5" customHeight="1" x14ac:dyDescent="0.25"/>
    <row r="24" spans="3:13" ht="27.75" customHeight="1" x14ac:dyDescent="0.25">
      <c r="C24" s="1027" t="s">
        <v>1267</v>
      </c>
      <c r="D24" s="1028"/>
      <c r="E24" s="33"/>
      <c r="F24" s="212" t="s">
        <v>20</v>
      </c>
      <c r="G24" s="49"/>
      <c r="H24" s="47"/>
    </row>
    <row r="25" spans="3:13" ht="7.5" customHeight="1" x14ac:dyDescent="0.25"/>
    <row r="26" spans="3:13" ht="27.75" customHeight="1" x14ac:dyDescent="0.25">
      <c r="C26" s="1027" t="s">
        <v>1268</v>
      </c>
      <c r="D26" s="1028"/>
      <c r="E26" s="33"/>
      <c r="F26" s="212" t="s">
        <v>20</v>
      </c>
      <c r="G26" s="49"/>
      <c r="H26" s="47"/>
    </row>
    <row r="27" spans="3:13" ht="7.5" customHeight="1" x14ac:dyDescent="0.25"/>
    <row r="28" spans="3:13" ht="13" x14ac:dyDescent="0.3">
      <c r="C28" s="1029" t="s">
        <v>180</v>
      </c>
      <c r="D28" s="1030"/>
      <c r="E28" s="33"/>
      <c r="F28" s="792"/>
      <c r="G28" s="104"/>
      <c r="I28" s="97"/>
      <c r="J28" s="102"/>
      <c r="K28" s="102"/>
      <c r="L28" s="99"/>
      <c r="M28" s="106"/>
    </row>
    <row r="29" spans="3:13" x14ac:dyDescent="0.25">
      <c r="I29" s="97"/>
      <c r="J29" s="102"/>
      <c r="K29" s="102"/>
      <c r="L29" s="99"/>
      <c r="M29" s="106"/>
    </row>
    <row r="30" spans="3:13" ht="59.25" customHeight="1" x14ac:dyDescent="0.25">
      <c r="C30" s="1027" t="s">
        <v>1316</v>
      </c>
      <c r="D30" s="1028"/>
      <c r="E30" s="33"/>
      <c r="F30" s="212" t="s">
        <v>20</v>
      </c>
      <c r="I30" s="97"/>
      <c r="J30" s="102"/>
      <c r="K30" s="102"/>
      <c r="L30" s="99"/>
      <c r="M30" s="106"/>
    </row>
    <row r="31" spans="3:13" ht="5.25" customHeight="1" x14ac:dyDescent="0.25">
      <c r="I31" s="97"/>
      <c r="J31" s="102"/>
      <c r="K31" s="102"/>
      <c r="L31" s="99"/>
      <c r="M31" s="106"/>
    </row>
    <row r="32" spans="3:13" ht="48.75" customHeight="1" x14ac:dyDescent="0.25">
      <c r="C32" s="1027" t="s">
        <v>1317</v>
      </c>
      <c r="D32" s="1028"/>
      <c r="E32" s="33"/>
      <c r="F32" s="212" t="s">
        <v>20</v>
      </c>
      <c r="I32" s="97"/>
      <c r="J32" s="102"/>
      <c r="K32" s="102"/>
      <c r="L32" s="99"/>
      <c r="M32" s="106"/>
    </row>
    <row r="33" spans="3:13" ht="5.25" customHeight="1" x14ac:dyDescent="0.25">
      <c r="I33" s="97"/>
      <c r="J33" s="102"/>
      <c r="K33" s="102"/>
      <c r="L33" s="99"/>
      <c r="M33" s="106"/>
    </row>
    <row r="34" spans="3:13" ht="38.25" customHeight="1" x14ac:dyDescent="0.25">
      <c r="C34" s="1027" t="s">
        <v>1318</v>
      </c>
      <c r="D34" s="1028"/>
      <c r="E34" s="33"/>
      <c r="F34" s="212" t="s">
        <v>20</v>
      </c>
      <c r="I34" s="97"/>
      <c r="J34" s="102"/>
      <c r="K34" s="102"/>
      <c r="L34" s="99"/>
      <c r="M34" s="106"/>
    </row>
    <row r="35" spans="3:13" ht="5.25" customHeight="1" x14ac:dyDescent="0.25">
      <c r="I35" s="97"/>
      <c r="J35" s="102"/>
      <c r="K35" s="102"/>
      <c r="L35" s="99"/>
      <c r="M35" s="106"/>
    </row>
    <row r="36" spans="3:13" ht="62.25" customHeight="1" x14ac:dyDescent="0.25">
      <c r="C36" s="1027" t="s">
        <v>1319</v>
      </c>
      <c r="D36" s="1028"/>
      <c r="E36" s="33"/>
      <c r="F36" s="212" t="s">
        <v>20</v>
      </c>
      <c r="I36" s="97"/>
      <c r="J36" s="102"/>
      <c r="K36" s="102"/>
      <c r="L36" s="99"/>
      <c r="M36" s="106"/>
    </row>
    <row r="37" spans="3:13" ht="5.25" customHeight="1" x14ac:dyDescent="0.25">
      <c r="I37" s="97"/>
      <c r="J37" s="102"/>
      <c r="K37" s="102"/>
      <c r="L37" s="99"/>
      <c r="M37" s="106"/>
    </row>
    <row r="38" spans="3:13" ht="28.5" customHeight="1" x14ac:dyDescent="0.25">
      <c r="C38" s="1027" t="s">
        <v>1320</v>
      </c>
      <c r="D38" s="1028"/>
      <c r="E38" s="33"/>
      <c r="F38" s="212" t="s">
        <v>20</v>
      </c>
      <c r="I38" s="97"/>
      <c r="J38" s="102"/>
      <c r="K38" s="102"/>
      <c r="L38" s="99"/>
      <c r="M38" s="106"/>
    </row>
    <row r="39" spans="3:13" ht="5.25" customHeight="1" x14ac:dyDescent="0.25">
      <c r="I39" s="97"/>
      <c r="J39" s="102"/>
      <c r="K39" s="102"/>
      <c r="L39" s="99"/>
      <c r="M39" s="106"/>
    </row>
    <row r="40" spans="3:13" ht="28.5" customHeight="1" x14ac:dyDescent="0.25">
      <c r="C40" s="1027" t="s">
        <v>1321</v>
      </c>
      <c r="D40" s="1028"/>
      <c r="E40" s="33"/>
      <c r="F40" s="212" t="s">
        <v>20</v>
      </c>
      <c r="I40" s="97"/>
      <c r="J40" s="102"/>
      <c r="K40" s="102"/>
      <c r="L40" s="99"/>
      <c r="M40" s="106"/>
    </row>
    <row r="41" spans="3:13" ht="5.25" customHeight="1" x14ac:dyDescent="0.25">
      <c r="I41" s="97"/>
      <c r="J41" s="102"/>
      <c r="K41" s="102"/>
      <c r="L41" s="99"/>
      <c r="M41" s="106"/>
    </row>
    <row r="42" spans="3:13" ht="28.5" customHeight="1" x14ac:dyDescent="0.25">
      <c r="C42" s="1027" t="s">
        <v>1322</v>
      </c>
      <c r="D42" s="1028"/>
      <c r="E42" s="33"/>
      <c r="F42" s="212" t="s">
        <v>20</v>
      </c>
      <c r="I42" s="97"/>
      <c r="J42" s="102"/>
      <c r="K42" s="102"/>
      <c r="L42" s="99"/>
      <c r="M42" s="106"/>
    </row>
    <row r="43" spans="3:13" ht="7.5" customHeight="1" x14ac:dyDescent="0.25"/>
    <row r="44" spans="3:13" s="44" customFormat="1" ht="13" x14ac:dyDescent="0.3">
      <c r="C44" s="1029" t="s">
        <v>1269</v>
      </c>
      <c r="D44" s="1030"/>
      <c r="E44" s="33"/>
      <c r="F44" s="792"/>
    </row>
    <row r="45" spans="3:13" ht="7.5" customHeight="1" x14ac:dyDescent="0.25"/>
    <row r="46" spans="3:13" ht="27.75" customHeight="1" x14ac:dyDescent="0.25">
      <c r="C46" s="1027" t="s">
        <v>1270</v>
      </c>
      <c r="D46" s="1028"/>
      <c r="E46" s="33"/>
      <c r="F46" s="212" t="s">
        <v>20</v>
      </c>
      <c r="G46" s="49"/>
      <c r="H46" s="47"/>
    </row>
    <row r="47" spans="3:13" ht="5.25" customHeight="1" x14ac:dyDescent="0.25">
      <c r="I47" s="97"/>
      <c r="J47" s="102"/>
      <c r="K47" s="102"/>
      <c r="L47" s="99"/>
      <c r="M47" s="106"/>
    </row>
    <row r="48" spans="3:13" ht="42" customHeight="1" x14ac:dyDescent="0.25">
      <c r="C48" s="1027" t="s">
        <v>1271</v>
      </c>
      <c r="D48" s="1028"/>
      <c r="E48" s="33"/>
      <c r="F48" s="212" t="s">
        <v>20</v>
      </c>
      <c r="G48" s="49"/>
      <c r="H48" s="47"/>
    </row>
    <row r="49" spans="3:13" ht="5.25" customHeight="1" x14ac:dyDescent="0.25">
      <c r="I49" s="97"/>
      <c r="J49" s="102"/>
      <c r="K49" s="102"/>
      <c r="L49" s="99"/>
      <c r="M49" s="106"/>
    </row>
    <row r="50" spans="3:13" ht="42" customHeight="1" x14ac:dyDescent="0.25">
      <c r="C50" s="1027" t="s">
        <v>1272</v>
      </c>
      <c r="D50" s="1028"/>
      <c r="E50" s="33"/>
      <c r="F50" s="212" t="s">
        <v>20</v>
      </c>
      <c r="G50" s="49"/>
      <c r="H50" s="47"/>
    </row>
    <row r="51" spans="3:13" ht="5.25" customHeight="1" x14ac:dyDescent="0.25">
      <c r="I51" s="97"/>
      <c r="J51" s="102"/>
      <c r="K51" s="102"/>
      <c r="L51" s="99"/>
      <c r="M51" s="106"/>
    </row>
    <row r="52" spans="3:13" ht="27.75" customHeight="1" x14ac:dyDescent="0.25">
      <c r="C52" s="1027" t="s">
        <v>1273</v>
      </c>
      <c r="D52" s="1028"/>
      <c r="E52" s="33"/>
      <c r="F52" s="212" t="s">
        <v>20</v>
      </c>
      <c r="G52" s="49"/>
      <c r="H52" s="47"/>
    </row>
    <row r="53" spans="3:13" ht="5.25" customHeight="1" x14ac:dyDescent="0.25">
      <c r="I53" s="97"/>
      <c r="J53" s="102"/>
      <c r="K53" s="102"/>
      <c r="L53" s="99"/>
      <c r="M53" s="106"/>
    </row>
    <row r="54" spans="3:13" s="44" customFormat="1" ht="13" collapsed="1" x14ac:dyDescent="0.3">
      <c r="C54" s="1029" t="s">
        <v>1274</v>
      </c>
      <c r="D54" s="1030"/>
      <c r="E54" s="33"/>
      <c r="F54" s="792"/>
    </row>
    <row r="55" spans="3:13" ht="7.5" customHeight="1" x14ac:dyDescent="0.25"/>
    <row r="56" spans="3:13" ht="27.75" customHeight="1" x14ac:dyDescent="0.25">
      <c r="C56" s="1027" t="s">
        <v>1275</v>
      </c>
      <c r="D56" s="1028"/>
      <c r="E56" s="33"/>
      <c r="F56" s="212" t="s">
        <v>20</v>
      </c>
      <c r="G56" s="49"/>
      <c r="H56" s="47"/>
    </row>
    <row r="57" spans="3:13" ht="5.25" customHeight="1" x14ac:dyDescent="0.25">
      <c r="I57" s="97"/>
      <c r="J57" s="102"/>
      <c r="K57" s="102"/>
      <c r="L57" s="99"/>
      <c r="M57" s="106"/>
    </row>
    <row r="58" spans="3:13" ht="45.75" customHeight="1" x14ac:dyDescent="0.25">
      <c r="C58" s="1027" t="s">
        <v>1276</v>
      </c>
      <c r="D58" s="1028"/>
      <c r="E58" s="33"/>
      <c r="F58" s="212" t="s">
        <v>20</v>
      </c>
      <c r="G58" s="49"/>
      <c r="H58" s="47"/>
    </row>
    <row r="59" spans="3:13" ht="5.25" customHeight="1" x14ac:dyDescent="0.25">
      <c r="I59" s="97"/>
      <c r="J59" s="102"/>
      <c r="K59" s="102"/>
      <c r="L59" s="99"/>
      <c r="M59" s="106"/>
    </row>
    <row r="60" spans="3:13" ht="27.75" customHeight="1" x14ac:dyDescent="0.25">
      <c r="C60" s="1027" t="s">
        <v>1277</v>
      </c>
      <c r="D60" s="1028"/>
      <c r="E60" s="33"/>
      <c r="F60" s="212" t="s">
        <v>20</v>
      </c>
      <c r="G60" s="49"/>
      <c r="H60" s="47"/>
    </row>
    <row r="61" spans="3:13" ht="5.25" customHeight="1" x14ac:dyDescent="0.25">
      <c r="I61" s="97"/>
      <c r="J61" s="102"/>
      <c r="K61" s="102"/>
      <c r="L61" s="99"/>
      <c r="M61" s="106"/>
    </row>
    <row r="62" spans="3:13" ht="27.75" customHeight="1" x14ac:dyDescent="0.25">
      <c r="C62" s="1027" t="s">
        <v>1278</v>
      </c>
      <c r="D62" s="1028"/>
      <c r="E62" s="33"/>
      <c r="F62" s="212" t="s">
        <v>20</v>
      </c>
      <c r="G62" s="49"/>
      <c r="H62" s="47"/>
    </row>
    <row r="63" spans="3:13" ht="5.25" customHeight="1" x14ac:dyDescent="0.25">
      <c r="I63" s="97"/>
      <c r="J63" s="102"/>
      <c r="K63" s="102"/>
      <c r="L63" s="99"/>
      <c r="M63" s="106"/>
    </row>
    <row r="64" spans="3:13" ht="51.75" customHeight="1" x14ac:dyDescent="0.25">
      <c r="C64" s="1027" t="s">
        <v>1279</v>
      </c>
      <c r="D64" s="1028"/>
      <c r="E64" s="33"/>
      <c r="F64" s="212" t="s">
        <v>20</v>
      </c>
      <c r="G64" s="49"/>
      <c r="H64" s="47"/>
    </row>
    <row r="65" spans="3:13" ht="5.25" customHeight="1" x14ac:dyDescent="0.25">
      <c r="I65" s="97"/>
      <c r="J65" s="102"/>
      <c r="K65" s="102"/>
      <c r="L65" s="99"/>
      <c r="M65" s="106"/>
    </row>
    <row r="66" spans="3:13" ht="27.75" customHeight="1" x14ac:dyDescent="0.25">
      <c r="C66" s="1027" t="s">
        <v>1280</v>
      </c>
      <c r="D66" s="1028"/>
      <c r="E66" s="33"/>
      <c r="F66" s="212" t="s">
        <v>20</v>
      </c>
      <c r="G66" s="49"/>
      <c r="H66" s="47"/>
    </row>
    <row r="67" spans="3:13" ht="5.25" customHeight="1" x14ac:dyDescent="0.25">
      <c r="I67" s="97"/>
      <c r="J67" s="102"/>
      <c r="K67" s="102"/>
      <c r="L67" s="99"/>
      <c r="M67" s="106"/>
    </row>
    <row r="68" spans="3:13" ht="27.75" customHeight="1" x14ac:dyDescent="0.25">
      <c r="C68" s="1027" t="s">
        <v>1281</v>
      </c>
      <c r="D68" s="1028"/>
      <c r="E68" s="33"/>
      <c r="F68" s="212" t="s">
        <v>20</v>
      </c>
      <c r="G68" s="49"/>
      <c r="H68" s="47"/>
    </row>
    <row r="69" spans="3:13" ht="5.25" customHeight="1" x14ac:dyDescent="0.25">
      <c r="I69" s="97"/>
      <c r="J69" s="102"/>
      <c r="K69" s="102"/>
      <c r="L69" s="99"/>
      <c r="M69" s="106"/>
    </row>
    <row r="70" spans="3:13" s="44" customFormat="1" ht="13" x14ac:dyDescent="0.3">
      <c r="C70" s="1029" t="s">
        <v>1323</v>
      </c>
      <c r="D70" s="1030"/>
      <c r="E70" s="33"/>
      <c r="F70" s="792"/>
    </row>
    <row r="71" spans="3:13" ht="7.5" customHeight="1" x14ac:dyDescent="0.25"/>
    <row r="72" spans="3:13" ht="57" customHeight="1" x14ac:dyDescent="0.25">
      <c r="C72" s="1027" t="s">
        <v>1324</v>
      </c>
      <c r="D72" s="1028"/>
      <c r="E72" s="33"/>
      <c r="F72" s="212" t="s">
        <v>20</v>
      </c>
      <c r="G72" s="49"/>
      <c r="H72" s="47"/>
    </row>
    <row r="73" spans="3:13" ht="5.25" customHeight="1" x14ac:dyDescent="0.25">
      <c r="I73" s="97"/>
      <c r="J73" s="102"/>
      <c r="K73" s="102"/>
      <c r="L73" s="99"/>
      <c r="M73" s="106"/>
    </row>
    <row r="74" spans="3:13" ht="67.5" customHeight="1" x14ac:dyDescent="0.25">
      <c r="C74" s="1027" t="s">
        <v>1325</v>
      </c>
      <c r="D74" s="1028"/>
      <c r="E74" s="33"/>
      <c r="F74" s="212" t="s">
        <v>20</v>
      </c>
      <c r="G74" s="49"/>
      <c r="H74" s="47"/>
    </row>
    <row r="75" spans="3:13" ht="5.25" customHeight="1" x14ac:dyDescent="0.25">
      <c r="I75" s="97"/>
      <c r="J75" s="102"/>
      <c r="K75" s="102"/>
      <c r="L75" s="99"/>
      <c r="M75" s="106"/>
    </row>
    <row r="76" spans="3:13" ht="42" customHeight="1" x14ac:dyDescent="0.25">
      <c r="C76" s="1027" t="s">
        <v>1326</v>
      </c>
      <c r="D76" s="1028"/>
      <c r="E76" s="33"/>
      <c r="F76" s="212" t="s">
        <v>20</v>
      </c>
      <c r="G76" s="49"/>
      <c r="H76" s="47"/>
    </row>
    <row r="77" spans="3:13" ht="5.25" customHeight="1" x14ac:dyDescent="0.25">
      <c r="I77" s="97"/>
      <c r="J77" s="102"/>
      <c r="K77" s="102"/>
      <c r="L77" s="99"/>
      <c r="M77" s="106"/>
    </row>
    <row r="78" spans="3:13" ht="27.75" customHeight="1" x14ac:dyDescent="0.25">
      <c r="C78" s="1027" t="s">
        <v>1327</v>
      </c>
      <c r="D78" s="1028"/>
      <c r="E78" s="33"/>
      <c r="F78" s="212" t="s">
        <v>20</v>
      </c>
      <c r="G78" s="49"/>
      <c r="H78" s="47"/>
    </row>
    <row r="79" spans="3:13" ht="5.25" customHeight="1" x14ac:dyDescent="0.25">
      <c r="I79" s="97"/>
      <c r="J79" s="102"/>
      <c r="K79" s="102"/>
      <c r="L79" s="99"/>
      <c r="M79" s="106"/>
    </row>
    <row r="80" spans="3:13" ht="27.75" customHeight="1" x14ac:dyDescent="0.25">
      <c r="C80" s="1027" t="s">
        <v>1328</v>
      </c>
      <c r="D80" s="1028"/>
      <c r="E80" s="33"/>
      <c r="F80" s="212" t="s">
        <v>20</v>
      </c>
      <c r="G80" s="49"/>
      <c r="H80" s="47"/>
    </row>
    <row r="81" spans="9:13" ht="5.25" customHeight="1" x14ac:dyDescent="0.25">
      <c r="I81" s="97"/>
      <c r="J81" s="102"/>
      <c r="K81" s="102"/>
      <c r="L81" s="99"/>
      <c r="M81" s="106"/>
    </row>
    <row r="82" spans="9:13" ht="5.25" customHeight="1" x14ac:dyDescent="0.25">
      <c r="I82" s="97"/>
      <c r="J82" s="102"/>
      <c r="K82" s="102"/>
      <c r="L82" s="99"/>
      <c r="M82" s="106"/>
    </row>
  </sheetData>
  <mergeCells count="37">
    <mergeCell ref="C10:D10"/>
    <mergeCell ref="C8:F8"/>
    <mergeCell ref="C12:D12"/>
    <mergeCell ref="C14:D14"/>
    <mergeCell ref="C16:D1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6" operator="equal">
      <formula>"Yes"</formula>
    </cfRule>
    <cfRule type="cellIs" dxfId="5" priority="7" operator="equal">
      <formula>"No"</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A485"/>
  <sheetViews>
    <sheetView showGridLines="0" tabSelected="1" topLeftCell="BM476" workbookViewId="0">
      <selection activeCell="BX489" sqref="BX489"/>
    </sheetView>
  </sheetViews>
  <sheetFormatPr defaultRowHeight="12.5" x14ac:dyDescent="0.25"/>
  <cols>
    <col min="1" max="71" width="16.6328125" customWidth="1"/>
    <col min="72" max="72" width="16.6328125" style="255" customWidth="1"/>
    <col min="73" max="73" width="16.6328125" customWidth="1"/>
    <col min="74" max="74" width="32" bestFit="1" customWidth="1"/>
    <col min="75" max="75" width="16.6328125" style="5" customWidth="1"/>
    <col min="76" max="79" width="16.6328125" customWidth="1"/>
  </cols>
  <sheetData>
    <row r="1" spans="1:79" s="1042" customFormat="1" ht="39" customHeight="1" thickBot="1" x14ac:dyDescent="0.3">
      <c r="A1" s="1033" t="s">
        <v>1347</v>
      </c>
      <c r="B1" s="1034"/>
      <c r="C1" s="1034"/>
      <c r="D1" s="1034"/>
      <c r="E1" s="1034"/>
      <c r="F1" s="1034"/>
      <c r="G1" s="1034"/>
      <c r="H1" s="1034"/>
      <c r="I1" s="1034"/>
      <c r="J1" s="1034"/>
      <c r="K1" s="1034"/>
      <c r="L1" s="1034"/>
      <c r="M1" s="1034"/>
      <c r="N1" s="1034"/>
      <c r="O1" s="1034"/>
      <c r="P1" s="1033" t="s">
        <v>1348</v>
      </c>
      <c r="Q1" s="1034"/>
      <c r="R1" s="1034"/>
      <c r="S1" s="1034"/>
      <c r="T1" s="1034"/>
      <c r="U1" s="1034"/>
      <c r="V1" s="1034"/>
      <c r="W1" s="1034"/>
      <c r="X1" s="1034"/>
      <c r="Y1" s="1034"/>
      <c r="Z1" s="1034"/>
      <c r="AA1" s="1034"/>
      <c r="AB1" s="1034"/>
      <c r="AC1" s="1034"/>
      <c r="AD1" s="1034"/>
      <c r="AE1" s="1034"/>
      <c r="AF1" s="1034"/>
      <c r="AG1" s="1034"/>
      <c r="AH1" s="1034"/>
      <c r="AI1" s="1034"/>
      <c r="AJ1" s="1034"/>
      <c r="AK1" s="1034"/>
      <c r="AL1" s="1034"/>
      <c r="AM1" s="1034"/>
      <c r="AN1" s="1034"/>
      <c r="AO1" s="1034"/>
      <c r="AP1" s="1034"/>
      <c r="AQ1" s="1034"/>
      <c r="AR1" s="1034"/>
      <c r="AS1" s="1035"/>
      <c r="AT1" s="1034" t="s">
        <v>209</v>
      </c>
      <c r="AU1" s="1034"/>
      <c r="AV1" s="1034"/>
      <c r="AW1" s="1034"/>
      <c r="AX1" s="1034"/>
      <c r="AY1" s="1034"/>
      <c r="AZ1" s="1034"/>
      <c r="BA1" s="1034"/>
      <c r="BB1" s="1034"/>
      <c r="BC1" s="1034"/>
      <c r="BD1" s="1034"/>
      <c r="BE1" s="1034"/>
      <c r="BF1" s="1034"/>
      <c r="BG1" s="1034"/>
      <c r="BH1" s="1034"/>
      <c r="BI1" s="1033" t="s">
        <v>1349</v>
      </c>
      <c r="BJ1" s="1034"/>
      <c r="BK1" s="1034"/>
      <c r="BL1" s="1035"/>
      <c r="BM1" s="1036" t="s">
        <v>1350</v>
      </c>
      <c r="BN1" s="1037"/>
      <c r="BO1" s="1037"/>
      <c r="BP1" s="1037"/>
      <c r="BQ1" s="1037"/>
      <c r="BR1" s="1037"/>
      <c r="BS1" s="1038"/>
      <c r="BT1" s="1039" t="s">
        <v>1351</v>
      </c>
      <c r="BU1" s="1040"/>
      <c r="BV1" s="1040"/>
      <c r="BW1" s="1040"/>
      <c r="BX1" s="1040"/>
      <c r="BY1" s="1040"/>
      <c r="BZ1" s="1040"/>
      <c r="CA1" s="1041"/>
    </row>
    <row r="2" spans="1:79" s="1042" customFormat="1" ht="77.25" customHeight="1" x14ac:dyDescent="0.25">
      <c r="A2" s="1043" t="s">
        <v>1352</v>
      </c>
      <c r="B2" s="1044" t="s">
        <v>1353</v>
      </c>
      <c r="C2" s="1045" t="s">
        <v>1354</v>
      </c>
      <c r="D2" s="1046" t="s">
        <v>1355</v>
      </c>
      <c r="E2" s="1047" t="s">
        <v>136</v>
      </c>
      <c r="F2" s="1047" t="s">
        <v>137</v>
      </c>
      <c r="G2" s="1048" t="s">
        <v>1356</v>
      </c>
      <c r="H2" s="1049"/>
      <c r="I2" s="1050"/>
      <c r="J2" s="1047" t="s">
        <v>138</v>
      </c>
      <c r="K2" s="1047" t="s">
        <v>1357</v>
      </c>
      <c r="L2" s="1047" t="s">
        <v>1358</v>
      </c>
      <c r="M2" s="1047" t="s">
        <v>1359</v>
      </c>
      <c r="N2" s="1047" t="s">
        <v>1360</v>
      </c>
      <c r="O2" s="1051" t="s">
        <v>1361</v>
      </c>
      <c r="P2" s="1052" t="s">
        <v>1362</v>
      </c>
      <c r="Q2" s="1053"/>
      <c r="R2" s="1054"/>
      <c r="S2" s="1055" t="s">
        <v>208</v>
      </c>
      <c r="T2" s="1055"/>
      <c r="U2" s="1055"/>
      <c r="V2" s="1055" t="s">
        <v>1363</v>
      </c>
      <c r="W2" s="1055"/>
      <c r="X2" s="1055"/>
      <c r="Y2" s="1055" t="s">
        <v>1364</v>
      </c>
      <c r="Z2" s="1055"/>
      <c r="AA2" s="1055"/>
      <c r="AB2" s="1055" t="s">
        <v>1365</v>
      </c>
      <c r="AC2" s="1055"/>
      <c r="AD2" s="1055"/>
      <c r="AE2" s="1055" t="s">
        <v>1366</v>
      </c>
      <c r="AF2" s="1055"/>
      <c r="AG2" s="1055"/>
      <c r="AH2" s="1055" t="s">
        <v>1367</v>
      </c>
      <c r="AI2" s="1055"/>
      <c r="AJ2" s="1055"/>
      <c r="AK2" s="1055" t="s">
        <v>1368</v>
      </c>
      <c r="AL2" s="1055"/>
      <c r="AM2" s="1055"/>
      <c r="AN2" s="1055" t="s">
        <v>1369</v>
      </c>
      <c r="AO2" s="1055"/>
      <c r="AP2" s="1055"/>
      <c r="AQ2" s="1055" t="s">
        <v>1370</v>
      </c>
      <c r="AR2" s="1055"/>
      <c r="AS2" s="1056"/>
      <c r="AT2" s="1057" t="s">
        <v>139</v>
      </c>
      <c r="AU2" s="1057" t="s">
        <v>140</v>
      </c>
      <c r="AV2" s="1057" t="s">
        <v>141</v>
      </c>
      <c r="AW2" s="1057" t="s">
        <v>142</v>
      </c>
      <c r="AX2" s="1057" t="s">
        <v>143</v>
      </c>
      <c r="AY2" s="1057" t="s">
        <v>144</v>
      </c>
      <c r="AZ2" s="1057" t="s">
        <v>145</v>
      </c>
      <c r="BA2" s="1057" t="s">
        <v>147</v>
      </c>
      <c r="BB2" s="1057" t="s">
        <v>151</v>
      </c>
      <c r="BC2" s="1057" t="s">
        <v>1371</v>
      </c>
      <c r="BD2" s="1057" t="s">
        <v>247</v>
      </c>
      <c r="BE2" s="1057" t="s">
        <v>1372</v>
      </c>
      <c r="BF2" s="1057" t="s">
        <v>154</v>
      </c>
      <c r="BG2" s="1057" t="s">
        <v>155</v>
      </c>
      <c r="BH2" s="1058" t="s">
        <v>1373</v>
      </c>
      <c r="BI2" s="1059" t="s">
        <v>1374</v>
      </c>
      <c r="BJ2" s="1059" t="s">
        <v>1375</v>
      </c>
      <c r="BK2" s="1059" t="s">
        <v>1376</v>
      </c>
      <c r="BL2" s="1060" t="s">
        <v>1377</v>
      </c>
      <c r="BM2" s="1061" t="s">
        <v>1352</v>
      </c>
      <c r="BN2" s="1057" t="s">
        <v>1378</v>
      </c>
      <c r="BO2" s="1057" t="s">
        <v>1379</v>
      </c>
      <c r="BP2" s="1057" t="s">
        <v>1380</v>
      </c>
      <c r="BQ2" s="1058" t="s">
        <v>1381</v>
      </c>
      <c r="BR2" s="1057" t="s">
        <v>1382</v>
      </c>
      <c r="BS2" s="1062" t="s">
        <v>1383</v>
      </c>
      <c r="BT2" s="1063" t="s">
        <v>1352</v>
      </c>
      <c r="BU2" s="1064" t="s">
        <v>1384</v>
      </c>
      <c r="BV2" s="1064" t="s">
        <v>1385</v>
      </c>
      <c r="BW2" s="1057" t="s">
        <v>1386</v>
      </c>
      <c r="BX2" s="1065" t="s">
        <v>1387</v>
      </c>
      <c r="BY2" s="1066" t="s">
        <v>1388</v>
      </c>
      <c r="BZ2" s="1067" t="s">
        <v>1389</v>
      </c>
      <c r="CA2" s="1062" t="s">
        <v>1390</v>
      </c>
    </row>
    <row r="3" spans="1:79" s="1042" customFormat="1" ht="100.5" customHeight="1" thickBot="1" x14ac:dyDescent="0.3">
      <c r="A3" s="1068"/>
      <c r="B3" s="1069"/>
      <c r="C3" s="1070"/>
      <c r="D3" s="1070"/>
      <c r="E3" s="1071"/>
      <c r="F3" s="1071"/>
      <c r="G3" s="1072" t="s">
        <v>1391</v>
      </c>
      <c r="H3" s="1072" t="s">
        <v>1392</v>
      </c>
      <c r="I3" s="1072" t="s">
        <v>1393</v>
      </c>
      <c r="J3" s="1071"/>
      <c r="K3" s="1071"/>
      <c r="L3" s="1071"/>
      <c r="M3" s="1071"/>
      <c r="N3" s="1071"/>
      <c r="O3" s="1073"/>
      <c r="P3" s="1074" t="s">
        <v>211</v>
      </c>
      <c r="Q3" s="1075" t="s">
        <v>212</v>
      </c>
      <c r="R3" s="1075" t="s">
        <v>213</v>
      </c>
      <c r="S3" s="1075" t="s">
        <v>211</v>
      </c>
      <c r="T3" s="1075" t="s">
        <v>212</v>
      </c>
      <c r="U3" s="1075" t="s">
        <v>213</v>
      </c>
      <c r="V3" s="1075" t="s">
        <v>211</v>
      </c>
      <c r="W3" s="1075" t="s">
        <v>212</v>
      </c>
      <c r="X3" s="1075" t="s">
        <v>213</v>
      </c>
      <c r="Y3" s="1075" t="s">
        <v>211</v>
      </c>
      <c r="Z3" s="1075" t="s">
        <v>212</v>
      </c>
      <c r="AA3" s="1075" t="s">
        <v>213</v>
      </c>
      <c r="AB3" s="1075" t="s">
        <v>211</v>
      </c>
      <c r="AC3" s="1075" t="s">
        <v>212</v>
      </c>
      <c r="AD3" s="1075" t="s">
        <v>213</v>
      </c>
      <c r="AE3" s="1075" t="s">
        <v>211</v>
      </c>
      <c r="AF3" s="1075" t="s">
        <v>212</v>
      </c>
      <c r="AG3" s="1075" t="s">
        <v>213</v>
      </c>
      <c r="AH3" s="1075" t="s">
        <v>211</v>
      </c>
      <c r="AI3" s="1075" t="s">
        <v>212</v>
      </c>
      <c r="AJ3" s="1075" t="s">
        <v>213</v>
      </c>
      <c r="AK3" s="1075" t="s">
        <v>211</v>
      </c>
      <c r="AL3" s="1075" t="s">
        <v>212</v>
      </c>
      <c r="AM3" s="1075" t="s">
        <v>213</v>
      </c>
      <c r="AN3" s="1075" t="s">
        <v>211</v>
      </c>
      <c r="AO3" s="1075" t="s">
        <v>212</v>
      </c>
      <c r="AP3" s="1075" t="s">
        <v>213</v>
      </c>
      <c r="AQ3" s="1075" t="s">
        <v>211</v>
      </c>
      <c r="AR3" s="1075" t="s">
        <v>212</v>
      </c>
      <c r="AS3" s="1076" t="s">
        <v>213</v>
      </c>
      <c r="AT3" s="1077"/>
      <c r="AU3" s="1077"/>
      <c r="AV3" s="1077"/>
      <c r="AW3" s="1077"/>
      <c r="AX3" s="1077"/>
      <c r="AY3" s="1077"/>
      <c r="AZ3" s="1077"/>
      <c r="BA3" s="1077"/>
      <c r="BB3" s="1077"/>
      <c r="BC3" s="1077"/>
      <c r="BD3" s="1077"/>
      <c r="BE3" s="1077"/>
      <c r="BF3" s="1077"/>
      <c r="BG3" s="1077"/>
      <c r="BH3" s="1078"/>
      <c r="BI3" s="1079"/>
      <c r="BJ3" s="1079"/>
      <c r="BK3" s="1079"/>
      <c r="BL3" s="1080"/>
      <c r="BM3" s="1081"/>
      <c r="BN3" s="1077"/>
      <c r="BO3" s="1077"/>
      <c r="BP3" s="1077"/>
      <c r="BQ3" s="1078"/>
      <c r="BR3" s="1077"/>
      <c r="BS3" s="1082"/>
      <c r="BT3" s="1083"/>
      <c r="BU3" s="1084"/>
      <c r="BV3" s="1084"/>
      <c r="BW3" s="1077"/>
      <c r="BX3" s="1085"/>
      <c r="BY3" s="1086"/>
      <c r="BZ3" s="1087"/>
      <c r="CA3" s="1082"/>
    </row>
    <row r="4" spans="1:79" x14ac:dyDescent="0.25">
      <c r="A4" s="1088">
        <v>45230</v>
      </c>
      <c r="B4" s="1042" t="s">
        <v>1394</v>
      </c>
      <c r="C4" s="1089">
        <v>0</v>
      </c>
      <c r="D4" s="1089">
        <v>751085014.36999917</v>
      </c>
      <c r="E4" s="1089">
        <v>0</v>
      </c>
      <c r="F4" s="1089">
        <v>0</v>
      </c>
      <c r="G4" s="1089">
        <v>0</v>
      </c>
      <c r="H4" s="1089">
        <v>0</v>
      </c>
      <c r="I4" s="1089">
        <v>0</v>
      </c>
      <c r="J4" s="1089">
        <v>0</v>
      </c>
      <c r="K4" s="1089">
        <v>0</v>
      </c>
      <c r="L4" s="1089">
        <v>0</v>
      </c>
      <c r="M4" s="1089">
        <v>0</v>
      </c>
      <c r="N4" s="1089">
        <v>0</v>
      </c>
      <c r="O4" s="1089">
        <v>751085014.36999917</v>
      </c>
      <c r="P4" s="1089">
        <v>0</v>
      </c>
      <c r="Q4" s="1089">
        <v>0</v>
      </c>
      <c r="R4" s="1089">
        <v>0</v>
      </c>
      <c r="S4" s="1089">
        <v>0</v>
      </c>
      <c r="T4" s="1089">
        <v>0</v>
      </c>
      <c r="U4" s="1089">
        <v>0</v>
      </c>
      <c r="V4" s="1089">
        <v>0</v>
      </c>
      <c r="W4" s="1089">
        <v>0</v>
      </c>
      <c r="X4" s="1089">
        <v>0</v>
      </c>
      <c r="Y4" s="1089">
        <v>0</v>
      </c>
      <c r="Z4" s="1089">
        <v>0</v>
      </c>
      <c r="AA4" s="1089">
        <v>0</v>
      </c>
      <c r="AB4" s="1089">
        <v>0</v>
      </c>
      <c r="AC4" s="1089">
        <v>0</v>
      </c>
      <c r="AD4" s="1089">
        <v>0</v>
      </c>
      <c r="AE4" s="1089">
        <v>0</v>
      </c>
      <c r="AF4" s="1089">
        <v>0</v>
      </c>
      <c r="AG4" s="1089">
        <v>0</v>
      </c>
      <c r="AH4" s="1089">
        <v>0</v>
      </c>
      <c r="AI4" s="1089">
        <v>0</v>
      </c>
      <c r="AJ4" s="1089">
        <v>0</v>
      </c>
      <c r="AK4" s="1089">
        <v>0</v>
      </c>
      <c r="AL4" s="1089">
        <v>0</v>
      </c>
      <c r="AM4" s="1089">
        <v>0</v>
      </c>
      <c r="AN4" s="1089">
        <v>0</v>
      </c>
      <c r="AO4" s="1089">
        <v>0</v>
      </c>
      <c r="AP4" s="1089">
        <v>0</v>
      </c>
      <c r="AQ4" s="1089">
        <v>0</v>
      </c>
      <c r="AR4" s="1089">
        <v>0</v>
      </c>
      <c r="AS4" s="1089">
        <v>0</v>
      </c>
      <c r="AT4" s="1089">
        <v>0</v>
      </c>
      <c r="AU4" s="1089">
        <v>0</v>
      </c>
      <c r="AV4" s="1089">
        <v>0</v>
      </c>
      <c r="AW4" s="1089">
        <v>0</v>
      </c>
      <c r="AX4" s="1089">
        <v>0</v>
      </c>
      <c r="AY4" s="1089">
        <v>0</v>
      </c>
      <c r="AZ4" s="1089">
        <v>0</v>
      </c>
      <c r="BA4" s="1089">
        <v>0</v>
      </c>
      <c r="BB4" s="1089">
        <v>0</v>
      </c>
      <c r="BC4" s="1089">
        <v>0</v>
      </c>
      <c r="BD4" s="1089">
        <v>0</v>
      </c>
      <c r="BE4" s="1089">
        <v>0</v>
      </c>
      <c r="BF4" s="1089">
        <v>0</v>
      </c>
      <c r="BG4" s="1089">
        <v>0</v>
      </c>
      <c r="BH4" s="1089">
        <v>0</v>
      </c>
      <c r="BI4" s="1089">
        <v>0</v>
      </c>
      <c r="BJ4" s="1089">
        <v>474668.81000000064</v>
      </c>
      <c r="BK4" s="1089">
        <v>0</v>
      </c>
      <c r="BL4" s="1089">
        <v>0</v>
      </c>
      <c r="BM4" s="1088">
        <v>45230</v>
      </c>
      <c r="BN4" s="1090">
        <v>0</v>
      </c>
      <c r="BO4" s="1090">
        <v>0</v>
      </c>
      <c r="BP4" s="1090">
        <v>0</v>
      </c>
      <c r="BQ4" s="1090">
        <v>0</v>
      </c>
      <c r="BR4" s="1090">
        <v>0</v>
      </c>
      <c r="BS4" s="1090">
        <v>0</v>
      </c>
      <c r="BT4" s="1088">
        <v>45230</v>
      </c>
      <c r="BU4" s="1091" t="s">
        <v>280</v>
      </c>
      <c r="BV4" s="1091" t="s">
        <v>281</v>
      </c>
      <c r="BW4" s="1090">
        <v>751085014.36999917</v>
      </c>
    </row>
    <row r="5" spans="1:79" x14ac:dyDescent="0.25">
      <c r="A5" s="1088">
        <v>45230</v>
      </c>
      <c r="B5" s="1042" t="s">
        <v>1395</v>
      </c>
      <c r="C5" s="1089">
        <v>0</v>
      </c>
      <c r="D5" s="1089">
        <v>0</v>
      </c>
      <c r="E5" s="1089">
        <v>0</v>
      </c>
      <c r="F5" s="1089">
        <v>0</v>
      </c>
      <c r="G5" s="1089">
        <v>0</v>
      </c>
      <c r="H5" s="1089">
        <v>0</v>
      </c>
      <c r="I5" s="1089">
        <v>0</v>
      </c>
      <c r="J5" s="1089">
        <v>0</v>
      </c>
      <c r="K5" s="1089">
        <v>0</v>
      </c>
      <c r="L5" s="1089">
        <v>0</v>
      </c>
      <c r="M5" s="1089">
        <v>0</v>
      </c>
      <c r="N5" s="1089">
        <v>0</v>
      </c>
      <c r="O5" s="1089">
        <v>0</v>
      </c>
      <c r="P5" s="1089">
        <v>0</v>
      </c>
      <c r="Q5" s="1089">
        <v>0</v>
      </c>
      <c r="R5" s="1089">
        <v>0</v>
      </c>
      <c r="S5" s="1089">
        <v>0</v>
      </c>
      <c r="T5" s="1089">
        <v>0</v>
      </c>
      <c r="U5" s="1089">
        <v>0</v>
      </c>
      <c r="V5" s="1089">
        <v>0</v>
      </c>
      <c r="W5" s="1089">
        <v>0</v>
      </c>
      <c r="X5" s="1089">
        <v>0</v>
      </c>
      <c r="Y5" s="1089">
        <v>0</v>
      </c>
      <c r="Z5" s="1089">
        <v>0</v>
      </c>
      <c r="AA5" s="1089">
        <v>0</v>
      </c>
      <c r="AB5" s="1089">
        <v>0</v>
      </c>
      <c r="AC5" s="1089">
        <v>0</v>
      </c>
      <c r="AD5" s="1089">
        <v>0</v>
      </c>
      <c r="AE5" s="1089">
        <v>0</v>
      </c>
      <c r="AF5" s="1089">
        <v>0</v>
      </c>
      <c r="AG5" s="1089">
        <v>0</v>
      </c>
      <c r="AH5" s="1089">
        <v>0</v>
      </c>
      <c r="AI5" s="1089">
        <v>0</v>
      </c>
      <c r="AJ5" s="1089">
        <v>0</v>
      </c>
      <c r="AK5" s="1089">
        <v>0</v>
      </c>
      <c r="AL5" s="1089">
        <v>0</v>
      </c>
      <c r="AM5" s="1089">
        <v>0</v>
      </c>
      <c r="AN5" s="1089">
        <v>0</v>
      </c>
      <c r="AO5" s="1089">
        <v>0</v>
      </c>
      <c r="AP5" s="1089">
        <v>0</v>
      </c>
      <c r="AQ5" s="1089">
        <v>0</v>
      </c>
      <c r="AR5" s="1089">
        <v>0</v>
      </c>
      <c r="AS5" s="1089">
        <v>0</v>
      </c>
      <c r="AT5" s="1089">
        <v>0</v>
      </c>
      <c r="AU5" s="1089">
        <v>0</v>
      </c>
      <c r="AV5" s="1089">
        <v>0</v>
      </c>
      <c r="AW5" s="1089">
        <v>0</v>
      </c>
      <c r="AX5" s="1089">
        <v>0</v>
      </c>
      <c r="AY5" s="1089">
        <v>0</v>
      </c>
      <c r="AZ5" s="1089">
        <v>0</v>
      </c>
      <c r="BA5" s="1089">
        <v>0</v>
      </c>
      <c r="BB5" s="1089">
        <v>0</v>
      </c>
      <c r="BC5" s="1089">
        <v>0</v>
      </c>
      <c r="BD5" s="1089">
        <v>0</v>
      </c>
      <c r="BE5" s="1089"/>
      <c r="BF5" s="1089">
        <v>0</v>
      </c>
      <c r="BG5" s="1089">
        <v>0</v>
      </c>
      <c r="BH5" s="1089"/>
      <c r="BI5" s="1089">
        <v>0</v>
      </c>
      <c r="BJ5" s="1089">
        <v>0</v>
      </c>
      <c r="BK5" s="1089">
        <v>0</v>
      </c>
      <c r="BL5" s="1089">
        <v>0</v>
      </c>
      <c r="BM5" s="1042"/>
      <c r="BN5" s="1090"/>
      <c r="BO5" s="1090"/>
      <c r="BP5" s="1090"/>
      <c r="BQ5" s="1090"/>
      <c r="BR5" s="1090"/>
      <c r="BS5" s="1090"/>
      <c r="BT5" s="1088">
        <v>45230</v>
      </c>
      <c r="BU5" s="1091" t="s">
        <v>282</v>
      </c>
      <c r="BV5" s="1091" t="s">
        <v>283</v>
      </c>
      <c r="BW5" s="1090">
        <v>1153754775.8500006</v>
      </c>
    </row>
    <row r="6" spans="1:79" x14ac:dyDescent="0.25">
      <c r="BT6" s="255">
        <v>45230</v>
      </c>
      <c r="BU6" t="s">
        <v>284</v>
      </c>
      <c r="BV6" t="s">
        <v>285</v>
      </c>
      <c r="BW6" s="5">
        <v>0</v>
      </c>
    </row>
    <row r="7" spans="1:79" x14ac:dyDescent="0.25">
      <c r="BT7" s="255">
        <v>45230</v>
      </c>
      <c r="BU7" t="s">
        <v>286</v>
      </c>
      <c r="BV7" t="s">
        <v>287</v>
      </c>
      <c r="BW7" s="5">
        <v>0</v>
      </c>
    </row>
    <row r="8" spans="1:79" x14ac:dyDescent="0.25">
      <c r="BT8" s="255">
        <v>45230</v>
      </c>
      <c r="BU8" t="s">
        <v>288</v>
      </c>
      <c r="BV8" t="s">
        <v>289</v>
      </c>
      <c r="BW8" s="5" t="e">
        <v>#DIV/0!</v>
      </c>
    </row>
    <row r="9" spans="1:79" x14ac:dyDescent="0.25">
      <c r="BT9" s="255">
        <v>45230</v>
      </c>
      <c r="BU9" t="s">
        <v>290</v>
      </c>
      <c r="BV9" t="s">
        <v>291</v>
      </c>
      <c r="BW9" s="5">
        <v>1.4521267455235043E-2</v>
      </c>
    </row>
    <row r="10" spans="1:79" x14ac:dyDescent="0.25">
      <c r="BT10" s="255">
        <v>45230</v>
      </c>
      <c r="BU10" t="s">
        <v>292</v>
      </c>
      <c r="BV10" t="s">
        <v>293</v>
      </c>
      <c r="BW10" s="5">
        <v>230.16582945324032</v>
      </c>
    </row>
    <row r="11" spans="1:79" x14ac:dyDescent="0.25">
      <c r="BT11" s="255">
        <v>45230</v>
      </c>
      <c r="BU11" t="s">
        <v>294</v>
      </c>
      <c r="BV11" t="s">
        <v>295</v>
      </c>
      <c r="BW11" s="5" t="e">
        <v>#NUM!</v>
      </c>
    </row>
    <row r="12" spans="1:79" x14ac:dyDescent="0.25">
      <c r="BT12" s="255">
        <v>45230</v>
      </c>
      <c r="BU12" t="s">
        <v>296</v>
      </c>
      <c r="BV12" t="s">
        <v>297</v>
      </c>
      <c r="BW12" s="5" t="e">
        <v>#NUM!</v>
      </c>
    </row>
    <row r="13" spans="1:79" x14ac:dyDescent="0.25">
      <c r="BT13" s="255">
        <v>45230</v>
      </c>
      <c r="BU13" t="s">
        <v>298</v>
      </c>
      <c r="BV13" t="s">
        <v>299</v>
      </c>
      <c r="BW13" s="5" t="e">
        <v>#DIV/0!</v>
      </c>
    </row>
    <row r="14" spans="1:79" x14ac:dyDescent="0.25">
      <c r="BT14" s="255">
        <v>45230</v>
      </c>
      <c r="BU14" t="s">
        <v>300</v>
      </c>
      <c r="BV14" t="s">
        <v>1396</v>
      </c>
      <c r="BW14" s="5" t="e">
        <v>#DIV/0!</v>
      </c>
    </row>
    <row r="15" spans="1:79" x14ac:dyDescent="0.25">
      <c r="BT15" s="255">
        <v>45230</v>
      </c>
      <c r="BU15" t="s">
        <v>302</v>
      </c>
      <c r="BV15" t="s">
        <v>303</v>
      </c>
    </row>
    <row r="16" spans="1:79" x14ac:dyDescent="0.25">
      <c r="BT16" s="255">
        <v>45230</v>
      </c>
      <c r="BU16" t="s">
        <v>304</v>
      </c>
      <c r="BV16" t="s">
        <v>305</v>
      </c>
    </row>
    <row r="17" spans="72:76" x14ac:dyDescent="0.25">
      <c r="BT17" s="255">
        <v>45230</v>
      </c>
      <c r="BU17" t="s">
        <v>306</v>
      </c>
      <c r="BV17" t="s">
        <v>307</v>
      </c>
    </row>
    <row r="18" spans="72:76" x14ac:dyDescent="0.25">
      <c r="BT18" s="255">
        <v>45230</v>
      </c>
      <c r="BU18" t="s">
        <v>308</v>
      </c>
      <c r="BV18" t="s">
        <v>309</v>
      </c>
      <c r="BW18" s="5">
        <v>0.15681443675027024</v>
      </c>
    </row>
    <row r="19" spans="72:76" x14ac:dyDescent="0.25">
      <c r="BT19" s="255">
        <v>45230</v>
      </c>
      <c r="BU19" t="s">
        <v>310</v>
      </c>
      <c r="BV19" t="s">
        <v>311</v>
      </c>
      <c r="BW19" s="5">
        <v>4.6241082787588185E-2</v>
      </c>
    </row>
    <row r="20" spans="72:76" x14ac:dyDescent="0.25">
      <c r="BT20" s="255">
        <v>45230</v>
      </c>
      <c r="BU20" t="s">
        <v>312</v>
      </c>
      <c r="BV20" t="s">
        <v>313</v>
      </c>
      <c r="BW20" s="5">
        <v>0.10487807530825687</v>
      </c>
    </row>
    <row r="21" spans="72:76" x14ac:dyDescent="0.25">
      <c r="BT21" s="255">
        <v>45230</v>
      </c>
      <c r="BU21" t="s">
        <v>314</v>
      </c>
      <c r="BV21" t="s">
        <v>315</v>
      </c>
      <c r="BW21" s="5">
        <v>0.69206640515388607</v>
      </c>
    </row>
    <row r="22" spans="72:76" x14ac:dyDescent="0.25">
      <c r="BT22" s="255">
        <v>45230</v>
      </c>
      <c r="BU22" t="s">
        <v>321</v>
      </c>
      <c r="BV22" t="s">
        <v>1397</v>
      </c>
      <c r="BW22" s="5">
        <v>7556151.1099999966</v>
      </c>
      <c r="BX22">
        <v>0</v>
      </c>
    </row>
    <row r="23" spans="72:76" x14ac:dyDescent="0.25">
      <c r="BT23" s="255">
        <v>45230</v>
      </c>
      <c r="BU23" t="s">
        <v>323</v>
      </c>
      <c r="BV23" t="s">
        <v>324</v>
      </c>
      <c r="BW23" s="5">
        <v>16632992.649999984</v>
      </c>
      <c r="BX23">
        <v>0</v>
      </c>
    </row>
    <row r="24" spans="72:76" x14ac:dyDescent="0.25">
      <c r="BT24" s="255">
        <v>45230</v>
      </c>
      <c r="BU24" t="s">
        <v>325</v>
      </c>
      <c r="BV24" t="s">
        <v>326</v>
      </c>
      <c r="BW24" s="5">
        <v>23410628.739999991</v>
      </c>
      <c r="BX24">
        <v>0</v>
      </c>
    </row>
    <row r="25" spans="72:76" x14ac:dyDescent="0.25">
      <c r="BT25" s="255">
        <v>45230</v>
      </c>
      <c r="BU25" t="s">
        <v>327</v>
      </c>
      <c r="BV25" t="s">
        <v>328</v>
      </c>
      <c r="BW25" s="5">
        <v>31699745.619999986</v>
      </c>
      <c r="BX25">
        <v>0</v>
      </c>
    </row>
    <row r="26" spans="72:76" x14ac:dyDescent="0.25">
      <c r="BT26" s="255">
        <v>45230</v>
      </c>
      <c r="BU26" t="s">
        <v>329</v>
      </c>
      <c r="BV26" t="s">
        <v>330</v>
      </c>
      <c r="BW26" s="5">
        <v>68512794.480000049</v>
      </c>
      <c r="BX26">
        <v>0</v>
      </c>
    </row>
    <row r="27" spans="72:76" x14ac:dyDescent="0.25">
      <c r="BT27" s="255">
        <v>45230</v>
      </c>
      <c r="BU27" t="s">
        <v>331</v>
      </c>
      <c r="BV27" t="s">
        <v>332</v>
      </c>
      <c r="BW27" s="5">
        <v>69341831.409999996</v>
      </c>
      <c r="BX27">
        <v>0</v>
      </c>
    </row>
    <row r="28" spans="72:76" x14ac:dyDescent="0.25">
      <c r="BT28" s="255">
        <v>45230</v>
      </c>
      <c r="BU28" t="s">
        <v>333</v>
      </c>
      <c r="BV28" t="s">
        <v>334</v>
      </c>
      <c r="BW28" s="5">
        <v>64293582.490000002</v>
      </c>
      <c r="BX28">
        <v>0</v>
      </c>
    </row>
    <row r="29" spans="72:76" x14ac:dyDescent="0.25">
      <c r="BT29" s="255">
        <v>45230</v>
      </c>
      <c r="BU29" t="s">
        <v>335</v>
      </c>
      <c r="BV29" t="s">
        <v>336</v>
      </c>
      <c r="BW29" s="5">
        <v>51039503.590000004</v>
      </c>
      <c r="BX29">
        <v>0</v>
      </c>
    </row>
    <row r="30" spans="72:76" x14ac:dyDescent="0.25">
      <c r="BT30" s="255">
        <v>45230</v>
      </c>
      <c r="BU30" t="s">
        <v>337</v>
      </c>
      <c r="BV30" t="s">
        <v>338</v>
      </c>
      <c r="BW30" s="5">
        <v>44100499.510000005</v>
      </c>
      <c r="BX30">
        <v>0</v>
      </c>
    </row>
    <row r="31" spans="72:76" x14ac:dyDescent="0.25">
      <c r="BT31" s="255">
        <v>45230</v>
      </c>
      <c r="BU31" t="s">
        <v>339</v>
      </c>
      <c r="BV31" t="s">
        <v>340</v>
      </c>
      <c r="BW31" s="5">
        <v>34272057.100000009</v>
      </c>
      <c r="BX31">
        <v>0</v>
      </c>
    </row>
    <row r="32" spans="72:76" x14ac:dyDescent="0.25">
      <c r="BT32" s="255">
        <v>45230</v>
      </c>
      <c r="BU32" t="s">
        <v>341</v>
      </c>
      <c r="BV32" t="s">
        <v>342</v>
      </c>
      <c r="BW32" s="5">
        <v>31081869.030000009</v>
      </c>
      <c r="BX32">
        <v>0</v>
      </c>
    </row>
    <row r="33" spans="72:76" x14ac:dyDescent="0.25">
      <c r="BT33" s="255">
        <v>45230</v>
      </c>
      <c r="BU33" t="s">
        <v>343</v>
      </c>
      <c r="BV33" t="s">
        <v>344</v>
      </c>
      <c r="BW33" s="5">
        <v>24837236.68</v>
      </c>
      <c r="BX33">
        <v>0</v>
      </c>
    </row>
    <row r="34" spans="72:76" x14ac:dyDescent="0.25">
      <c r="BT34" s="255">
        <v>45230</v>
      </c>
      <c r="BU34" t="s">
        <v>345</v>
      </c>
      <c r="BV34" t="s">
        <v>346</v>
      </c>
      <c r="BW34" s="5">
        <v>22605274.069999997</v>
      </c>
      <c r="BX34">
        <v>0</v>
      </c>
    </row>
    <row r="35" spans="72:76" x14ac:dyDescent="0.25">
      <c r="BT35" s="255">
        <v>45230</v>
      </c>
      <c r="BU35" t="s">
        <v>347</v>
      </c>
      <c r="BV35" t="s">
        <v>348</v>
      </c>
      <c r="BW35" s="5">
        <v>19643929.540000003</v>
      </c>
      <c r="BX35">
        <v>0</v>
      </c>
    </row>
    <row r="36" spans="72:76" x14ac:dyDescent="0.25">
      <c r="BT36" s="255">
        <v>45230</v>
      </c>
      <c r="BU36" t="s">
        <v>349</v>
      </c>
      <c r="BV36" t="s">
        <v>350</v>
      </c>
      <c r="BW36" s="5">
        <v>18849250.139999997</v>
      </c>
      <c r="BX36">
        <v>0</v>
      </c>
    </row>
    <row r="37" spans="72:76" x14ac:dyDescent="0.25">
      <c r="BT37" s="255">
        <v>45230</v>
      </c>
      <c r="BU37" t="s">
        <v>351</v>
      </c>
      <c r="BV37" t="s">
        <v>352</v>
      </c>
      <c r="BW37" s="5">
        <v>16998452.719999999</v>
      </c>
      <c r="BX37">
        <v>0</v>
      </c>
    </row>
    <row r="38" spans="72:76" x14ac:dyDescent="0.25">
      <c r="BT38" s="255">
        <v>45230</v>
      </c>
      <c r="BU38" t="s">
        <v>353</v>
      </c>
      <c r="BV38" t="s">
        <v>354</v>
      </c>
      <c r="BW38" s="5">
        <v>13162275.870000001</v>
      </c>
      <c r="BX38">
        <v>0</v>
      </c>
    </row>
    <row r="39" spans="72:76" x14ac:dyDescent="0.25">
      <c r="BT39" s="255">
        <v>45230</v>
      </c>
      <c r="BU39" t="s">
        <v>355</v>
      </c>
      <c r="BV39" t="s">
        <v>356</v>
      </c>
      <c r="BW39" s="5">
        <v>14632369.139999999</v>
      </c>
      <c r="BX39">
        <v>0</v>
      </c>
    </row>
    <row r="40" spans="72:76" x14ac:dyDescent="0.25">
      <c r="BT40" s="255">
        <v>45230</v>
      </c>
      <c r="BU40" t="s">
        <v>357</v>
      </c>
      <c r="BV40" t="s">
        <v>358</v>
      </c>
      <c r="BW40" s="5">
        <v>9875758.6300000008</v>
      </c>
      <c r="BX40">
        <v>0</v>
      </c>
    </row>
    <row r="41" spans="72:76" x14ac:dyDescent="0.25">
      <c r="BT41" s="255">
        <v>45230</v>
      </c>
      <c r="BU41" t="s">
        <v>359</v>
      </c>
      <c r="BV41" t="s">
        <v>360</v>
      </c>
      <c r="BW41" s="5">
        <v>9728023.7299999986</v>
      </c>
      <c r="BX41">
        <v>0</v>
      </c>
    </row>
    <row r="42" spans="72:76" x14ac:dyDescent="0.25">
      <c r="BT42" s="255">
        <v>45230</v>
      </c>
      <c r="BU42" t="s">
        <v>361</v>
      </c>
      <c r="BV42" t="s">
        <v>362</v>
      </c>
      <c r="BW42" s="5">
        <v>12032517.440000001</v>
      </c>
      <c r="BX42">
        <v>0</v>
      </c>
    </row>
    <row r="43" spans="72:76" x14ac:dyDescent="0.25">
      <c r="BT43" s="255">
        <v>45230</v>
      </c>
      <c r="BU43" t="s">
        <v>363</v>
      </c>
      <c r="BV43" t="s">
        <v>364</v>
      </c>
      <c r="BW43" s="5">
        <v>10765983.1</v>
      </c>
      <c r="BX43">
        <v>0</v>
      </c>
    </row>
    <row r="44" spans="72:76" x14ac:dyDescent="0.25">
      <c r="BT44" s="255">
        <v>45230</v>
      </c>
      <c r="BU44" t="s">
        <v>365</v>
      </c>
      <c r="BV44" t="s">
        <v>1398</v>
      </c>
      <c r="BW44" s="5">
        <v>136012287.58000007</v>
      </c>
      <c r="BX44">
        <v>1</v>
      </c>
    </row>
    <row r="45" spans="72:76" x14ac:dyDescent="0.25">
      <c r="BT45" s="255">
        <v>45230</v>
      </c>
      <c r="BU45" t="s">
        <v>367</v>
      </c>
      <c r="BV45" t="s">
        <v>368</v>
      </c>
      <c r="BW45" s="5">
        <v>4177129.47</v>
      </c>
    </row>
    <row r="46" spans="72:76" x14ac:dyDescent="0.25">
      <c r="BT46" s="255">
        <v>45230</v>
      </c>
      <c r="BU46" t="s">
        <v>369</v>
      </c>
      <c r="BV46" t="s">
        <v>370</v>
      </c>
      <c r="BW46" s="5">
        <v>146.93</v>
      </c>
    </row>
    <row r="47" spans="72:76" x14ac:dyDescent="0.25">
      <c r="BT47" s="255">
        <v>45230</v>
      </c>
      <c r="BU47" t="s">
        <v>371</v>
      </c>
      <c r="BV47" t="s">
        <v>372</v>
      </c>
      <c r="BW47" s="5">
        <v>195239.15112295272</v>
      </c>
    </row>
    <row r="48" spans="72:76" x14ac:dyDescent="0.25">
      <c r="BT48" s="255">
        <v>45230</v>
      </c>
      <c r="BU48" t="s">
        <v>375</v>
      </c>
      <c r="BV48" t="s">
        <v>1397</v>
      </c>
      <c r="BW48" s="5">
        <v>89007.37</v>
      </c>
      <c r="BX48" s="1092">
        <v>0</v>
      </c>
    </row>
    <row r="49" spans="72:76" x14ac:dyDescent="0.25">
      <c r="BT49" s="255">
        <v>45230</v>
      </c>
      <c r="BU49" t="s">
        <v>376</v>
      </c>
      <c r="BV49" t="s">
        <v>324</v>
      </c>
      <c r="BW49" s="5">
        <v>1184723.47</v>
      </c>
      <c r="BX49" s="1092">
        <v>0</v>
      </c>
    </row>
    <row r="50" spans="72:76" x14ac:dyDescent="0.25">
      <c r="BT50" s="255">
        <v>45230</v>
      </c>
      <c r="BU50" t="s">
        <v>377</v>
      </c>
      <c r="BV50" t="s">
        <v>326</v>
      </c>
      <c r="BW50" s="5">
        <v>3081836.3200000012</v>
      </c>
      <c r="BX50" s="1092">
        <v>0</v>
      </c>
    </row>
    <row r="51" spans="72:76" x14ac:dyDescent="0.25">
      <c r="BT51" s="255">
        <v>45230</v>
      </c>
      <c r="BU51" t="s">
        <v>378</v>
      </c>
      <c r="BV51" t="s">
        <v>328</v>
      </c>
      <c r="BW51" s="5">
        <v>12255156.090000002</v>
      </c>
      <c r="BX51" s="1092">
        <v>0</v>
      </c>
    </row>
    <row r="52" spans="72:76" x14ac:dyDescent="0.25">
      <c r="BT52" s="255">
        <v>45230</v>
      </c>
      <c r="BU52" t="s">
        <v>379</v>
      </c>
      <c r="BV52" t="s">
        <v>330</v>
      </c>
      <c r="BW52" s="5">
        <v>41650256.260000065</v>
      </c>
      <c r="BX52" s="1092">
        <v>0</v>
      </c>
    </row>
    <row r="53" spans="72:76" x14ac:dyDescent="0.25">
      <c r="BT53" s="255">
        <v>45230</v>
      </c>
      <c r="BU53" t="s">
        <v>380</v>
      </c>
      <c r="BV53" t="s">
        <v>332</v>
      </c>
      <c r="BW53" s="5">
        <v>62272966.900000013</v>
      </c>
      <c r="BX53" s="1092">
        <v>0</v>
      </c>
    </row>
    <row r="54" spans="72:76" x14ac:dyDescent="0.25">
      <c r="BT54" s="255">
        <v>45230</v>
      </c>
      <c r="BU54" t="s">
        <v>381</v>
      </c>
      <c r="BV54" t="s">
        <v>334</v>
      </c>
      <c r="BW54" s="5">
        <v>74593054.670000002</v>
      </c>
      <c r="BX54" s="1092">
        <v>0</v>
      </c>
    </row>
    <row r="55" spans="72:76" x14ac:dyDescent="0.25">
      <c r="BT55" s="255">
        <v>45230</v>
      </c>
      <c r="BU55" t="s">
        <v>382</v>
      </c>
      <c r="BV55" t="s">
        <v>336</v>
      </c>
      <c r="BW55" s="5">
        <v>69057425.26000002</v>
      </c>
      <c r="BX55" s="1092">
        <v>0</v>
      </c>
    </row>
    <row r="56" spans="72:76" x14ac:dyDescent="0.25">
      <c r="BT56" s="255">
        <v>45230</v>
      </c>
      <c r="BU56" t="s">
        <v>383</v>
      </c>
      <c r="BV56" t="s">
        <v>338</v>
      </c>
      <c r="BW56" s="5">
        <v>51320237.069999963</v>
      </c>
      <c r="BX56" s="1092">
        <v>0</v>
      </c>
    </row>
    <row r="57" spans="72:76" x14ac:dyDescent="0.25">
      <c r="BT57" s="255">
        <v>45230</v>
      </c>
      <c r="BU57" t="s">
        <v>384</v>
      </c>
      <c r="BV57" t="s">
        <v>340</v>
      </c>
      <c r="BW57" s="5">
        <v>44988597.769999966</v>
      </c>
      <c r="BX57" s="1092">
        <v>0</v>
      </c>
    </row>
    <row r="58" spans="72:76" x14ac:dyDescent="0.25">
      <c r="BT58" s="255">
        <v>45230</v>
      </c>
      <c r="BU58" t="s">
        <v>385</v>
      </c>
      <c r="BV58" t="s">
        <v>342</v>
      </c>
      <c r="BW58" s="5">
        <v>28685217.690000009</v>
      </c>
      <c r="BX58" s="1092">
        <v>0</v>
      </c>
    </row>
    <row r="59" spans="72:76" x14ac:dyDescent="0.25">
      <c r="BT59" s="255">
        <v>45230</v>
      </c>
      <c r="BU59" t="s">
        <v>386</v>
      </c>
      <c r="BV59" t="s">
        <v>344</v>
      </c>
      <c r="BW59" s="5">
        <v>33152712.700000003</v>
      </c>
      <c r="BX59" s="1092">
        <v>0</v>
      </c>
    </row>
    <row r="60" spans="72:76" x14ac:dyDescent="0.25">
      <c r="BT60" s="255">
        <v>45230</v>
      </c>
      <c r="BU60" t="s">
        <v>387</v>
      </c>
      <c r="BV60" t="s">
        <v>346</v>
      </c>
      <c r="BW60" s="5">
        <v>23948057.319999997</v>
      </c>
      <c r="BX60" s="1092">
        <v>0</v>
      </c>
    </row>
    <row r="61" spans="72:76" x14ac:dyDescent="0.25">
      <c r="BT61" s="255">
        <v>45230</v>
      </c>
      <c r="BU61" t="s">
        <v>388</v>
      </c>
      <c r="BV61" t="s">
        <v>348</v>
      </c>
      <c r="BW61" s="5">
        <v>24481295.32</v>
      </c>
      <c r="BX61" s="1092">
        <v>0</v>
      </c>
    </row>
    <row r="62" spans="72:76" x14ac:dyDescent="0.25">
      <c r="BT62" s="255">
        <v>45230</v>
      </c>
      <c r="BU62" t="s">
        <v>389</v>
      </c>
      <c r="BV62" t="s">
        <v>350</v>
      </c>
      <c r="BW62" s="5">
        <v>16496447.319999995</v>
      </c>
      <c r="BX62" s="1092">
        <v>0</v>
      </c>
    </row>
    <row r="63" spans="72:76" x14ac:dyDescent="0.25">
      <c r="BT63" s="255">
        <v>45230</v>
      </c>
      <c r="BU63" t="s">
        <v>390</v>
      </c>
      <c r="BV63" t="s">
        <v>352</v>
      </c>
      <c r="BW63" s="5">
        <v>17493267.57</v>
      </c>
      <c r="BX63" s="1092">
        <v>0</v>
      </c>
    </row>
    <row r="64" spans="72:76" x14ac:dyDescent="0.25">
      <c r="BT64" s="255">
        <v>45230</v>
      </c>
      <c r="BU64" t="s">
        <v>391</v>
      </c>
      <c r="BV64" t="s">
        <v>354</v>
      </c>
      <c r="BW64" s="5">
        <v>17720407.48</v>
      </c>
      <c r="BX64" s="1092">
        <v>0</v>
      </c>
    </row>
    <row r="65" spans="72:76" x14ac:dyDescent="0.25">
      <c r="BT65" s="255">
        <v>45230</v>
      </c>
      <c r="BU65" t="s">
        <v>392</v>
      </c>
      <c r="BV65" t="s">
        <v>356</v>
      </c>
      <c r="BW65" s="5">
        <v>22990703.929999996</v>
      </c>
      <c r="BX65" s="1092">
        <v>0</v>
      </c>
    </row>
    <row r="66" spans="72:76" x14ac:dyDescent="0.25">
      <c r="BT66" s="255">
        <v>45230</v>
      </c>
      <c r="BU66" t="s">
        <v>393</v>
      </c>
      <c r="BV66" t="s">
        <v>358</v>
      </c>
      <c r="BW66" s="5">
        <v>7795749.0199999996</v>
      </c>
      <c r="BX66" s="1092">
        <v>0</v>
      </c>
    </row>
    <row r="67" spans="72:76" x14ac:dyDescent="0.25">
      <c r="BT67" s="255">
        <v>45230</v>
      </c>
      <c r="BU67" t="s">
        <v>394</v>
      </c>
      <c r="BV67" t="s">
        <v>360</v>
      </c>
      <c r="BW67" s="5">
        <v>9263280.5800000001</v>
      </c>
      <c r="BX67" s="1092">
        <v>0</v>
      </c>
    </row>
    <row r="68" spans="72:76" x14ac:dyDescent="0.25">
      <c r="BT68" s="255">
        <v>45230</v>
      </c>
      <c r="BU68" t="s">
        <v>395</v>
      </c>
      <c r="BV68" t="s">
        <v>362</v>
      </c>
      <c r="BW68" s="5">
        <v>10058347.550000001</v>
      </c>
      <c r="BX68" s="1092">
        <v>0</v>
      </c>
    </row>
    <row r="69" spans="72:76" x14ac:dyDescent="0.25">
      <c r="BT69" s="255">
        <v>45230</v>
      </c>
      <c r="BU69" t="s">
        <v>396</v>
      </c>
      <c r="BV69" t="s">
        <v>364</v>
      </c>
      <c r="BW69" s="5">
        <v>16220805.410000002</v>
      </c>
      <c r="BX69" s="1092">
        <v>0</v>
      </c>
    </row>
    <row r="70" spans="72:76" x14ac:dyDescent="0.25">
      <c r="BT70" s="255">
        <v>45230</v>
      </c>
      <c r="BU70" t="s">
        <v>397</v>
      </c>
      <c r="BV70" t="s">
        <v>1398</v>
      </c>
      <c r="BW70" s="5">
        <v>162285461.30000004</v>
      </c>
      <c r="BX70" s="1092">
        <v>1</v>
      </c>
    </row>
    <row r="71" spans="72:76" x14ac:dyDescent="0.25">
      <c r="BT71" s="255">
        <v>45230</v>
      </c>
      <c r="BU71" t="s">
        <v>398</v>
      </c>
      <c r="BV71" t="s">
        <v>368</v>
      </c>
      <c r="BW71" s="5">
        <v>8500000</v>
      </c>
      <c r="BX71" s="1092"/>
    </row>
    <row r="72" spans="72:76" x14ac:dyDescent="0.25">
      <c r="BT72" s="255">
        <v>45230</v>
      </c>
      <c r="BU72" t="s">
        <v>399</v>
      </c>
      <c r="BV72" t="s">
        <v>370</v>
      </c>
      <c r="BW72" s="5">
        <v>15000</v>
      </c>
      <c r="BX72" s="1092"/>
    </row>
    <row r="73" spans="72:76" x14ac:dyDescent="0.25">
      <c r="BT73" s="255">
        <v>45230</v>
      </c>
      <c r="BU73" t="s">
        <v>400</v>
      </c>
      <c r="BV73" t="s">
        <v>372</v>
      </c>
      <c r="BW73" s="5">
        <v>299910.26146347821</v>
      </c>
      <c r="BX73" s="1092"/>
    </row>
    <row r="74" spans="72:76" x14ac:dyDescent="0.25">
      <c r="BT74" s="255">
        <v>45230</v>
      </c>
      <c r="BU74" t="s">
        <v>403</v>
      </c>
      <c r="BV74" t="s">
        <v>404</v>
      </c>
      <c r="BW74" s="5">
        <v>44806253.179999992</v>
      </c>
      <c r="BX74" s="1092">
        <v>0</v>
      </c>
    </row>
    <row r="75" spans="72:76" x14ac:dyDescent="0.25">
      <c r="BT75" s="255">
        <v>45230</v>
      </c>
      <c r="BU75" t="s">
        <v>405</v>
      </c>
      <c r="BV75" t="s">
        <v>406</v>
      </c>
      <c r="BW75" s="5">
        <v>52411382.599999994</v>
      </c>
      <c r="BX75" s="1092">
        <v>1</v>
      </c>
    </row>
    <row r="76" spans="72:76" x14ac:dyDescent="0.25">
      <c r="BT76" s="255">
        <v>45230</v>
      </c>
      <c r="BU76" t="s">
        <v>407</v>
      </c>
      <c r="BV76" t="s">
        <v>408</v>
      </c>
      <c r="BW76" s="5">
        <v>116666157.68000007</v>
      </c>
      <c r="BX76" s="1092">
        <v>0</v>
      </c>
    </row>
    <row r="77" spans="72:76" x14ac:dyDescent="0.25">
      <c r="BT77" s="255">
        <v>45230</v>
      </c>
      <c r="BU77" t="s">
        <v>409</v>
      </c>
      <c r="BV77" t="s">
        <v>410</v>
      </c>
      <c r="BW77" s="5">
        <v>45296650.850000016</v>
      </c>
      <c r="BX77" s="1092">
        <v>0</v>
      </c>
    </row>
    <row r="78" spans="72:76" x14ac:dyDescent="0.25">
      <c r="BT78" s="255">
        <v>45230</v>
      </c>
      <c r="BU78" t="s">
        <v>411</v>
      </c>
      <c r="BV78" t="s">
        <v>412</v>
      </c>
      <c r="BW78" s="5">
        <v>53934764.440000042</v>
      </c>
      <c r="BX78" s="1092">
        <v>0</v>
      </c>
    </row>
    <row r="79" spans="72:76" x14ac:dyDescent="0.25">
      <c r="BT79" s="255">
        <v>45230</v>
      </c>
      <c r="BU79" t="s">
        <v>413</v>
      </c>
      <c r="BV79" t="s">
        <v>414</v>
      </c>
      <c r="BW79" s="5">
        <v>56322662.260000013</v>
      </c>
      <c r="BX79" s="1092">
        <v>0</v>
      </c>
    </row>
    <row r="80" spans="72:76" x14ac:dyDescent="0.25">
      <c r="BT80" s="255">
        <v>45230</v>
      </c>
      <c r="BU80" t="s">
        <v>415</v>
      </c>
      <c r="BV80" t="s">
        <v>416</v>
      </c>
      <c r="BW80" s="5">
        <v>64821278.870000049</v>
      </c>
      <c r="BX80" s="1092">
        <v>0</v>
      </c>
    </row>
    <row r="81" spans="72:76" x14ac:dyDescent="0.25">
      <c r="BT81" s="255">
        <v>45230</v>
      </c>
      <c r="BU81" t="s">
        <v>417</v>
      </c>
      <c r="BV81" t="s">
        <v>418</v>
      </c>
      <c r="BW81" s="5">
        <v>60790948.970000021</v>
      </c>
      <c r="BX81" s="1092">
        <v>0</v>
      </c>
    </row>
    <row r="82" spans="72:76" x14ac:dyDescent="0.25">
      <c r="BT82" s="255">
        <v>45230</v>
      </c>
      <c r="BU82" t="s">
        <v>419</v>
      </c>
      <c r="BV82" t="s">
        <v>420</v>
      </c>
      <c r="BW82" s="5">
        <v>30188989.910000004</v>
      </c>
      <c r="BX82" s="1092">
        <v>0</v>
      </c>
    </row>
    <row r="83" spans="72:76" x14ac:dyDescent="0.25">
      <c r="BT83" s="255">
        <v>45230</v>
      </c>
      <c r="BU83" t="s">
        <v>421</v>
      </c>
      <c r="BV83" t="s">
        <v>422</v>
      </c>
      <c r="BW83" s="5">
        <v>14451071.690000007</v>
      </c>
      <c r="BX83" s="1092">
        <v>0</v>
      </c>
    </row>
    <row r="84" spans="72:76" x14ac:dyDescent="0.25">
      <c r="BT84" s="255">
        <v>45230</v>
      </c>
      <c r="BU84" t="s">
        <v>423</v>
      </c>
      <c r="BV84" t="s">
        <v>424</v>
      </c>
      <c r="BW84" s="5">
        <v>29619972.720000003</v>
      </c>
      <c r="BX84" s="1092">
        <v>0</v>
      </c>
    </row>
    <row r="85" spans="72:76" x14ac:dyDescent="0.25">
      <c r="BT85" s="255">
        <v>45230</v>
      </c>
      <c r="BU85" t="s">
        <v>425</v>
      </c>
      <c r="BV85" t="s">
        <v>426</v>
      </c>
      <c r="BW85" s="5">
        <v>22314085.280000009</v>
      </c>
      <c r="BX85" s="1092">
        <v>0</v>
      </c>
    </row>
    <row r="86" spans="72:76" x14ac:dyDescent="0.25">
      <c r="BT86" s="255">
        <v>45230</v>
      </c>
      <c r="BU86" t="s">
        <v>427</v>
      </c>
      <c r="BV86" t="s">
        <v>428</v>
      </c>
      <c r="BW86" s="5">
        <v>32316922.050000004</v>
      </c>
      <c r="BX86" s="1092">
        <v>0</v>
      </c>
    </row>
    <row r="87" spans="72:76" x14ac:dyDescent="0.25">
      <c r="BT87" s="255">
        <v>45230</v>
      </c>
      <c r="BU87" t="s">
        <v>429</v>
      </c>
      <c r="BV87" t="s">
        <v>430</v>
      </c>
      <c r="BW87" s="5">
        <v>9212030.3199999966</v>
      </c>
      <c r="BX87" s="1092">
        <v>0</v>
      </c>
    </row>
    <row r="88" spans="72:76" x14ac:dyDescent="0.25">
      <c r="BT88" s="255">
        <v>45230</v>
      </c>
      <c r="BU88" t="s">
        <v>431</v>
      </c>
      <c r="BV88" t="s">
        <v>1399</v>
      </c>
      <c r="BW88" s="5">
        <v>111307404.00000003</v>
      </c>
      <c r="BX88" s="1092">
        <v>0</v>
      </c>
    </row>
    <row r="89" spans="72:76" x14ac:dyDescent="0.25">
      <c r="BT89" s="255">
        <v>45230</v>
      </c>
      <c r="BU89" t="s">
        <v>433</v>
      </c>
      <c r="BV89" t="s">
        <v>368</v>
      </c>
      <c r="BW89" s="5" t="e">
        <v>#NUM!</v>
      </c>
      <c r="BX89" s="1092"/>
    </row>
    <row r="90" spans="72:76" x14ac:dyDescent="0.25">
      <c r="BT90" s="255">
        <v>45230</v>
      </c>
      <c r="BU90" t="s">
        <v>434</v>
      </c>
      <c r="BV90" t="s">
        <v>370</v>
      </c>
      <c r="BW90" s="5" t="e">
        <v>#NUM!</v>
      </c>
      <c r="BX90" s="1092"/>
    </row>
    <row r="91" spans="72:76" x14ac:dyDescent="0.25">
      <c r="BT91" s="255">
        <v>45230</v>
      </c>
      <c r="BU91" t="s">
        <v>435</v>
      </c>
      <c r="BV91" t="s">
        <v>372</v>
      </c>
      <c r="BW91" s="5" t="e">
        <v>#NUM!</v>
      </c>
      <c r="BX91" s="1092"/>
    </row>
    <row r="92" spans="72:76" x14ac:dyDescent="0.25">
      <c r="BT92" s="255">
        <v>45230</v>
      </c>
      <c r="BU92" t="s">
        <v>438</v>
      </c>
      <c r="BV92" t="s">
        <v>404</v>
      </c>
      <c r="BW92" s="5">
        <v>193675.46000000005</v>
      </c>
      <c r="BX92" s="1092">
        <v>0</v>
      </c>
    </row>
    <row r="93" spans="72:76" x14ac:dyDescent="0.25">
      <c r="BT93" s="255">
        <v>45230</v>
      </c>
      <c r="BU93" t="s">
        <v>439</v>
      </c>
      <c r="BV93" t="s">
        <v>406</v>
      </c>
      <c r="BW93" s="5">
        <v>2094124.92</v>
      </c>
      <c r="BX93" s="1092">
        <v>0</v>
      </c>
    </row>
    <row r="94" spans="72:76" x14ac:dyDescent="0.25">
      <c r="BT94" s="255">
        <v>45230</v>
      </c>
      <c r="BU94" t="s">
        <v>440</v>
      </c>
      <c r="BV94" t="s">
        <v>408</v>
      </c>
      <c r="BW94" s="5">
        <v>4354905.3500000015</v>
      </c>
      <c r="BX94" s="1092">
        <v>0</v>
      </c>
    </row>
    <row r="95" spans="72:76" x14ac:dyDescent="0.25">
      <c r="BT95" s="255">
        <v>45230</v>
      </c>
      <c r="BU95" t="s">
        <v>441</v>
      </c>
      <c r="BV95" t="s">
        <v>410</v>
      </c>
      <c r="BW95" s="5">
        <v>5823463.3999999948</v>
      </c>
      <c r="BX95" s="1092">
        <v>0</v>
      </c>
    </row>
    <row r="96" spans="72:76" x14ac:dyDescent="0.25">
      <c r="BT96" s="255">
        <v>45230</v>
      </c>
      <c r="BU96" t="s">
        <v>442</v>
      </c>
      <c r="BV96" t="s">
        <v>412</v>
      </c>
      <c r="BW96" s="5">
        <v>5675797.6899999948</v>
      </c>
      <c r="BX96" s="1092">
        <v>0</v>
      </c>
    </row>
    <row r="97" spans="72:76" x14ac:dyDescent="0.25">
      <c r="BT97" s="255">
        <v>45230</v>
      </c>
      <c r="BU97" t="s">
        <v>443</v>
      </c>
      <c r="BV97" t="s">
        <v>414</v>
      </c>
      <c r="BW97" s="5">
        <v>2988043.77</v>
      </c>
      <c r="BX97" s="1092">
        <v>0</v>
      </c>
    </row>
    <row r="98" spans="72:76" x14ac:dyDescent="0.25">
      <c r="BT98" s="255">
        <v>45230</v>
      </c>
      <c r="BU98" t="s">
        <v>444</v>
      </c>
      <c r="BV98" t="s">
        <v>416</v>
      </c>
      <c r="BW98" s="5">
        <v>4968134.3899999997</v>
      </c>
      <c r="BX98" s="1092">
        <v>0</v>
      </c>
    </row>
    <row r="99" spans="72:76" x14ac:dyDescent="0.25">
      <c r="BT99" s="255">
        <v>45230</v>
      </c>
      <c r="BU99" t="s">
        <v>445</v>
      </c>
      <c r="BV99" t="s">
        <v>418</v>
      </c>
      <c r="BW99" s="5">
        <v>4839884.43</v>
      </c>
      <c r="BX99" s="1092">
        <v>0</v>
      </c>
    </row>
    <row r="100" spans="72:76" x14ac:dyDescent="0.25">
      <c r="BT100" s="255">
        <v>45230</v>
      </c>
      <c r="BU100" t="s">
        <v>446</v>
      </c>
      <c r="BV100" t="s">
        <v>420</v>
      </c>
      <c r="BW100" s="5">
        <v>6196153.1699999971</v>
      </c>
      <c r="BX100" s="1092">
        <v>0</v>
      </c>
    </row>
    <row r="101" spans="72:76" x14ac:dyDescent="0.25">
      <c r="BT101" s="255">
        <v>45230</v>
      </c>
      <c r="BU101" t="s">
        <v>447</v>
      </c>
      <c r="BV101" t="s">
        <v>422</v>
      </c>
      <c r="BW101" s="5">
        <v>10831637.800000004</v>
      </c>
      <c r="BX101" s="1092">
        <v>0</v>
      </c>
    </row>
    <row r="102" spans="72:76" x14ac:dyDescent="0.25">
      <c r="BT102" s="255">
        <v>45230</v>
      </c>
      <c r="BU102" t="s">
        <v>448</v>
      </c>
      <c r="BV102" t="s">
        <v>424</v>
      </c>
      <c r="BW102" s="5">
        <v>5954227.8000000007</v>
      </c>
      <c r="BX102" s="1092">
        <v>0</v>
      </c>
    </row>
    <row r="103" spans="72:76" x14ac:dyDescent="0.25">
      <c r="BT103" s="255">
        <v>45230</v>
      </c>
      <c r="BU103" t="s">
        <v>449</v>
      </c>
      <c r="BV103" t="s">
        <v>426</v>
      </c>
      <c r="BW103" s="5">
        <v>12932433.809999997</v>
      </c>
      <c r="BX103" s="1092">
        <v>0</v>
      </c>
    </row>
    <row r="104" spans="72:76" x14ac:dyDescent="0.25">
      <c r="BT104" s="255">
        <v>45230</v>
      </c>
      <c r="BU104" t="s">
        <v>450</v>
      </c>
      <c r="BV104" t="s">
        <v>428</v>
      </c>
      <c r="BW104" s="5">
        <v>17227418.779999997</v>
      </c>
      <c r="BX104" s="1092">
        <v>0</v>
      </c>
    </row>
    <row r="105" spans="72:76" x14ac:dyDescent="0.25">
      <c r="BT105" s="255">
        <v>45230</v>
      </c>
      <c r="BU105" t="s">
        <v>451</v>
      </c>
      <c r="BV105" t="s">
        <v>430</v>
      </c>
      <c r="BW105" s="5">
        <v>13028368.589999998</v>
      </c>
      <c r="BX105" s="1092">
        <v>0</v>
      </c>
    </row>
    <row r="106" spans="72:76" x14ac:dyDescent="0.25">
      <c r="BT106" s="255">
        <v>45230</v>
      </c>
      <c r="BU106" t="s">
        <v>452</v>
      </c>
      <c r="BV106" t="s">
        <v>1399</v>
      </c>
      <c r="BW106" s="5">
        <v>653974468.25000012</v>
      </c>
      <c r="BX106" s="1092">
        <v>1</v>
      </c>
    </row>
    <row r="107" spans="72:76" x14ac:dyDescent="0.25">
      <c r="BT107" s="255">
        <v>45230</v>
      </c>
      <c r="BU107" t="s">
        <v>453</v>
      </c>
      <c r="BV107" t="s">
        <v>368</v>
      </c>
      <c r="BW107" s="5" t="e">
        <v>#NUM!</v>
      </c>
      <c r="BX107" s="1092"/>
    </row>
    <row r="108" spans="72:76" x14ac:dyDescent="0.25">
      <c r="BT108" s="255">
        <v>45230</v>
      </c>
      <c r="BU108" t="s">
        <v>454</v>
      </c>
      <c r="BV108" t="s">
        <v>370</v>
      </c>
      <c r="BW108" s="5" t="e">
        <v>#NUM!</v>
      </c>
      <c r="BX108" s="1092"/>
    </row>
    <row r="109" spans="72:76" x14ac:dyDescent="0.25">
      <c r="BT109" s="255">
        <v>45230</v>
      </c>
      <c r="BU109" t="s">
        <v>455</v>
      </c>
      <c r="BV109" t="s">
        <v>372</v>
      </c>
      <c r="BW109" s="5" t="e">
        <v>#NUM!</v>
      </c>
      <c r="BX109" s="1092"/>
    </row>
    <row r="110" spans="72:76" x14ac:dyDescent="0.25">
      <c r="BT110" s="255">
        <v>45230</v>
      </c>
      <c r="BU110" t="s">
        <v>458</v>
      </c>
      <c r="BV110">
        <v>2015</v>
      </c>
      <c r="BW110" s="5">
        <v>0</v>
      </c>
      <c r="BX110" s="1092">
        <v>0</v>
      </c>
    </row>
    <row r="111" spans="72:76" x14ac:dyDescent="0.25">
      <c r="BT111" s="255">
        <v>45230</v>
      </c>
      <c r="BU111" t="s">
        <v>459</v>
      </c>
      <c r="BV111">
        <v>2016</v>
      </c>
      <c r="BW111" s="5">
        <v>0</v>
      </c>
      <c r="BX111" s="1092">
        <v>0</v>
      </c>
    </row>
    <row r="112" spans="72:76" x14ac:dyDescent="0.25">
      <c r="BT112" s="255">
        <v>45230</v>
      </c>
      <c r="BU112" t="s">
        <v>460</v>
      </c>
      <c r="BV112">
        <v>2017</v>
      </c>
      <c r="BW112" s="5">
        <v>0</v>
      </c>
      <c r="BX112" s="1092">
        <v>0</v>
      </c>
    </row>
    <row r="113" spans="72:76" x14ac:dyDescent="0.25">
      <c r="BT113" s="255">
        <v>45230</v>
      </c>
      <c r="BU113" t="s">
        <v>461</v>
      </c>
      <c r="BV113">
        <v>2018</v>
      </c>
      <c r="BW113" s="5">
        <v>0</v>
      </c>
      <c r="BX113" s="1092">
        <v>0</v>
      </c>
    </row>
    <row r="114" spans="72:76" x14ac:dyDescent="0.25">
      <c r="BT114" s="255">
        <v>45230</v>
      </c>
      <c r="BU114" t="s">
        <v>462</v>
      </c>
      <c r="BV114">
        <v>2019</v>
      </c>
      <c r="BW114" s="5">
        <v>0</v>
      </c>
      <c r="BX114" s="1092">
        <v>0</v>
      </c>
    </row>
    <row r="115" spans="72:76" x14ac:dyDescent="0.25">
      <c r="BT115" s="255">
        <v>45230</v>
      </c>
      <c r="BU115" t="s">
        <v>463</v>
      </c>
      <c r="BV115">
        <v>2020</v>
      </c>
      <c r="BW115" s="5">
        <v>0</v>
      </c>
      <c r="BX115" s="1092">
        <v>0</v>
      </c>
    </row>
    <row r="116" spans="72:76" x14ac:dyDescent="0.25">
      <c r="BT116" s="255">
        <v>45230</v>
      </c>
      <c r="BU116" t="s">
        <v>464</v>
      </c>
      <c r="BV116">
        <v>2021</v>
      </c>
      <c r="BW116" s="5">
        <v>0</v>
      </c>
      <c r="BX116" s="1092">
        <v>0</v>
      </c>
    </row>
    <row r="117" spans="72:76" x14ac:dyDescent="0.25">
      <c r="BT117" s="255">
        <v>45230</v>
      </c>
      <c r="BU117" t="s">
        <v>465</v>
      </c>
      <c r="BV117">
        <v>2022</v>
      </c>
      <c r="BW117" s="5">
        <v>0</v>
      </c>
      <c r="BX117" s="1092">
        <v>0</v>
      </c>
    </row>
    <row r="118" spans="72:76" x14ac:dyDescent="0.25">
      <c r="BT118" s="255">
        <v>45230</v>
      </c>
      <c r="BU118" t="s">
        <v>466</v>
      </c>
      <c r="BV118">
        <v>2023</v>
      </c>
      <c r="BW118" s="5">
        <v>0</v>
      </c>
      <c r="BX118" s="1092">
        <v>0</v>
      </c>
    </row>
    <row r="119" spans="72:76" x14ac:dyDescent="0.25">
      <c r="BT119" s="255">
        <v>45230</v>
      </c>
      <c r="BU119" t="s">
        <v>467</v>
      </c>
      <c r="BV119" t="s">
        <v>368</v>
      </c>
      <c r="BW119" s="5" t="e" vm="1">
        <v>#VALUE!</v>
      </c>
      <c r="BX119" s="1092"/>
    </row>
    <row r="120" spans="72:76" x14ac:dyDescent="0.25">
      <c r="BT120" s="255">
        <v>45230</v>
      </c>
      <c r="BU120" t="s">
        <v>468</v>
      </c>
      <c r="BV120" t="s">
        <v>370</v>
      </c>
      <c r="BW120" s="5" t="e" vm="1">
        <v>#VALUE!</v>
      </c>
      <c r="BX120" s="1092"/>
    </row>
    <row r="121" spans="72:76" x14ac:dyDescent="0.25">
      <c r="BT121" s="255">
        <v>45230</v>
      </c>
      <c r="BU121" t="s">
        <v>469</v>
      </c>
      <c r="BV121" t="s">
        <v>372</v>
      </c>
      <c r="BW121" s="5" t="e" vm="1">
        <v>#VALUE!</v>
      </c>
      <c r="BX121" s="1092"/>
    </row>
    <row r="122" spans="72:76" x14ac:dyDescent="0.25">
      <c r="BT122" s="255">
        <v>45230</v>
      </c>
      <c r="BU122" t="s">
        <v>472</v>
      </c>
      <c r="BV122" t="s">
        <v>473</v>
      </c>
      <c r="BW122" s="5">
        <v>619480059.42999959</v>
      </c>
      <c r="BX122" s="1092">
        <v>0</v>
      </c>
    </row>
    <row r="123" spans="72:76" x14ac:dyDescent="0.25">
      <c r="BT123" s="255">
        <v>45230</v>
      </c>
      <c r="BU123" t="s">
        <v>474</v>
      </c>
      <c r="BV123" t="s">
        <v>475</v>
      </c>
      <c r="BW123" s="5">
        <v>33614563.590000004</v>
      </c>
      <c r="BX123" s="1092">
        <v>1</v>
      </c>
    </row>
    <row r="124" spans="72:76" x14ac:dyDescent="0.25">
      <c r="BT124" s="255">
        <v>45230</v>
      </c>
      <c r="BU124" t="s">
        <v>476</v>
      </c>
      <c r="BV124" t="s">
        <v>477</v>
      </c>
      <c r="BW124" s="5">
        <v>18870438.610000007</v>
      </c>
      <c r="BX124" s="1092">
        <v>0</v>
      </c>
    </row>
    <row r="125" spans="72:76" x14ac:dyDescent="0.25">
      <c r="BT125" s="255">
        <v>45230</v>
      </c>
      <c r="BU125" t="s">
        <v>478</v>
      </c>
      <c r="BV125" t="s">
        <v>479</v>
      </c>
      <c r="BW125" s="5">
        <v>33485243.079999994</v>
      </c>
      <c r="BX125" s="1092">
        <v>0</v>
      </c>
    </row>
    <row r="126" spans="72:76" x14ac:dyDescent="0.25">
      <c r="BT126" s="255">
        <v>45230</v>
      </c>
      <c r="BU126" t="s">
        <v>480</v>
      </c>
      <c r="BV126" t="s">
        <v>481</v>
      </c>
      <c r="BW126" s="5">
        <v>19956166.640000001</v>
      </c>
      <c r="BX126" s="1092">
        <v>0</v>
      </c>
    </row>
    <row r="127" spans="72:76" x14ac:dyDescent="0.25">
      <c r="BT127" s="255">
        <v>45230</v>
      </c>
      <c r="BU127" t="s">
        <v>482</v>
      </c>
      <c r="BV127" t="s">
        <v>483</v>
      </c>
      <c r="BW127" s="5">
        <v>19589537.109999988</v>
      </c>
      <c r="BX127" s="1092">
        <v>0</v>
      </c>
    </row>
    <row r="128" spans="72:76" x14ac:dyDescent="0.25">
      <c r="BT128" s="255">
        <v>45230</v>
      </c>
      <c r="BU128" t="s">
        <v>484</v>
      </c>
      <c r="BV128" t="s">
        <v>485</v>
      </c>
      <c r="BW128" s="5">
        <v>4326677.919999999</v>
      </c>
      <c r="BX128" s="1092">
        <v>0</v>
      </c>
    </row>
    <row r="129" spans="72:76" x14ac:dyDescent="0.25">
      <c r="BT129" s="255">
        <v>45230</v>
      </c>
      <c r="BU129" t="s">
        <v>486</v>
      </c>
      <c r="BV129" t="s">
        <v>487</v>
      </c>
      <c r="BW129" s="5">
        <v>1540669.5499999998</v>
      </c>
      <c r="BX129" s="1092">
        <v>0</v>
      </c>
    </row>
    <row r="130" spans="72:76" x14ac:dyDescent="0.25">
      <c r="BT130" s="255">
        <v>45230</v>
      </c>
      <c r="BU130" t="s">
        <v>488</v>
      </c>
      <c r="BV130" t="s">
        <v>489</v>
      </c>
      <c r="BW130" s="5">
        <v>221658.43999999997</v>
      </c>
      <c r="BX130" s="1092">
        <v>0</v>
      </c>
    </row>
    <row r="131" spans="72:76" x14ac:dyDescent="0.25">
      <c r="BT131" s="255">
        <v>45230</v>
      </c>
      <c r="BU131" t="s">
        <v>490</v>
      </c>
      <c r="BV131" t="s">
        <v>491</v>
      </c>
      <c r="BW131" s="5">
        <v>0</v>
      </c>
      <c r="BX131" s="1092">
        <v>0</v>
      </c>
    </row>
    <row r="132" spans="72:76" x14ac:dyDescent="0.25">
      <c r="BT132" s="255">
        <v>45230</v>
      </c>
      <c r="BU132" t="s">
        <v>492</v>
      </c>
      <c r="BV132" t="s">
        <v>493</v>
      </c>
      <c r="BW132" s="5">
        <v>0</v>
      </c>
      <c r="BX132" s="1092">
        <v>0</v>
      </c>
    </row>
    <row r="133" spans="72:76" x14ac:dyDescent="0.25">
      <c r="BT133" s="255">
        <v>45230</v>
      </c>
      <c r="BU133" t="s">
        <v>494</v>
      </c>
      <c r="BV133" t="s">
        <v>495</v>
      </c>
      <c r="BW133" s="5">
        <v>0</v>
      </c>
      <c r="BX133" s="1092">
        <v>0</v>
      </c>
    </row>
    <row r="134" spans="72:76" x14ac:dyDescent="0.25">
      <c r="BT134" s="255">
        <v>45230</v>
      </c>
      <c r="BU134" t="s">
        <v>496</v>
      </c>
      <c r="BV134" t="s">
        <v>497</v>
      </c>
      <c r="BW134" s="5">
        <v>0</v>
      </c>
      <c r="BX134" s="1092">
        <v>0</v>
      </c>
    </row>
    <row r="135" spans="72:76" x14ac:dyDescent="0.25">
      <c r="BT135" s="255">
        <v>45230</v>
      </c>
      <c r="BU135" t="s">
        <v>498</v>
      </c>
      <c r="BV135" t="s">
        <v>499</v>
      </c>
      <c r="BW135" s="5">
        <v>0</v>
      </c>
      <c r="BX135" s="1092">
        <v>0</v>
      </c>
    </row>
    <row r="136" spans="72:76" x14ac:dyDescent="0.25">
      <c r="BT136" s="255">
        <v>45230</v>
      </c>
      <c r="BU136" t="s">
        <v>500</v>
      </c>
      <c r="BV136" t="s">
        <v>501</v>
      </c>
      <c r="BW136" s="5">
        <v>0</v>
      </c>
      <c r="BX136" s="1092">
        <v>0</v>
      </c>
    </row>
    <row r="137" spans="72:76" x14ac:dyDescent="0.25">
      <c r="BT137" s="255">
        <v>45230</v>
      </c>
      <c r="BU137" t="s">
        <v>502</v>
      </c>
      <c r="BV137" t="s">
        <v>1400</v>
      </c>
      <c r="BW137" s="5">
        <v>0</v>
      </c>
      <c r="BX137" s="1092">
        <v>0</v>
      </c>
    </row>
    <row r="138" spans="72:76" x14ac:dyDescent="0.25">
      <c r="BT138" s="255">
        <v>45230</v>
      </c>
      <c r="BU138" t="s">
        <v>504</v>
      </c>
      <c r="BV138" t="s">
        <v>368</v>
      </c>
      <c r="BW138" s="5">
        <v>5.9500999999999999</v>
      </c>
      <c r="BX138" s="1092"/>
    </row>
    <row r="139" spans="72:76" x14ac:dyDescent="0.25">
      <c r="BT139" s="255">
        <v>45230</v>
      </c>
      <c r="BU139" t="s">
        <v>505</v>
      </c>
      <c r="BV139" t="s">
        <v>370</v>
      </c>
      <c r="BW139" s="5">
        <v>0</v>
      </c>
      <c r="BX139" s="1092"/>
    </row>
    <row r="140" spans="72:76" x14ac:dyDescent="0.25">
      <c r="BT140" s="255">
        <v>45230</v>
      </c>
      <c r="BU140" t="s">
        <v>506</v>
      </c>
      <c r="BV140" t="s">
        <v>372</v>
      </c>
      <c r="BW140" s="5">
        <v>1.8530936573953738</v>
      </c>
      <c r="BX140" s="1092"/>
    </row>
    <row r="141" spans="72:76" x14ac:dyDescent="0.25">
      <c r="BT141" s="255">
        <v>45230</v>
      </c>
      <c r="BU141" t="s">
        <v>509</v>
      </c>
      <c r="BV141" t="s">
        <v>1401</v>
      </c>
      <c r="BW141" s="5">
        <v>1018767.7699999999</v>
      </c>
      <c r="BX141" s="1092">
        <v>0</v>
      </c>
    </row>
    <row r="142" spans="72:76" x14ac:dyDescent="0.25">
      <c r="BT142" s="255">
        <v>45230</v>
      </c>
      <c r="BU142" t="s">
        <v>511</v>
      </c>
      <c r="BV142" t="s">
        <v>1402</v>
      </c>
      <c r="BW142" s="5">
        <v>0</v>
      </c>
      <c r="BX142" s="1092">
        <v>0</v>
      </c>
    </row>
    <row r="143" spans="72:76" x14ac:dyDescent="0.25">
      <c r="BT143" s="255">
        <v>45230</v>
      </c>
      <c r="BU143" t="s">
        <v>513</v>
      </c>
      <c r="BV143" t="s">
        <v>1403</v>
      </c>
      <c r="BW143" s="5">
        <v>727399597.14999902</v>
      </c>
      <c r="BX143" s="1092">
        <v>1</v>
      </c>
    </row>
    <row r="144" spans="72:76" x14ac:dyDescent="0.25">
      <c r="BT144" s="255">
        <v>45230</v>
      </c>
      <c r="BU144" t="s">
        <v>515</v>
      </c>
      <c r="BV144" t="s">
        <v>1404</v>
      </c>
      <c r="BW144" s="5">
        <v>0</v>
      </c>
      <c r="BX144" s="1092">
        <v>0</v>
      </c>
    </row>
    <row r="145" spans="72:76" x14ac:dyDescent="0.25">
      <c r="BT145" s="255">
        <v>45230</v>
      </c>
      <c r="BU145" t="s">
        <v>517</v>
      </c>
      <c r="BV145" t="s">
        <v>1405</v>
      </c>
      <c r="BW145" s="5">
        <v>0</v>
      </c>
      <c r="BX145" s="1092">
        <v>0</v>
      </c>
    </row>
    <row r="146" spans="72:76" x14ac:dyDescent="0.25">
      <c r="BT146" s="255">
        <v>45230</v>
      </c>
      <c r="BU146" t="s">
        <v>519</v>
      </c>
      <c r="BV146" t="s">
        <v>1406</v>
      </c>
      <c r="BW146" s="5">
        <v>0</v>
      </c>
      <c r="BX146" s="1092">
        <v>0</v>
      </c>
    </row>
    <row r="147" spans="72:76" x14ac:dyDescent="0.25">
      <c r="BT147" s="255">
        <v>45230</v>
      </c>
      <c r="BU147" t="s">
        <v>521</v>
      </c>
      <c r="BV147" t="s">
        <v>1407</v>
      </c>
      <c r="BW147" s="5">
        <v>22666649.449999996</v>
      </c>
      <c r="BX147" s="1092">
        <v>0</v>
      </c>
    </row>
    <row r="148" spans="72:76" x14ac:dyDescent="0.25">
      <c r="BT148" s="255">
        <v>45230</v>
      </c>
      <c r="BU148" t="s">
        <v>523</v>
      </c>
      <c r="BV148" t="s">
        <v>1408</v>
      </c>
      <c r="BW148" s="5">
        <v>0</v>
      </c>
      <c r="BX148" s="1092">
        <v>0</v>
      </c>
    </row>
    <row r="149" spans="72:76" x14ac:dyDescent="0.25">
      <c r="BT149" s="255">
        <v>45230</v>
      </c>
      <c r="BU149" t="s">
        <v>525</v>
      </c>
      <c r="BV149" t="s">
        <v>1409</v>
      </c>
      <c r="BW149" s="5">
        <v>0</v>
      </c>
      <c r="BX149" s="1092">
        <v>0</v>
      </c>
    </row>
    <row r="150" spans="72:76" x14ac:dyDescent="0.25">
      <c r="BT150" s="255">
        <v>45230</v>
      </c>
      <c r="BU150" t="s">
        <v>527</v>
      </c>
      <c r="BV150" t="s">
        <v>1410</v>
      </c>
      <c r="BW150" s="5">
        <v>0</v>
      </c>
      <c r="BX150" s="1092">
        <v>0</v>
      </c>
    </row>
    <row r="151" spans="72:76" x14ac:dyDescent="0.25">
      <c r="BT151" s="255">
        <v>45230</v>
      </c>
      <c r="BU151" t="s">
        <v>529</v>
      </c>
      <c r="BV151" t="s">
        <v>1411</v>
      </c>
      <c r="BW151" s="5">
        <v>0</v>
      </c>
      <c r="BX151" s="1092">
        <v>0</v>
      </c>
    </row>
    <row r="152" spans="72:76" x14ac:dyDescent="0.25">
      <c r="BT152" s="255">
        <v>45230</v>
      </c>
      <c r="BU152" t="s">
        <v>531</v>
      </c>
      <c r="BV152" t="s">
        <v>1412</v>
      </c>
      <c r="BW152" s="5">
        <v>0</v>
      </c>
      <c r="BX152" s="1092">
        <v>0</v>
      </c>
    </row>
    <row r="153" spans="72:76" x14ac:dyDescent="0.25">
      <c r="BT153" s="255">
        <v>45230</v>
      </c>
      <c r="BU153" t="s">
        <v>533</v>
      </c>
      <c r="BV153" t="s">
        <v>1413</v>
      </c>
      <c r="BW153" s="5">
        <v>0</v>
      </c>
      <c r="BX153" s="1092">
        <v>0</v>
      </c>
    </row>
    <row r="154" spans="72:76" x14ac:dyDescent="0.25">
      <c r="BT154" s="255">
        <v>45230</v>
      </c>
      <c r="BU154" t="s">
        <v>535</v>
      </c>
      <c r="BV154" t="s">
        <v>368</v>
      </c>
      <c r="BX154" s="1092"/>
    </row>
    <row r="155" spans="72:76" x14ac:dyDescent="0.25">
      <c r="BT155" s="255">
        <v>45230</v>
      </c>
      <c r="BU155" t="s">
        <v>536</v>
      </c>
      <c r="BV155" t="s">
        <v>370</v>
      </c>
      <c r="BX155" s="1092"/>
    </row>
    <row r="156" spans="72:76" x14ac:dyDescent="0.25">
      <c r="BT156" s="255">
        <v>45230</v>
      </c>
      <c r="BU156" t="s">
        <v>537</v>
      </c>
      <c r="BV156" t="s">
        <v>372</v>
      </c>
      <c r="BX156" s="1092"/>
    </row>
    <row r="157" spans="72:76" x14ac:dyDescent="0.25">
      <c r="BT157" s="255">
        <v>45230</v>
      </c>
      <c r="BU157" t="s">
        <v>540</v>
      </c>
      <c r="BV157" t="s">
        <v>1414</v>
      </c>
      <c r="BW157" s="5">
        <v>31198546.879999999</v>
      </c>
      <c r="BX157" s="1092">
        <v>0</v>
      </c>
    </row>
    <row r="158" spans="72:76" x14ac:dyDescent="0.25">
      <c r="BT158" s="255">
        <v>45230</v>
      </c>
      <c r="BU158" t="s">
        <v>542</v>
      </c>
      <c r="BV158" t="s">
        <v>543</v>
      </c>
      <c r="BW158" s="5">
        <v>34182830.01000002</v>
      </c>
      <c r="BX158" s="1092">
        <v>0</v>
      </c>
    </row>
    <row r="159" spans="72:76" x14ac:dyDescent="0.25">
      <c r="BT159" s="255">
        <v>45230</v>
      </c>
      <c r="BU159" t="s">
        <v>544</v>
      </c>
      <c r="BV159" t="s">
        <v>545</v>
      </c>
      <c r="BW159" s="5">
        <v>55126894.399999969</v>
      </c>
      <c r="BX159" s="1092">
        <v>0</v>
      </c>
    </row>
    <row r="160" spans="72:76" x14ac:dyDescent="0.25">
      <c r="BT160" s="255">
        <v>45230</v>
      </c>
      <c r="BU160" t="s">
        <v>546</v>
      </c>
      <c r="BV160" t="s">
        <v>547</v>
      </c>
      <c r="BW160" s="5">
        <v>75878408.61999999</v>
      </c>
      <c r="BX160" s="1092">
        <v>0</v>
      </c>
    </row>
    <row r="161" spans="72:76" x14ac:dyDescent="0.25">
      <c r="BT161" s="255">
        <v>45230</v>
      </c>
      <c r="BU161" t="s">
        <v>548</v>
      </c>
      <c r="BV161" t="s">
        <v>549</v>
      </c>
      <c r="BW161" s="5">
        <v>82137903.689999878</v>
      </c>
      <c r="BX161" s="1092">
        <v>0</v>
      </c>
    </row>
    <row r="162" spans="72:76" x14ac:dyDescent="0.25">
      <c r="BT162" s="255">
        <v>45230</v>
      </c>
      <c r="BU162" t="s">
        <v>550</v>
      </c>
      <c r="BV162" t="s">
        <v>551</v>
      </c>
      <c r="BW162" s="5">
        <v>79552442.029999971</v>
      </c>
      <c r="BX162" s="1092">
        <v>0</v>
      </c>
    </row>
    <row r="163" spans="72:76" x14ac:dyDescent="0.25">
      <c r="BT163" s="255">
        <v>45230</v>
      </c>
      <c r="BU163" t="s">
        <v>552</v>
      </c>
      <c r="BV163" t="s">
        <v>553</v>
      </c>
      <c r="BW163" s="5">
        <v>75164303.310000047</v>
      </c>
      <c r="BX163" s="1092">
        <v>0</v>
      </c>
    </row>
    <row r="164" spans="72:76" x14ac:dyDescent="0.25">
      <c r="BT164" s="255">
        <v>45230</v>
      </c>
      <c r="BU164" t="s">
        <v>554</v>
      </c>
      <c r="BV164" t="s">
        <v>555</v>
      </c>
      <c r="BW164" s="5">
        <v>97703116.070000082</v>
      </c>
      <c r="BX164" s="1092">
        <v>1</v>
      </c>
    </row>
    <row r="165" spans="72:76" x14ac:dyDescent="0.25">
      <c r="BT165" s="255">
        <v>45230</v>
      </c>
      <c r="BU165" t="s">
        <v>556</v>
      </c>
      <c r="BV165" t="s">
        <v>557</v>
      </c>
      <c r="BW165" s="5">
        <v>99701464.86999999</v>
      </c>
      <c r="BX165" s="1092">
        <v>0</v>
      </c>
    </row>
    <row r="166" spans="72:76" x14ac:dyDescent="0.25">
      <c r="BT166" s="255">
        <v>45230</v>
      </c>
      <c r="BU166" t="s">
        <v>558</v>
      </c>
      <c r="BV166" t="s">
        <v>559</v>
      </c>
      <c r="BW166" s="5">
        <v>83774097.660000041</v>
      </c>
      <c r="BX166" s="1092">
        <v>0</v>
      </c>
    </row>
    <row r="167" spans="72:76" x14ac:dyDescent="0.25">
      <c r="BT167" s="255">
        <v>45230</v>
      </c>
      <c r="BU167" t="s">
        <v>560</v>
      </c>
      <c r="BV167" t="s">
        <v>561</v>
      </c>
      <c r="BW167" s="5">
        <v>23617236.449999999</v>
      </c>
      <c r="BX167" s="1092">
        <v>0</v>
      </c>
    </row>
    <row r="168" spans="72:76" x14ac:dyDescent="0.25">
      <c r="BT168" s="255">
        <v>45230</v>
      </c>
      <c r="BU168" t="s">
        <v>562</v>
      </c>
      <c r="BV168" t="s">
        <v>563</v>
      </c>
      <c r="BW168" s="5">
        <v>4519309.3900000006</v>
      </c>
      <c r="BX168" s="1092">
        <v>0</v>
      </c>
    </row>
    <row r="169" spans="72:76" x14ac:dyDescent="0.25">
      <c r="BT169" s="255">
        <v>45230</v>
      </c>
      <c r="BU169" t="s">
        <v>564</v>
      </c>
      <c r="BV169" t="s">
        <v>565</v>
      </c>
      <c r="BW169" s="5">
        <v>2545279.8200000003</v>
      </c>
      <c r="BX169" s="1092">
        <v>0</v>
      </c>
    </row>
    <row r="170" spans="72:76" x14ac:dyDescent="0.25">
      <c r="BT170" s="255">
        <v>45230</v>
      </c>
      <c r="BU170" t="s">
        <v>566</v>
      </c>
      <c r="BV170" t="s">
        <v>567</v>
      </c>
      <c r="BW170" s="5">
        <v>1509979.53</v>
      </c>
      <c r="BX170" s="1092">
        <v>0</v>
      </c>
    </row>
    <row r="171" spans="72:76" x14ac:dyDescent="0.25">
      <c r="BT171" s="255">
        <v>45230</v>
      </c>
      <c r="BU171" t="s">
        <v>568</v>
      </c>
      <c r="BV171" t="s">
        <v>569</v>
      </c>
      <c r="BW171" s="5">
        <v>408447.48</v>
      </c>
      <c r="BX171" s="1092">
        <v>0</v>
      </c>
    </row>
    <row r="172" spans="72:76" x14ac:dyDescent="0.25">
      <c r="BT172" s="255">
        <v>45230</v>
      </c>
      <c r="BU172" t="s">
        <v>570</v>
      </c>
      <c r="BV172" t="s">
        <v>1415</v>
      </c>
      <c r="BW172" s="5">
        <v>4064754.16</v>
      </c>
      <c r="BX172" s="1092">
        <v>0</v>
      </c>
    </row>
    <row r="173" spans="72:76" x14ac:dyDescent="0.25">
      <c r="BT173" s="255">
        <v>45230</v>
      </c>
      <c r="BU173" t="s">
        <v>572</v>
      </c>
      <c r="BV173" t="s">
        <v>368</v>
      </c>
      <c r="BW173" s="5">
        <v>1141.8699999999999</v>
      </c>
      <c r="BX173" s="1092"/>
    </row>
    <row r="174" spans="72:76" x14ac:dyDescent="0.25">
      <c r="BT174" s="255">
        <v>45230</v>
      </c>
      <c r="BU174" t="s">
        <v>573</v>
      </c>
      <c r="BV174" t="s">
        <v>370</v>
      </c>
      <c r="BW174" s="5">
        <v>0</v>
      </c>
      <c r="BX174" s="1092"/>
    </row>
    <row r="175" spans="72:76" x14ac:dyDescent="0.25">
      <c r="BT175" s="255">
        <v>45230</v>
      </c>
      <c r="BU175" t="s">
        <v>574</v>
      </c>
      <c r="BV175" t="s">
        <v>372</v>
      </c>
      <c r="BW175" s="5">
        <v>43.396769482713751</v>
      </c>
      <c r="BX175" s="1092"/>
    </row>
    <row r="176" spans="72:76" x14ac:dyDescent="0.25">
      <c r="BT176" s="255">
        <v>45230</v>
      </c>
      <c r="BU176" t="s">
        <v>576</v>
      </c>
      <c r="BV176" t="s">
        <v>1414</v>
      </c>
      <c r="BW176" s="5">
        <v>24744820.190000024</v>
      </c>
      <c r="BX176" s="1092">
        <v>0</v>
      </c>
    </row>
    <row r="177" spans="72:76" x14ac:dyDescent="0.25">
      <c r="BT177" s="255">
        <v>45230</v>
      </c>
      <c r="BU177" t="s">
        <v>577</v>
      </c>
      <c r="BV177" t="s">
        <v>543</v>
      </c>
      <c r="BW177" s="5">
        <v>11133023.409999993</v>
      </c>
      <c r="BX177" s="1092">
        <v>0</v>
      </c>
    </row>
    <row r="178" spans="72:76" x14ac:dyDescent="0.25">
      <c r="BT178" s="255">
        <v>45230</v>
      </c>
      <c r="BU178" t="s">
        <v>578</v>
      </c>
      <c r="BV178" t="s">
        <v>545</v>
      </c>
      <c r="BW178" s="5">
        <v>11592429.749999996</v>
      </c>
      <c r="BX178" s="1092">
        <v>0</v>
      </c>
    </row>
    <row r="179" spans="72:76" x14ac:dyDescent="0.25">
      <c r="BT179" s="255">
        <v>45230</v>
      </c>
      <c r="BU179" t="s">
        <v>579</v>
      </c>
      <c r="BV179" t="s">
        <v>547</v>
      </c>
      <c r="BW179" s="5">
        <v>17960379.719999995</v>
      </c>
      <c r="BX179" s="1092">
        <v>0</v>
      </c>
    </row>
    <row r="180" spans="72:76" x14ac:dyDescent="0.25">
      <c r="BT180" s="255">
        <v>45230</v>
      </c>
      <c r="BU180" t="s">
        <v>580</v>
      </c>
      <c r="BV180" t="s">
        <v>549</v>
      </c>
      <c r="BW180" s="5">
        <v>11948799.659999998</v>
      </c>
      <c r="BX180" s="1092">
        <v>0</v>
      </c>
    </row>
    <row r="181" spans="72:76" x14ac:dyDescent="0.25">
      <c r="BT181" s="255">
        <v>45230</v>
      </c>
      <c r="BU181" t="s">
        <v>581</v>
      </c>
      <c r="BV181" t="s">
        <v>551</v>
      </c>
      <c r="BW181" s="5">
        <v>10450340.02</v>
      </c>
      <c r="BX181" s="1092">
        <v>0</v>
      </c>
    </row>
    <row r="182" spans="72:76" x14ac:dyDescent="0.25">
      <c r="BT182" s="255">
        <v>45230</v>
      </c>
      <c r="BU182" t="s">
        <v>582</v>
      </c>
      <c r="BV182" t="s">
        <v>553</v>
      </c>
      <c r="BW182" s="5">
        <v>9902783.4499999993</v>
      </c>
      <c r="BX182" s="1092">
        <v>0</v>
      </c>
    </row>
    <row r="183" spans="72:76" x14ac:dyDescent="0.25">
      <c r="BT183" s="255">
        <v>45230</v>
      </c>
      <c r="BU183" t="s">
        <v>583</v>
      </c>
      <c r="BV183" t="s">
        <v>555</v>
      </c>
      <c r="BW183" s="5">
        <v>10928484.209999997</v>
      </c>
      <c r="BX183" s="1092">
        <v>0</v>
      </c>
    </row>
    <row r="184" spans="72:76" x14ac:dyDescent="0.25">
      <c r="BT184" s="255">
        <v>45230</v>
      </c>
      <c r="BU184" t="s">
        <v>584</v>
      </c>
      <c r="BV184" t="s">
        <v>557</v>
      </c>
      <c r="BW184" s="5">
        <v>3952172.1700000004</v>
      </c>
      <c r="BX184" s="1092">
        <v>0</v>
      </c>
    </row>
    <row r="185" spans="72:76" x14ac:dyDescent="0.25">
      <c r="BT185" s="255">
        <v>45230</v>
      </c>
      <c r="BU185" t="s">
        <v>585</v>
      </c>
      <c r="BV185" t="s">
        <v>559</v>
      </c>
      <c r="BW185" s="5">
        <v>2887950.9000000004</v>
      </c>
      <c r="BX185" s="1092">
        <v>0</v>
      </c>
    </row>
    <row r="186" spans="72:76" x14ac:dyDescent="0.25">
      <c r="BT186" s="255">
        <v>45230</v>
      </c>
      <c r="BU186" t="s">
        <v>586</v>
      </c>
      <c r="BV186" t="s">
        <v>561</v>
      </c>
      <c r="BW186" s="5">
        <v>2279790</v>
      </c>
      <c r="BX186" s="1092">
        <v>0</v>
      </c>
    </row>
    <row r="187" spans="72:76" x14ac:dyDescent="0.25">
      <c r="BT187" s="255">
        <v>45230</v>
      </c>
      <c r="BU187" t="s">
        <v>587</v>
      </c>
      <c r="BV187" t="s">
        <v>563</v>
      </c>
      <c r="BW187" s="5">
        <v>0</v>
      </c>
      <c r="BX187" s="1092">
        <v>0</v>
      </c>
    </row>
    <row r="188" spans="72:76" x14ac:dyDescent="0.25">
      <c r="BT188" s="255">
        <v>45230</v>
      </c>
      <c r="BU188" t="s">
        <v>588</v>
      </c>
      <c r="BV188" t="s">
        <v>565</v>
      </c>
      <c r="BW188" s="5">
        <v>0</v>
      </c>
      <c r="BX188" s="1092">
        <v>0</v>
      </c>
    </row>
    <row r="189" spans="72:76" x14ac:dyDescent="0.25">
      <c r="BT189" s="255">
        <v>45230</v>
      </c>
      <c r="BU189" t="s">
        <v>589</v>
      </c>
      <c r="BV189" t="s">
        <v>567</v>
      </c>
      <c r="BW189" s="5">
        <v>0</v>
      </c>
      <c r="BX189" s="1092">
        <v>0</v>
      </c>
    </row>
    <row r="190" spans="72:76" x14ac:dyDescent="0.25">
      <c r="BT190" s="255">
        <v>45230</v>
      </c>
      <c r="BU190" t="s">
        <v>590</v>
      </c>
      <c r="BV190" t="s">
        <v>569</v>
      </c>
      <c r="BW190" s="5">
        <v>0</v>
      </c>
      <c r="BX190" s="1092">
        <v>0</v>
      </c>
    </row>
    <row r="191" spans="72:76" x14ac:dyDescent="0.25">
      <c r="BT191" s="255">
        <v>45230</v>
      </c>
      <c r="BU191" t="s">
        <v>591</v>
      </c>
      <c r="BV191" t="s">
        <v>1415</v>
      </c>
      <c r="BW191" s="5">
        <v>0</v>
      </c>
      <c r="BX191" s="1092">
        <v>0</v>
      </c>
    </row>
    <row r="192" spans="72:76" x14ac:dyDescent="0.25">
      <c r="BT192" s="255">
        <v>45230</v>
      </c>
      <c r="BU192" t="s">
        <v>592</v>
      </c>
      <c r="BV192" t="s">
        <v>368</v>
      </c>
      <c r="BW192" s="5">
        <v>100</v>
      </c>
      <c r="BX192" s="1092"/>
    </row>
    <row r="193" spans="72:76" x14ac:dyDescent="0.25">
      <c r="BT193" s="255">
        <v>45230</v>
      </c>
      <c r="BU193" t="s">
        <v>593</v>
      </c>
      <c r="BV193" t="s">
        <v>370</v>
      </c>
      <c r="BW193" s="5">
        <v>0</v>
      </c>
      <c r="BX193" s="1092"/>
    </row>
    <row r="194" spans="72:76" x14ac:dyDescent="0.25">
      <c r="BT194" s="255">
        <v>45230</v>
      </c>
      <c r="BU194" t="s">
        <v>594</v>
      </c>
      <c r="BV194" t="s">
        <v>372</v>
      </c>
      <c r="BW194" s="5">
        <v>22.327520000000014</v>
      </c>
      <c r="BX194" s="1092"/>
    </row>
    <row r="195" spans="72:76" x14ac:dyDescent="0.25">
      <c r="BT195" s="255">
        <v>45230</v>
      </c>
      <c r="BU195" t="s">
        <v>596</v>
      </c>
      <c r="BV195" t="s">
        <v>1414</v>
      </c>
      <c r="BW195" s="5">
        <v>6453726.6900000023</v>
      </c>
      <c r="BX195" s="1092">
        <v>0</v>
      </c>
    </row>
    <row r="196" spans="72:76" x14ac:dyDescent="0.25">
      <c r="BT196" s="255">
        <v>45230</v>
      </c>
      <c r="BU196" t="s">
        <v>597</v>
      </c>
      <c r="BV196" t="s">
        <v>543</v>
      </c>
      <c r="BW196" s="5">
        <v>23049806.599999994</v>
      </c>
      <c r="BX196" s="1092">
        <v>0</v>
      </c>
    </row>
    <row r="197" spans="72:76" x14ac:dyDescent="0.25">
      <c r="BT197" s="255">
        <v>45230</v>
      </c>
      <c r="BU197" t="s">
        <v>598</v>
      </c>
      <c r="BV197" t="s">
        <v>545</v>
      </c>
      <c r="BW197" s="5">
        <v>43534464.650000021</v>
      </c>
      <c r="BX197" s="1092">
        <v>0</v>
      </c>
    </row>
    <row r="198" spans="72:76" x14ac:dyDescent="0.25">
      <c r="BT198" s="255">
        <v>45230</v>
      </c>
      <c r="BU198" t="s">
        <v>599</v>
      </c>
      <c r="BV198" t="s">
        <v>547</v>
      </c>
      <c r="BW198" s="5">
        <v>57918028.900000036</v>
      </c>
      <c r="BX198" s="1092">
        <v>0</v>
      </c>
    </row>
    <row r="199" spans="72:76" x14ac:dyDescent="0.25">
      <c r="BT199" s="255">
        <v>45230</v>
      </c>
      <c r="BU199" t="s">
        <v>600</v>
      </c>
      <c r="BV199" t="s">
        <v>549</v>
      </c>
      <c r="BW199" s="5">
        <v>70189104.029999942</v>
      </c>
      <c r="BX199" s="1092">
        <v>0</v>
      </c>
    </row>
    <row r="200" spans="72:76" x14ac:dyDescent="0.25">
      <c r="BT200" s="255">
        <v>45230</v>
      </c>
      <c r="BU200" t="s">
        <v>601</v>
      </c>
      <c r="BV200" t="s">
        <v>551</v>
      </c>
      <c r="BW200" s="5">
        <v>69102102.010000005</v>
      </c>
      <c r="BX200" s="1092">
        <v>0</v>
      </c>
    </row>
    <row r="201" spans="72:76" x14ac:dyDescent="0.25">
      <c r="BT201" s="255">
        <v>45230</v>
      </c>
      <c r="BU201" t="s">
        <v>602</v>
      </c>
      <c r="BV201" t="s">
        <v>553</v>
      </c>
      <c r="BW201" s="5">
        <v>65261519.860000037</v>
      </c>
      <c r="BX201" s="1092">
        <v>0</v>
      </c>
    </row>
    <row r="202" spans="72:76" x14ac:dyDescent="0.25">
      <c r="BT202" s="255">
        <v>45230</v>
      </c>
      <c r="BU202" t="s">
        <v>603</v>
      </c>
      <c r="BV202" t="s">
        <v>555</v>
      </c>
      <c r="BW202" s="5">
        <v>86774631.860000059</v>
      </c>
      <c r="BX202" s="1092">
        <v>1</v>
      </c>
    </row>
    <row r="203" spans="72:76" x14ac:dyDescent="0.25">
      <c r="BT203" s="255">
        <v>45230</v>
      </c>
      <c r="BU203" t="s">
        <v>604</v>
      </c>
      <c r="BV203" t="s">
        <v>557</v>
      </c>
      <c r="BW203" s="5">
        <v>95749292.699999988</v>
      </c>
      <c r="BX203" s="1092">
        <v>0</v>
      </c>
    </row>
    <row r="204" spans="72:76" x14ac:dyDescent="0.25">
      <c r="BT204" s="255">
        <v>45230</v>
      </c>
      <c r="BU204" t="s">
        <v>605</v>
      </c>
      <c r="BV204" t="s">
        <v>559</v>
      </c>
      <c r="BW204" s="5">
        <v>80886146.760000035</v>
      </c>
      <c r="BX204" s="1092">
        <v>0</v>
      </c>
    </row>
    <row r="205" spans="72:76" x14ac:dyDescent="0.25">
      <c r="BT205" s="255">
        <v>45230</v>
      </c>
      <c r="BU205" t="s">
        <v>606</v>
      </c>
      <c r="BV205" t="s">
        <v>561</v>
      </c>
      <c r="BW205" s="5">
        <v>21337446.449999999</v>
      </c>
      <c r="BX205" s="1092">
        <v>0</v>
      </c>
    </row>
    <row r="206" spans="72:76" x14ac:dyDescent="0.25">
      <c r="BT206" s="255">
        <v>45230</v>
      </c>
      <c r="BU206" t="s">
        <v>607</v>
      </c>
      <c r="BV206" t="s">
        <v>563</v>
      </c>
      <c r="BW206" s="5">
        <v>4519309.3900000006</v>
      </c>
      <c r="BX206" s="1092">
        <v>0</v>
      </c>
    </row>
    <row r="207" spans="72:76" x14ac:dyDescent="0.25">
      <c r="BT207" s="255">
        <v>45230</v>
      </c>
      <c r="BU207" t="s">
        <v>608</v>
      </c>
      <c r="BV207" t="s">
        <v>565</v>
      </c>
      <c r="BW207" s="5">
        <v>2545279.8200000003</v>
      </c>
      <c r="BX207" s="1092">
        <v>0</v>
      </c>
    </row>
    <row r="208" spans="72:76" x14ac:dyDescent="0.25">
      <c r="BT208" s="255">
        <v>45230</v>
      </c>
      <c r="BU208" t="s">
        <v>609</v>
      </c>
      <c r="BV208" t="s">
        <v>567</v>
      </c>
      <c r="BW208" s="5">
        <v>1509979.53</v>
      </c>
      <c r="BX208" s="1092">
        <v>0</v>
      </c>
    </row>
    <row r="209" spans="72:76" x14ac:dyDescent="0.25">
      <c r="BT209" s="255">
        <v>45230</v>
      </c>
      <c r="BU209" t="s">
        <v>610</v>
      </c>
      <c r="BV209" t="s">
        <v>569</v>
      </c>
      <c r="BW209" s="5">
        <v>408447.48</v>
      </c>
      <c r="BX209" s="1092">
        <v>0</v>
      </c>
    </row>
    <row r="210" spans="72:76" x14ac:dyDescent="0.25">
      <c r="BT210" s="255">
        <v>45230</v>
      </c>
      <c r="BU210" t="s">
        <v>611</v>
      </c>
      <c r="BV210" t="s">
        <v>1415</v>
      </c>
      <c r="BW210" s="5">
        <v>4064754.16</v>
      </c>
      <c r="BX210" s="1092">
        <v>0</v>
      </c>
    </row>
    <row r="211" spans="72:76" x14ac:dyDescent="0.25">
      <c r="BT211" s="255">
        <v>45230</v>
      </c>
      <c r="BU211" t="s">
        <v>612</v>
      </c>
      <c r="BV211" t="s">
        <v>368</v>
      </c>
      <c r="BW211" s="5">
        <v>1141.8699999999999</v>
      </c>
      <c r="BX211" s="1092"/>
    </row>
    <row r="212" spans="72:76" x14ac:dyDescent="0.25">
      <c r="BT212" s="255">
        <v>45230</v>
      </c>
      <c r="BU212" t="s">
        <v>613</v>
      </c>
      <c r="BV212" t="s">
        <v>370</v>
      </c>
      <c r="BW212" s="5">
        <v>9.3299999999999994E-2</v>
      </c>
      <c r="BX212" s="1092"/>
    </row>
    <row r="213" spans="72:76" x14ac:dyDescent="0.25">
      <c r="BT213" s="255">
        <v>45230</v>
      </c>
      <c r="BU213" t="s">
        <v>614</v>
      </c>
      <c r="BV213" t="s">
        <v>372</v>
      </c>
      <c r="BW213" s="5">
        <v>50.797278609062161</v>
      </c>
      <c r="BX213" s="1092"/>
    </row>
    <row r="214" spans="72:76" x14ac:dyDescent="0.25">
      <c r="BT214" s="255">
        <v>45230</v>
      </c>
      <c r="BU214" t="s">
        <v>617</v>
      </c>
      <c r="BV214" t="s">
        <v>1414</v>
      </c>
      <c r="BW214" s="5">
        <v>19359587.32</v>
      </c>
      <c r="BX214" s="1092">
        <v>0</v>
      </c>
    </row>
    <row r="215" spans="72:76" x14ac:dyDescent="0.25">
      <c r="BT215" s="255">
        <v>45230</v>
      </c>
      <c r="BU215" t="s">
        <v>618</v>
      </c>
      <c r="BV215" t="s">
        <v>543</v>
      </c>
      <c r="BW215" s="5">
        <v>8228537.3099999987</v>
      </c>
      <c r="BX215" s="1092">
        <v>0</v>
      </c>
    </row>
    <row r="216" spans="72:76" x14ac:dyDescent="0.25">
      <c r="BT216" s="255">
        <v>45230</v>
      </c>
      <c r="BU216" t="s">
        <v>619</v>
      </c>
      <c r="BV216" t="s">
        <v>545</v>
      </c>
      <c r="BW216" s="5">
        <v>19637588.769999992</v>
      </c>
      <c r="BX216" s="1092">
        <v>0</v>
      </c>
    </row>
    <row r="217" spans="72:76" x14ac:dyDescent="0.25">
      <c r="BT217" s="255">
        <v>45230</v>
      </c>
      <c r="BU217" t="s">
        <v>620</v>
      </c>
      <c r="BV217" t="s">
        <v>547</v>
      </c>
      <c r="BW217" s="5">
        <v>32644655.959999982</v>
      </c>
      <c r="BX217" s="1092">
        <v>0</v>
      </c>
    </row>
    <row r="218" spans="72:76" x14ac:dyDescent="0.25">
      <c r="BT218" s="255">
        <v>45230</v>
      </c>
      <c r="BU218" t="s">
        <v>621</v>
      </c>
      <c r="BV218" t="s">
        <v>549</v>
      </c>
      <c r="BW218" s="5">
        <v>57819815.489999987</v>
      </c>
      <c r="BX218" s="1092">
        <v>0</v>
      </c>
    </row>
    <row r="219" spans="72:76" x14ac:dyDescent="0.25">
      <c r="BT219" s="255">
        <v>45230</v>
      </c>
      <c r="BU219" t="s">
        <v>622</v>
      </c>
      <c r="BV219" t="s">
        <v>551</v>
      </c>
      <c r="BW219" s="5">
        <v>67019457.359999999</v>
      </c>
      <c r="BX219" s="1092">
        <v>0</v>
      </c>
    </row>
    <row r="220" spans="72:76" x14ac:dyDescent="0.25">
      <c r="BT220" s="255">
        <v>45230</v>
      </c>
      <c r="BU220" t="s">
        <v>623</v>
      </c>
      <c r="BV220" t="s">
        <v>553</v>
      </c>
      <c r="BW220" s="5">
        <v>79271992.089999974</v>
      </c>
      <c r="BX220" s="1092">
        <v>0</v>
      </c>
    </row>
    <row r="221" spans="72:76" x14ac:dyDescent="0.25">
      <c r="BT221" s="255">
        <v>45230</v>
      </c>
      <c r="BU221" t="s">
        <v>624</v>
      </c>
      <c r="BV221" t="s">
        <v>555</v>
      </c>
      <c r="BW221" s="5">
        <v>81860017.990000069</v>
      </c>
      <c r="BX221" s="1092">
        <v>1</v>
      </c>
    </row>
    <row r="222" spans="72:76" x14ac:dyDescent="0.25">
      <c r="BT222" s="255">
        <v>45230</v>
      </c>
      <c r="BU222" t="s">
        <v>625</v>
      </c>
      <c r="BV222" t="s">
        <v>557</v>
      </c>
      <c r="BW222" s="5">
        <v>84294414.020000011</v>
      </c>
      <c r="BX222" s="1092">
        <v>0</v>
      </c>
    </row>
    <row r="223" spans="72:76" x14ac:dyDescent="0.25">
      <c r="BT223" s="255">
        <v>45230</v>
      </c>
      <c r="BU223" t="s">
        <v>626</v>
      </c>
      <c r="BV223" t="s">
        <v>559</v>
      </c>
      <c r="BW223" s="5">
        <v>92039039.230000079</v>
      </c>
      <c r="BX223" s="1092">
        <v>0</v>
      </c>
    </row>
    <row r="224" spans="72:76" x14ac:dyDescent="0.25">
      <c r="BT224" s="255">
        <v>45230</v>
      </c>
      <c r="BU224" t="s">
        <v>627</v>
      </c>
      <c r="BV224" t="s">
        <v>561</v>
      </c>
      <c r="BW224" s="5">
        <v>189419029.00000006</v>
      </c>
      <c r="BX224" s="1092">
        <v>0</v>
      </c>
    </row>
    <row r="225" spans="72:76" x14ac:dyDescent="0.25">
      <c r="BT225" s="255">
        <v>45230</v>
      </c>
      <c r="BU225" t="s">
        <v>628</v>
      </c>
      <c r="BV225" t="s">
        <v>563</v>
      </c>
      <c r="BW225" s="5">
        <v>7049424.0599999996</v>
      </c>
      <c r="BX225" s="1092">
        <v>0</v>
      </c>
    </row>
    <row r="226" spans="72:76" x14ac:dyDescent="0.25">
      <c r="BT226" s="255">
        <v>45230</v>
      </c>
      <c r="BU226" t="s">
        <v>629</v>
      </c>
      <c r="BV226" t="s">
        <v>565</v>
      </c>
      <c r="BW226" s="5">
        <v>3883745.4600000004</v>
      </c>
      <c r="BX226" s="1092">
        <v>0</v>
      </c>
    </row>
    <row r="227" spans="72:76" x14ac:dyDescent="0.25">
      <c r="BT227" s="255">
        <v>45230</v>
      </c>
      <c r="BU227" t="s">
        <v>630</v>
      </c>
      <c r="BV227" t="s">
        <v>567</v>
      </c>
      <c r="BW227" s="5">
        <v>2775268.0799999996</v>
      </c>
      <c r="BX227" s="1092">
        <v>0</v>
      </c>
    </row>
    <row r="228" spans="72:76" x14ac:dyDescent="0.25">
      <c r="BT228" s="255">
        <v>45230</v>
      </c>
      <c r="BU228" t="s">
        <v>631</v>
      </c>
      <c r="BV228" t="s">
        <v>569</v>
      </c>
      <c r="BW228" s="5">
        <v>493576.9</v>
      </c>
      <c r="BX228" s="1092">
        <v>0</v>
      </c>
    </row>
    <row r="229" spans="72:76" x14ac:dyDescent="0.25">
      <c r="BT229" s="255">
        <v>45230</v>
      </c>
      <c r="BU229" t="s">
        <v>632</v>
      </c>
      <c r="BV229" t="s">
        <v>1415</v>
      </c>
      <c r="BW229" s="5">
        <v>5140417.8500000006</v>
      </c>
      <c r="BX229" s="1092">
        <v>0</v>
      </c>
    </row>
    <row r="230" spans="72:76" x14ac:dyDescent="0.25">
      <c r="BT230" s="255">
        <v>45230</v>
      </c>
      <c r="BU230" t="s">
        <v>633</v>
      </c>
      <c r="BV230" t="s">
        <v>368</v>
      </c>
      <c r="BW230" s="5">
        <v>1436.3</v>
      </c>
      <c r="BX230" s="1092"/>
    </row>
    <row r="231" spans="72:76" x14ac:dyDescent="0.25">
      <c r="BT231" s="255">
        <v>45230</v>
      </c>
      <c r="BU231" t="s">
        <v>634</v>
      </c>
      <c r="BV231" t="s">
        <v>370</v>
      </c>
      <c r="BW231" s="5">
        <v>0</v>
      </c>
      <c r="BX231" s="1092"/>
    </row>
    <row r="232" spans="72:76" x14ac:dyDescent="0.25">
      <c r="BT232" s="255">
        <v>45230</v>
      </c>
      <c r="BU232" t="s">
        <v>635</v>
      </c>
      <c r="BV232" t="s">
        <v>372</v>
      </c>
      <c r="BW232" s="5">
        <v>74.469167689108417</v>
      </c>
      <c r="BX232" s="1092"/>
    </row>
    <row r="233" spans="72:76" x14ac:dyDescent="0.25">
      <c r="BT233" s="255">
        <v>45230</v>
      </c>
      <c r="BU233" t="s">
        <v>637</v>
      </c>
      <c r="BV233" t="s">
        <v>1414</v>
      </c>
      <c r="BW233" s="5">
        <v>18754054.760000002</v>
      </c>
      <c r="BX233" s="1092">
        <v>0</v>
      </c>
    </row>
    <row r="234" spans="72:76" x14ac:dyDescent="0.25">
      <c r="BT234" s="255">
        <v>45230</v>
      </c>
      <c r="BU234" t="s">
        <v>638</v>
      </c>
      <c r="BV234" t="s">
        <v>543</v>
      </c>
      <c r="BW234" s="5">
        <v>1764284.5499999998</v>
      </c>
      <c r="BX234" s="1092">
        <v>0</v>
      </c>
    </row>
    <row r="235" spans="72:76" x14ac:dyDescent="0.25">
      <c r="BT235" s="255">
        <v>45230</v>
      </c>
      <c r="BU235" t="s">
        <v>639</v>
      </c>
      <c r="BV235" t="s">
        <v>545</v>
      </c>
      <c r="BW235" s="5">
        <v>2226838.63</v>
      </c>
      <c r="BX235" s="1092">
        <v>0</v>
      </c>
    </row>
    <row r="236" spans="72:76" x14ac:dyDescent="0.25">
      <c r="BT236" s="255">
        <v>45230</v>
      </c>
      <c r="BU236" t="s">
        <v>640</v>
      </c>
      <c r="BV236" t="s">
        <v>547</v>
      </c>
      <c r="BW236" s="5">
        <v>3375700.58</v>
      </c>
      <c r="BX236" s="1092">
        <v>0</v>
      </c>
    </row>
    <row r="237" spans="72:76" x14ac:dyDescent="0.25">
      <c r="BT237" s="255">
        <v>45230</v>
      </c>
      <c r="BU237" t="s">
        <v>641</v>
      </c>
      <c r="BV237" t="s">
        <v>549</v>
      </c>
      <c r="BW237" s="5">
        <v>9094548.1799999997</v>
      </c>
      <c r="BX237" s="1092">
        <v>0</v>
      </c>
    </row>
    <row r="238" spans="72:76" x14ac:dyDescent="0.25">
      <c r="BT238" s="255">
        <v>45230</v>
      </c>
      <c r="BU238" t="s">
        <v>642</v>
      </c>
      <c r="BV238" t="s">
        <v>551</v>
      </c>
      <c r="BW238" s="5">
        <v>8201617.7999999989</v>
      </c>
      <c r="BX238" s="1092">
        <v>0</v>
      </c>
    </row>
    <row r="239" spans="72:76" x14ac:dyDescent="0.25">
      <c r="BT239" s="255">
        <v>45230</v>
      </c>
      <c r="BU239" t="s">
        <v>643</v>
      </c>
      <c r="BV239" t="s">
        <v>553</v>
      </c>
      <c r="BW239" s="5">
        <v>10395766.479999999</v>
      </c>
      <c r="BX239" s="1092">
        <v>0</v>
      </c>
    </row>
    <row r="240" spans="72:76" x14ac:dyDescent="0.25">
      <c r="BT240" s="255">
        <v>45230</v>
      </c>
      <c r="BU240" t="s">
        <v>644</v>
      </c>
      <c r="BV240" t="s">
        <v>555</v>
      </c>
      <c r="BW240" s="5">
        <v>21016098.129999999</v>
      </c>
      <c r="BX240" s="1092">
        <v>0</v>
      </c>
    </row>
    <row r="241" spans="72:76" x14ac:dyDescent="0.25">
      <c r="BT241" s="255">
        <v>45230</v>
      </c>
      <c r="BU241" t="s">
        <v>645</v>
      </c>
      <c r="BV241" t="s">
        <v>557</v>
      </c>
      <c r="BW241" s="5">
        <v>14614964.300000003</v>
      </c>
      <c r="BX241" s="1092">
        <v>0</v>
      </c>
    </row>
    <row r="242" spans="72:76" x14ac:dyDescent="0.25">
      <c r="BT242" s="255">
        <v>45230</v>
      </c>
      <c r="BU242" t="s">
        <v>646</v>
      </c>
      <c r="BV242" t="s">
        <v>559</v>
      </c>
      <c r="BW242" s="5">
        <v>11053739.409999991</v>
      </c>
      <c r="BX242" s="1092">
        <v>0</v>
      </c>
    </row>
    <row r="243" spans="72:76" x14ac:dyDescent="0.25">
      <c r="BT243" s="255">
        <v>45230</v>
      </c>
      <c r="BU243" t="s">
        <v>647</v>
      </c>
      <c r="BV243" t="s">
        <v>561</v>
      </c>
      <c r="BW243" s="5">
        <v>17283360.659999996</v>
      </c>
      <c r="BX243" s="1092">
        <v>0</v>
      </c>
    </row>
    <row r="244" spans="72:76" x14ac:dyDescent="0.25">
      <c r="BT244" s="255">
        <v>45230</v>
      </c>
      <c r="BU244" t="s">
        <v>648</v>
      </c>
      <c r="BV244" t="s">
        <v>563</v>
      </c>
      <c r="BW244" s="5">
        <v>0</v>
      </c>
      <c r="BX244" s="1092">
        <v>0</v>
      </c>
    </row>
    <row r="245" spans="72:76" x14ac:dyDescent="0.25">
      <c r="BT245" s="255">
        <v>45230</v>
      </c>
      <c r="BU245" t="s">
        <v>649</v>
      </c>
      <c r="BV245" t="s">
        <v>565</v>
      </c>
      <c r="BW245" s="5">
        <v>0</v>
      </c>
      <c r="BX245" s="1092">
        <v>0</v>
      </c>
    </row>
    <row r="246" spans="72:76" x14ac:dyDescent="0.25">
      <c r="BT246" s="255">
        <v>45230</v>
      </c>
      <c r="BU246" t="s">
        <v>650</v>
      </c>
      <c r="BV246" t="s">
        <v>567</v>
      </c>
      <c r="BW246" s="5">
        <v>0</v>
      </c>
      <c r="BX246" s="1092">
        <v>0</v>
      </c>
    </row>
    <row r="247" spans="72:76" x14ac:dyDescent="0.25">
      <c r="BT247" s="255">
        <v>45230</v>
      </c>
      <c r="BU247" t="s">
        <v>651</v>
      </c>
      <c r="BV247" t="s">
        <v>569</v>
      </c>
      <c r="BW247" s="5">
        <v>0</v>
      </c>
      <c r="BX247" s="1092">
        <v>0</v>
      </c>
    </row>
    <row r="248" spans="72:76" x14ac:dyDescent="0.25">
      <c r="BT248" s="255">
        <v>45230</v>
      </c>
      <c r="BU248" t="s">
        <v>652</v>
      </c>
      <c r="BV248" t="s">
        <v>1415</v>
      </c>
      <c r="BW248" s="5">
        <v>0</v>
      </c>
      <c r="BX248" s="1092">
        <v>0</v>
      </c>
    </row>
    <row r="249" spans="72:76" x14ac:dyDescent="0.25">
      <c r="BT249" s="255">
        <v>45230</v>
      </c>
      <c r="BU249" t="s">
        <v>653</v>
      </c>
      <c r="BV249" t="s">
        <v>368</v>
      </c>
      <c r="BW249" s="5">
        <v>100</v>
      </c>
      <c r="BX249" s="1092"/>
    </row>
    <row r="250" spans="72:76" x14ac:dyDescent="0.25">
      <c r="BT250" s="255">
        <v>45230</v>
      </c>
      <c r="BU250" t="s">
        <v>654</v>
      </c>
      <c r="BV250" t="s">
        <v>370</v>
      </c>
      <c r="BW250" s="5">
        <v>0</v>
      </c>
      <c r="BX250" s="1092"/>
    </row>
    <row r="251" spans="72:76" x14ac:dyDescent="0.25">
      <c r="BT251" s="255">
        <v>45230</v>
      </c>
      <c r="BU251" t="s">
        <v>655</v>
      </c>
      <c r="BV251" t="s">
        <v>372</v>
      </c>
      <c r="BW251" s="5">
        <v>68.339189799999971</v>
      </c>
      <c r="BX251" s="1092"/>
    </row>
    <row r="252" spans="72:76" x14ac:dyDescent="0.25">
      <c r="BT252" s="255">
        <v>45230</v>
      </c>
      <c r="BU252" t="s">
        <v>657</v>
      </c>
      <c r="BV252" t="s">
        <v>1414</v>
      </c>
      <c r="BW252" s="5">
        <v>605532.56000000006</v>
      </c>
      <c r="BX252" s="1092">
        <v>0</v>
      </c>
    </row>
    <row r="253" spans="72:76" x14ac:dyDescent="0.25">
      <c r="BT253" s="255">
        <v>45230</v>
      </c>
      <c r="BU253" t="s">
        <v>658</v>
      </c>
      <c r="BV253" t="s">
        <v>543</v>
      </c>
      <c r="BW253" s="5">
        <v>6464252.7600000016</v>
      </c>
      <c r="BX253" s="1092">
        <v>0</v>
      </c>
    </row>
    <row r="254" spans="72:76" x14ac:dyDescent="0.25">
      <c r="BT254" s="255">
        <v>45230</v>
      </c>
      <c r="BU254" t="s">
        <v>659</v>
      </c>
      <c r="BV254" t="s">
        <v>545</v>
      </c>
      <c r="BW254" s="5">
        <v>17410750.140000004</v>
      </c>
      <c r="BX254" s="1092">
        <v>0</v>
      </c>
    </row>
    <row r="255" spans="72:76" x14ac:dyDescent="0.25">
      <c r="BT255" s="255">
        <v>45230</v>
      </c>
      <c r="BU255" t="s">
        <v>660</v>
      </c>
      <c r="BV255" t="s">
        <v>547</v>
      </c>
      <c r="BW255" s="5">
        <v>29268955.379999984</v>
      </c>
      <c r="BX255" s="1092">
        <v>0</v>
      </c>
    </row>
    <row r="256" spans="72:76" x14ac:dyDescent="0.25">
      <c r="BT256" s="255">
        <v>45230</v>
      </c>
      <c r="BU256" t="s">
        <v>661</v>
      </c>
      <c r="BV256" t="s">
        <v>549</v>
      </c>
      <c r="BW256" s="5">
        <v>48725267.31000001</v>
      </c>
      <c r="BX256" s="1092">
        <v>0</v>
      </c>
    </row>
    <row r="257" spans="72:76" x14ac:dyDescent="0.25">
      <c r="BT257" s="255">
        <v>45230</v>
      </c>
      <c r="BU257" t="s">
        <v>662</v>
      </c>
      <c r="BV257" t="s">
        <v>551</v>
      </c>
      <c r="BW257" s="5">
        <v>58817839.559999995</v>
      </c>
      <c r="BX257" s="1092">
        <v>0</v>
      </c>
    </row>
    <row r="258" spans="72:76" x14ac:dyDescent="0.25">
      <c r="BT258" s="255">
        <v>45230</v>
      </c>
      <c r="BU258" t="s">
        <v>663</v>
      </c>
      <c r="BV258" t="s">
        <v>553</v>
      </c>
      <c r="BW258" s="5">
        <v>68876225.609999999</v>
      </c>
      <c r="BX258" s="1092">
        <v>0</v>
      </c>
    </row>
    <row r="259" spans="72:76" x14ac:dyDescent="0.25">
      <c r="BT259" s="255">
        <v>45230</v>
      </c>
      <c r="BU259" t="s">
        <v>664</v>
      </c>
      <c r="BV259" t="s">
        <v>555</v>
      </c>
      <c r="BW259" s="5">
        <v>60843919.860000014</v>
      </c>
      <c r="BX259" s="1092">
        <v>1</v>
      </c>
    </row>
    <row r="260" spans="72:76" x14ac:dyDescent="0.25">
      <c r="BT260" s="255">
        <v>45230</v>
      </c>
      <c r="BU260" t="s">
        <v>665</v>
      </c>
      <c r="BV260" t="s">
        <v>557</v>
      </c>
      <c r="BW260" s="5">
        <v>69679449.720000044</v>
      </c>
      <c r="BX260" s="1092">
        <v>0</v>
      </c>
    </row>
    <row r="261" spans="72:76" x14ac:dyDescent="0.25">
      <c r="BT261" s="255">
        <v>45230</v>
      </c>
      <c r="BU261" t="s">
        <v>666</v>
      </c>
      <c r="BV261" t="s">
        <v>559</v>
      </c>
      <c r="BW261" s="5">
        <v>80985299.820000067</v>
      </c>
      <c r="BX261" s="1092">
        <v>0</v>
      </c>
    </row>
    <row r="262" spans="72:76" x14ac:dyDescent="0.25">
      <c r="BT262" s="255">
        <v>45230</v>
      </c>
      <c r="BU262" t="s">
        <v>667</v>
      </c>
      <c r="BV262" t="s">
        <v>561</v>
      </c>
      <c r="BW262" s="5">
        <v>172135668.34000012</v>
      </c>
      <c r="BX262" s="1092">
        <v>0</v>
      </c>
    </row>
    <row r="263" spans="72:76" x14ac:dyDescent="0.25">
      <c r="BT263" s="255">
        <v>45230</v>
      </c>
      <c r="BU263" t="s">
        <v>668</v>
      </c>
      <c r="BV263" t="s">
        <v>563</v>
      </c>
      <c r="BW263" s="5">
        <v>7049424.0599999996</v>
      </c>
      <c r="BX263" s="1092">
        <v>0</v>
      </c>
    </row>
    <row r="264" spans="72:76" x14ac:dyDescent="0.25">
      <c r="BT264" s="255">
        <v>45230</v>
      </c>
      <c r="BU264" t="s">
        <v>669</v>
      </c>
      <c r="BV264" t="s">
        <v>565</v>
      </c>
      <c r="BW264" s="5">
        <v>3883745.4600000004</v>
      </c>
      <c r="BX264" s="1092">
        <v>0</v>
      </c>
    </row>
    <row r="265" spans="72:76" x14ac:dyDescent="0.25">
      <c r="BT265" s="255">
        <v>45230</v>
      </c>
      <c r="BU265" t="s">
        <v>670</v>
      </c>
      <c r="BV265" t="s">
        <v>567</v>
      </c>
      <c r="BW265" s="5">
        <v>2775268.0799999996</v>
      </c>
      <c r="BX265" s="1092">
        <v>0</v>
      </c>
    </row>
    <row r="266" spans="72:76" x14ac:dyDescent="0.25">
      <c r="BT266" s="255">
        <v>45230</v>
      </c>
      <c r="BU266" t="s">
        <v>671</v>
      </c>
      <c r="BV266" t="s">
        <v>569</v>
      </c>
      <c r="BW266" s="5">
        <v>493576.9</v>
      </c>
      <c r="BX266" s="1092">
        <v>0</v>
      </c>
    </row>
    <row r="267" spans="72:76" x14ac:dyDescent="0.25">
      <c r="BT267" s="255">
        <v>45230</v>
      </c>
      <c r="BU267" t="s">
        <v>672</v>
      </c>
      <c r="BV267" t="s">
        <v>1415</v>
      </c>
      <c r="BW267" s="5">
        <v>5140417.8500000006</v>
      </c>
      <c r="BX267" s="1092">
        <v>0</v>
      </c>
    </row>
    <row r="268" spans="72:76" x14ac:dyDescent="0.25">
      <c r="BT268" s="255">
        <v>45230</v>
      </c>
      <c r="BU268" t="s">
        <v>673</v>
      </c>
      <c r="BV268" t="s">
        <v>368</v>
      </c>
      <c r="BW268" s="5">
        <v>1436.3</v>
      </c>
      <c r="BX268" s="1092"/>
    </row>
    <row r="269" spans="72:76" x14ac:dyDescent="0.25">
      <c r="BT269" s="255">
        <v>45230</v>
      </c>
      <c r="BU269" t="s">
        <v>674</v>
      </c>
      <c r="BV269" t="s">
        <v>370</v>
      </c>
      <c r="BW269" s="5">
        <v>3.6364000000000001</v>
      </c>
      <c r="BX269" s="1092"/>
    </row>
    <row r="270" spans="72:76" x14ac:dyDescent="0.25">
      <c r="BT270" s="255">
        <v>45230</v>
      </c>
      <c r="BU270" t="s">
        <v>675</v>
      </c>
      <c r="BV270" t="s">
        <v>372</v>
      </c>
      <c r="BW270" s="5">
        <v>76.622303582718743</v>
      </c>
      <c r="BX270" s="1092"/>
    </row>
    <row r="271" spans="72:76" x14ac:dyDescent="0.25">
      <c r="BT271" s="255">
        <v>45230</v>
      </c>
      <c r="BU271" t="s">
        <v>678</v>
      </c>
      <c r="BV271" t="s">
        <v>1414</v>
      </c>
      <c r="BW271" s="5">
        <v>31198546.879999999</v>
      </c>
      <c r="BX271" s="1092">
        <v>0</v>
      </c>
    </row>
    <row r="272" spans="72:76" x14ac:dyDescent="0.25">
      <c r="BT272" s="255">
        <v>45230</v>
      </c>
      <c r="BU272" t="s">
        <v>679</v>
      </c>
      <c r="BV272" t="s">
        <v>543</v>
      </c>
      <c r="BW272" s="5">
        <v>34182830.01000002</v>
      </c>
      <c r="BX272" s="1092">
        <v>0</v>
      </c>
    </row>
    <row r="273" spans="72:76" x14ac:dyDescent="0.25">
      <c r="BT273" s="255">
        <v>45230</v>
      </c>
      <c r="BU273" t="s">
        <v>680</v>
      </c>
      <c r="BV273" t="s">
        <v>545</v>
      </c>
      <c r="BW273" s="5">
        <v>55377694.399999961</v>
      </c>
      <c r="BX273" s="1092">
        <v>0</v>
      </c>
    </row>
    <row r="274" spans="72:76" x14ac:dyDescent="0.25">
      <c r="BT274" s="255">
        <v>45230</v>
      </c>
      <c r="BU274" t="s">
        <v>681</v>
      </c>
      <c r="BV274" t="s">
        <v>547</v>
      </c>
      <c r="BW274" s="5">
        <v>75627608.61999999</v>
      </c>
      <c r="BX274" s="1092">
        <v>0</v>
      </c>
    </row>
    <row r="275" spans="72:76" x14ac:dyDescent="0.25">
      <c r="BT275" s="255">
        <v>45230</v>
      </c>
      <c r="BU275" t="s">
        <v>682</v>
      </c>
      <c r="BV275" t="s">
        <v>549</v>
      </c>
      <c r="BW275" s="5">
        <v>82137903.689999878</v>
      </c>
      <c r="BX275" s="1092">
        <v>0</v>
      </c>
    </row>
    <row r="276" spans="72:76" x14ac:dyDescent="0.25">
      <c r="BT276" s="255">
        <v>45230</v>
      </c>
      <c r="BU276" t="s">
        <v>683</v>
      </c>
      <c r="BV276" t="s">
        <v>551</v>
      </c>
      <c r="BW276" s="5">
        <v>79849243.309999987</v>
      </c>
      <c r="BX276" s="1092">
        <v>0</v>
      </c>
    </row>
    <row r="277" spans="72:76" x14ac:dyDescent="0.25">
      <c r="BT277" s="255">
        <v>45230</v>
      </c>
      <c r="BU277" t="s">
        <v>684</v>
      </c>
      <c r="BV277" t="s">
        <v>553</v>
      </c>
      <c r="BW277" s="5">
        <v>74867502.030000046</v>
      </c>
      <c r="BX277" s="1092">
        <v>0</v>
      </c>
    </row>
    <row r="278" spans="72:76" x14ac:dyDescent="0.25">
      <c r="BT278" s="255">
        <v>45230</v>
      </c>
      <c r="BU278" t="s">
        <v>685</v>
      </c>
      <c r="BV278" t="s">
        <v>555</v>
      </c>
      <c r="BW278" s="5">
        <v>97703116.070000082</v>
      </c>
      <c r="BX278" s="1092">
        <v>1</v>
      </c>
    </row>
    <row r="279" spans="72:76" x14ac:dyDescent="0.25">
      <c r="BT279" s="255">
        <v>45230</v>
      </c>
      <c r="BU279" t="s">
        <v>686</v>
      </c>
      <c r="BV279" t="s">
        <v>557</v>
      </c>
      <c r="BW279" s="5">
        <v>101013124.51999998</v>
      </c>
      <c r="BX279" s="1092">
        <v>0</v>
      </c>
    </row>
    <row r="280" spans="72:76" x14ac:dyDescent="0.25">
      <c r="BT280" s="255">
        <v>45230</v>
      </c>
      <c r="BU280" t="s">
        <v>687</v>
      </c>
      <c r="BV280" t="s">
        <v>559</v>
      </c>
      <c r="BW280" s="5">
        <v>91194641.010000065</v>
      </c>
      <c r="BX280" s="1092">
        <v>0</v>
      </c>
    </row>
    <row r="281" spans="72:76" x14ac:dyDescent="0.25">
      <c r="BT281" s="255">
        <v>45230</v>
      </c>
      <c r="BU281" t="s">
        <v>688</v>
      </c>
      <c r="BV281" t="s">
        <v>561</v>
      </c>
      <c r="BW281" s="5">
        <v>14885033.450000001</v>
      </c>
      <c r="BX281" s="1092">
        <v>0</v>
      </c>
    </row>
    <row r="282" spans="72:76" x14ac:dyDescent="0.25">
      <c r="BT282" s="255">
        <v>45230</v>
      </c>
      <c r="BU282" t="s">
        <v>689</v>
      </c>
      <c r="BV282" t="s">
        <v>563</v>
      </c>
      <c r="BW282" s="5">
        <v>4519309.3900000006</v>
      </c>
      <c r="BX282" s="1092">
        <v>0</v>
      </c>
    </row>
    <row r="283" spans="72:76" x14ac:dyDescent="0.25">
      <c r="BT283" s="255">
        <v>45230</v>
      </c>
      <c r="BU283" t="s">
        <v>690</v>
      </c>
      <c r="BV283" t="s">
        <v>565</v>
      </c>
      <c r="BW283" s="5">
        <v>2545279.8200000003</v>
      </c>
      <c r="BX283" s="1092">
        <v>0</v>
      </c>
    </row>
    <row r="284" spans="72:76" x14ac:dyDescent="0.25">
      <c r="BT284" s="255">
        <v>45230</v>
      </c>
      <c r="BU284" t="s">
        <v>691</v>
      </c>
      <c r="BV284" t="s">
        <v>567</v>
      </c>
      <c r="BW284" s="5">
        <v>1509979.53</v>
      </c>
      <c r="BX284" s="1092">
        <v>0</v>
      </c>
    </row>
    <row r="285" spans="72:76" x14ac:dyDescent="0.25">
      <c r="BT285" s="255">
        <v>45230</v>
      </c>
      <c r="BU285" t="s">
        <v>692</v>
      </c>
      <c r="BV285" t="s">
        <v>569</v>
      </c>
      <c r="BW285" s="5">
        <v>408447.48</v>
      </c>
      <c r="BX285" s="1092">
        <v>0</v>
      </c>
    </row>
    <row r="286" spans="72:76" x14ac:dyDescent="0.25">
      <c r="BT286" s="255">
        <v>45230</v>
      </c>
      <c r="BU286" t="s">
        <v>693</v>
      </c>
      <c r="BV286" t="s">
        <v>1415</v>
      </c>
      <c r="BW286" s="5">
        <v>4064754.16</v>
      </c>
      <c r="BX286" s="1092">
        <v>0</v>
      </c>
    </row>
    <row r="287" spans="72:76" x14ac:dyDescent="0.25">
      <c r="BT287" s="255">
        <v>45230</v>
      </c>
      <c r="BU287" t="s">
        <v>694</v>
      </c>
      <c r="BV287" t="s">
        <v>368</v>
      </c>
      <c r="BW287" s="5">
        <v>1141.8699999999999</v>
      </c>
      <c r="BX287" s="1092"/>
    </row>
    <row r="288" spans="72:76" x14ac:dyDescent="0.25">
      <c r="BT288" s="255">
        <v>45230</v>
      </c>
      <c r="BU288" t="s">
        <v>695</v>
      </c>
      <c r="BV288" t="s">
        <v>370</v>
      </c>
      <c r="BW288" s="5">
        <v>0</v>
      </c>
      <c r="BX288" s="1092"/>
    </row>
    <row r="289" spans="72:76" x14ac:dyDescent="0.25">
      <c r="BT289" s="255">
        <v>45230</v>
      </c>
      <c r="BU289" t="s">
        <v>696</v>
      </c>
      <c r="BV289" t="s">
        <v>372</v>
      </c>
      <c r="BW289" s="5">
        <v>43.396769482713751</v>
      </c>
      <c r="BX289" s="1092"/>
    </row>
    <row r="290" spans="72:76" x14ac:dyDescent="0.25">
      <c r="BT290" s="255">
        <v>45230</v>
      </c>
      <c r="BU290" t="s">
        <v>698</v>
      </c>
      <c r="BV290" t="s">
        <v>1414</v>
      </c>
      <c r="BW290" s="5">
        <v>24744820.190000024</v>
      </c>
      <c r="BX290" s="1092">
        <v>0</v>
      </c>
    </row>
    <row r="291" spans="72:76" x14ac:dyDescent="0.25">
      <c r="BT291" s="255">
        <v>45230</v>
      </c>
      <c r="BU291" t="s">
        <v>699</v>
      </c>
      <c r="BV291" t="s">
        <v>543</v>
      </c>
      <c r="BW291" s="5">
        <v>11133023.409999993</v>
      </c>
      <c r="BX291" s="1092">
        <v>0</v>
      </c>
    </row>
    <row r="292" spans="72:76" x14ac:dyDescent="0.25">
      <c r="BT292" s="255">
        <v>45230</v>
      </c>
      <c r="BU292" t="s">
        <v>700</v>
      </c>
      <c r="BV292" t="s">
        <v>545</v>
      </c>
      <c r="BW292" s="5">
        <v>11592429.749999996</v>
      </c>
      <c r="BX292" s="1092">
        <v>0</v>
      </c>
    </row>
    <row r="293" spans="72:76" x14ac:dyDescent="0.25">
      <c r="BT293" s="255">
        <v>45230</v>
      </c>
      <c r="BU293" t="s">
        <v>701</v>
      </c>
      <c r="BV293" t="s">
        <v>547</v>
      </c>
      <c r="BW293" s="5">
        <v>17960379.719999995</v>
      </c>
      <c r="BX293" s="1092">
        <v>0</v>
      </c>
    </row>
    <row r="294" spans="72:76" x14ac:dyDescent="0.25">
      <c r="BT294" s="255">
        <v>45230</v>
      </c>
      <c r="BU294" t="s">
        <v>702</v>
      </c>
      <c r="BV294" t="s">
        <v>549</v>
      </c>
      <c r="BW294" s="5">
        <v>11948799.659999998</v>
      </c>
      <c r="BX294" s="1092">
        <v>0</v>
      </c>
    </row>
    <row r="295" spans="72:76" x14ac:dyDescent="0.25">
      <c r="BT295" s="255">
        <v>45230</v>
      </c>
      <c r="BU295" t="s">
        <v>703</v>
      </c>
      <c r="BV295" t="s">
        <v>551</v>
      </c>
      <c r="BW295" s="5">
        <v>10450340.02</v>
      </c>
      <c r="BX295" s="1092">
        <v>0</v>
      </c>
    </row>
    <row r="296" spans="72:76" x14ac:dyDescent="0.25">
      <c r="BT296" s="255">
        <v>45230</v>
      </c>
      <c r="BU296" t="s">
        <v>704</v>
      </c>
      <c r="BV296" t="s">
        <v>553</v>
      </c>
      <c r="BW296" s="5">
        <v>9902783.4499999993</v>
      </c>
      <c r="BX296" s="1092">
        <v>0</v>
      </c>
    </row>
    <row r="297" spans="72:76" x14ac:dyDescent="0.25">
      <c r="BT297" s="255">
        <v>45230</v>
      </c>
      <c r="BU297" t="s">
        <v>705</v>
      </c>
      <c r="BV297" t="s">
        <v>555</v>
      </c>
      <c r="BW297" s="5">
        <v>10928484.209999997</v>
      </c>
      <c r="BX297" s="1092">
        <v>0</v>
      </c>
    </row>
    <row r="298" spans="72:76" x14ac:dyDescent="0.25">
      <c r="BT298" s="255">
        <v>45230</v>
      </c>
      <c r="BU298" t="s">
        <v>706</v>
      </c>
      <c r="BV298" t="s">
        <v>557</v>
      </c>
      <c r="BW298" s="5">
        <v>3952172.1700000004</v>
      </c>
      <c r="BX298" s="1092">
        <v>0</v>
      </c>
    </row>
    <row r="299" spans="72:76" x14ac:dyDescent="0.25">
      <c r="BT299" s="255">
        <v>45230</v>
      </c>
      <c r="BU299" t="s">
        <v>707</v>
      </c>
      <c r="BV299" t="s">
        <v>559</v>
      </c>
      <c r="BW299" s="5">
        <v>5167740.8999999994</v>
      </c>
      <c r="BX299" s="1092">
        <v>0</v>
      </c>
    </row>
    <row r="300" spans="72:76" x14ac:dyDescent="0.25">
      <c r="BT300" s="255">
        <v>45230</v>
      </c>
      <c r="BU300" t="s">
        <v>708</v>
      </c>
      <c r="BV300" t="s">
        <v>561</v>
      </c>
      <c r="BW300" s="5">
        <v>0</v>
      </c>
      <c r="BX300" s="1092">
        <v>0</v>
      </c>
    </row>
    <row r="301" spans="72:76" x14ac:dyDescent="0.25">
      <c r="BT301" s="255">
        <v>45230</v>
      </c>
      <c r="BU301" t="s">
        <v>709</v>
      </c>
      <c r="BV301" t="s">
        <v>563</v>
      </c>
      <c r="BW301" s="5">
        <v>0</v>
      </c>
      <c r="BX301" s="1092">
        <v>0</v>
      </c>
    </row>
    <row r="302" spans="72:76" x14ac:dyDescent="0.25">
      <c r="BT302" s="255">
        <v>45230</v>
      </c>
      <c r="BU302" t="s">
        <v>710</v>
      </c>
      <c r="BV302" t="s">
        <v>565</v>
      </c>
      <c r="BW302" s="5">
        <v>0</v>
      </c>
      <c r="BX302" s="1092">
        <v>0</v>
      </c>
    </row>
    <row r="303" spans="72:76" x14ac:dyDescent="0.25">
      <c r="BT303" s="255">
        <v>45230</v>
      </c>
      <c r="BU303" t="s">
        <v>711</v>
      </c>
      <c r="BV303" t="s">
        <v>567</v>
      </c>
      <c r="BW303" s="5">
        <v>0</v>
      </c>
      <c r="BX303" s="1092">
        <v>0</v>
      </c>
    </row>
    <row r="304" spans="72:76" x14ac:dyDescent="0.25">
      <c r="BT304" s="255">
        <v>45230</v>
      </c>
      <c r="BU304" t="s">
        <v>712</v>
      </c>
      <c r="BV304" t="s">
        <v>569</v>
      </c>
      <c r="BW304" s="5">
        <v>0</v>
      </c>
      <c r="BX304" s="1092">
        <v>0</v>
      </c>
    </row>
    <row r="305" spans="72:76" x14ac:dyDescent="0.25">
      <c r="BT305" s="255">
        <v>45230</v>
      </c>
      <c r="BU305" t="s">
        <v>713</v>
      </c>
      <c r="BV305" t="s">
        <v>1415</v>
      </c>
      <c r="BW305" s="5">
        <v>0</v>
      </c>
      <c r="BX305" s="1092">
        <v>0</v>
      </c>
    </row>
    <row r="306" spans="72:76" x14ac:dyDescent="0.25">
      <c r="BT306" s="255">
        <v>45230</v>
      </c>
      <c r="BU306" t="s">
        <v>714</v>
      </c>
      <c r="BV306" t="s">
        <v>368</v>
      </c>
      <c r="BW306" s="5">
        <v>100</v>
      </c>
      <c r="BX306" s="1092"/>
    </row>
    <row r="307" spans="72:76" x14ac:dyDescent="0.25">
      <c r="BT307" s="255">
        <v>45230</v>
      </c>
      <c r="BU307" t="s">
        <v>715</v>
      </c>
      <c r="BV307" t="s">
        <v>370</v>
      </c>
      <c r="BW307" s="5">
        <v>0</v>
      </c>
      <c r="BX307" s="1092"/>
    </row>
    <row r="308" spans="72:76" x14ac:dyDescent="0.25">
      <c r="BT308" s="255">
        <v>45230</v>
      </c>
      <c r="BU308" t="s">
        <v>716</v>
      </c>
      <c r="BV308" t="s">
        <v>372</v>
      </c>
      <c r="BW308" s="5">
        <v>22.327520000000014</v>
      </c>
      <c r="BX308" s="1092"/>
    </row>
    <row r="309" spans="72:76" x14ac:dyDescent="0.25">
      <c r="BT309" s="255">
        <v>45230</v>
      </c>
      <c r="BU309" t="s">
        <v>718</v>
      </c>
      <c r="BV309" t="s">
        <v>1414</v>
      </c>
      <c r="BW309" s="5">
        <v>6453726.6900000023</v>
      </c>
      <c r="BX309" s="1092">
        <v>0</v>
      </c>
    </row>
    <row r="310" spans="72:76" x14ac:dyDescent="0.25">
      <c r="BT310" s="255">
        <v>45230</v>
      </c>
      <c r="BU310" t="s">
        <v>719</v>
      </c>
      <c r="BV310" t="s">
        <v>543</v>
      </c>
      <c r="BW310" s="5">
        <v>23049806.599999994</v>
      </c>
      <c r="BX310" s="1092">
        <v>0</v>
      </c>
    </row>
    <row r="311" spans="72:76" x14ac:dyDescent="0.25">
      <c r="BT311" s="255">
        <v>45230</v>
      </c>
      <c r="BU311" t="s">
        <v>720</v>
      </c>
      <c r="BV311" t="s">
        <v>545</v>
      </c>
      <c r="BW311" s="5">
        <v>43785264.650000013</v>
      </c>
      <c r="BX311" s="1092">
        <v>0</v>
      </c>
    </row>
    <row r="312" spans="72:76" x14ac:dyDescent="0.25">
      <c r="BT312" s="255">
        <v>45230</v>
      </c>
      <c r="BU312" t="s">
        <v>721</v>
      </c>
      <c r="BV312" t="s">
        <v>547</v>
      </c>
      <c r="BW312" s="5">
        <v>57667228.900000036</v>
      </c>
      <c r="BX312" s="1092">
        <v>0</v>
      </c>
    </row>
    <row r="313" spans="72:76" x14ac:dyDescent="0.25">
      <c r="BT313" s="255">
        <v>45230</v>
      </c>
      <c r="BU313" t="s">
        <v>722</v>
      </c>
      <c r="BV313" t="s">
        <v>549</v>
      </c>
      <c r="BW313" s="5">
        <v>70189104.029999942</v>
      </c>
      <c r="BX313" s="1092">
        <v>0</v>
      </c>
    </row>
    <row r="314" spans="72:76" x14ac:dyDescent="0.25">
      <c r="BT314" s="255">
        <v>45230</v>
      </c>
      <c r="BU314" t="s">
        <v>723</v>
      </c>
      <c r="BV314" t="s">
        <v>551</v>
      </c>
      <c r="BW314" s="5">
        <v>69398903.289999992</v>
      </c>
      <c r="BX314" s="1092">
        <v>0</v>
      </c>
    </row>
    <row r="315" spans="72:76" x14ac:dyDescent="0.25">
      <c r="BT315" s="255">
        <v>45230</v>
      </c>
      <c r="BU315" t="s">
        <v>724</v>
      </c>
      <c r="BV315" t="s">
        <v>553</v>
      </c>
      <c r="BW315" s="5">
        <v>64964718.580000035</v>
      </c>
      <c r="BX315" s="1092">
        <v>0</v>
      </c>
    </row>
    <row r="316" spans="72:76" x14ac:dyDescent="0.25">
      <c r="BT316" s="255">
        <v>45230</v>
      </c>
      <c r="BU316" t="s">
        <v>725</v>
      </c>
      <c r="BV316" t="s">
        <v>555</v>
      </c>
      <c r="BW316" s="5">
        <v>86774631.860000059</v>
      </c>
      <c r="BX316" s="1092">
        <v>1</v>
      </c>
    </row>
    <row r="317" spans="72:76" x14ac:dyDescent="0.25">
      <c r="BT317" s="255">
        <v>45230</v>
      </c>
      <c r="BU317" t="s">
        <v>726</v>
      </c>
      <c r="BV317" t="s">
        <v>557</v>
      </c>
      <c r="BW317" s="5">
        <v>97060952.349999979</v>
      </c>
      <c r="BX317" s="1092">
        <v>0</v>
      </c>
    </row>
    <row r="318" spans="72:76" x14ac:dyDescent="0.25">
      <c r="BT318" s="255">
        <v>45230</v>
      </c>
      <c r="BU318" t="s">
        <v>727</v>
      </c>
      <c r="BV318" t="s">
        <v>559</v>
      </c>
      <c r="BW318" s="5">
        <v>86026900.110000059</v>
      </c>
      <c r="BX318" s="1092">
        <v>0</v>
      </c>
    </row>
    <row r="319" spans="72:76" x14ac:dyDescent="0.25">
      <c r="BT319" s="255">
        <v>45230</v>
      </c>
      <c r="BU319" t="s">
        <v>728</v>
      </c>
      <c r="BV319" t="s">
        <v>561</v>
      </c>
      <c r="BW319" s="5">
        <v>14885033.450000001</v>
      </c>
      <c r="BX319" s="1092">
        <v>0</v>
      </c>
    </row>
    <row r="320" spans="72:76" x14ac:dyDescent="0.25">
      <c r="BT320" s="255">
        <v>45230</v>
      </c>
      <c r="BU320" t="s">
        <v>729</v>
      </c>
      <c r="BV320" t="s">
        <v>563</v>
      </c>
      <c r="BW320" s="5">
        <v>4519309.3900000006</v>
      </c>
      <c r="BX320" s="1092">
        <v>0</v>
      </c>
    </row>
    <row r="321" spans="72:76" x14ac:dyDescent="0.25">
      <c r="BT321" s="255">
        <v>45230</v>
      </c>
      <c r="BU321" t="s">
        <v>730</v>
      </c>
      <c r="BV321" t="s">
        <v>565</v>
      </c>
      <c r="BW321" s="5">
        <v>2545279.8200000003</v>
      </c>
      <c r="BX321" s="1092">
        <v>0</v>
      </c>
    </row>
    <row r="322" spans="72:76" x14ac:dyDescent="0.25">
      <c r="BT322" s="255">
        <v>45230</v>
      </c>
      <c r="BU322" t="s">
        <v>731</v>
      </c>
      <c r="BV322" t="s">
        <v>567</v>
      </c>
      <c r="BW322" s="5">
        <v>1509979.53</v>
      </c>
      <c r="BX322" s="1092">
        <v>0</v>
      </c>
    </row>
    <row r="323" spans="72:76" x14ac:dyDescent="0.25">
      <c r="BT323" s="255">
        <v>45230</v>
      </c>
      <c r="BU323" t="s">
        <v>732</v>
      </c>
      <c r="BV323" t="s">
        <v>569</v>
      </c>
      <c r="BW323" s="5">
        <v>408447.48</v>
      </c>
      <c r="BX323" s="1092">
        <v>0</v>
      </c>
    </row>
    <row r="324" spans="72:76" x14ac:dyDescent="0.25">
      <c r="BT324" s="255">
        <v>45230</v>
      </c>
      <c r="BU324" t="s">
        <v>733</v>
      </c>
      <c r="BV324" t="s">
        <v>1415</v>
      </c>
      <c r="BW324" s="5">
        <v>4064754.16</v>
      </c>
      <c r="BX324" s="1092">
        <v>0</v>
      </c>
    </row>
    <row r="325" spans="72:76" x14ac:dyDescent="0.25">
      <c r="BT325" s="255">
        <v>45230</v>
      </c>
      <c r="BU325" t="s">
        <v>734</v>
      </c>
      <c r="BV325" t="s">
        <v>368</v>
      </c>
      <c r="BW325" s="5">
        <v>1141.8699999999999</v>
      </c>
      <c r="BX325" s="1092"/>
    </row>
    <row r="326" spans="72:76" x14ac:dyDescent="0.25">
      <c r="BT326" s="255">
        <v>45230</v>
      </c>
      <c r="BU326" t="s">
        <v>735</v>
      </c>
      <c r="BV326" t="s">
        <v>370</v>
      </c>
      <c r="BW326" s="5">
        <v>9.3299999999999994E-2</v>
      </c>
      <c r="BX326" s="1092"/>
    </row>
    <row r="327" spans="72:76" x14ac:dyDescent="0.25">
      <c r="BT327" s="255">
        <v>45230</v>
      </c>
      <c r="BU327" t="s">
        <v>736</v>
      </c>
      <c r="BV327" t="s">
        <v>372</v>
      </c>
      <c r="BW327" s="5">
        <v>50.797278609062161</v>
      </c>
      <c r="BX327" s="1092"/>
    </row>
    <row r="328" spans="72:76" x14ac:dyDescent="0.25">
      <c r="BT328" s="255">
        <v>45230</v>
      </c>
      <c r="BU328" t="s">
        <v>738</v>
      </c>
      <c r="BV328" t="s">
        <v>1416</v>
      </c>
      <c r="BW328" s="5">
        <v>278549277.20000023</v>
      </c>
      <c r="BX328" s="1092">
        <v>0</v>
      </c>
    </row>
    <row r="329" spans="72:76" x14ac:dyDescent="0.25">
      <c r="BT329" s="255">
        <v>45230</v>
      </c>
      <c r="BU329" t="s">
        <v>740</v>
      </c>
      <c r="BV329" t="s">
        <v>1417</v>
      </c>
      <c r="BW329" s="5">
        <v>457640549.67999989</v>
      </c>
      <c r="BX329" s="1092">
        <v>1</v>
      </c>
    </row>
    <row r="330" spans="72:76" x14ac:dyDescent="0.25">
      <c r="BT330" s="255">
        <v>45230</v>
      </c>
      <c r="BU330" t="s">
        <v>742</v>
      </c>
      <c r="BV330" t="s">
        <v>1418</v>
      </c>
      <c r="BW330" s="5">
        <v>0</v>
      </c>
      <c r="BX330" s="1092">
        <v>0</v>
      </c>
    </row>
    <row r="331" spans="72:76" x14ac:dyDescent="0.25">
      <c r="BT331" s="255">
        <v>45230</v>
      </c>
      <c r="BU331" t="s">
        <v>744</v>
      </c>
      <c r="BV331" t="s">
        <v>1419</v>
      </c>
      <c r="BW331" s="5">
        <v>0</v>
      </c>
      <c r="BX331" s="1092">
        <v>0</v>
      </c>
    </row>
    <row r="332" spans="72:76" x14ac:dyDescent="0.25">
      <c r="BT332" s="255">
        <v>45230</v>
      </c>
      <c r="BU332" t="s">
        <v>746</v>
      </c>
      <c r="BV332" t="s">
        <v>1420</v>
      </c>
      <c r="BW332" s="5">
        <v>5598830.5100000007</v>
      </c>
      <c r="BX332" s="1092">
        <v>0</v>
      </c>
    </row>
    <row r="333" spans="72:76" x14ac:dyDescent="0.25">
      <c r="BT333" s="255">
        <v>45230</v>
      </c>
      <c r="BU333" t="s">
        <v>748</v>
      </c>
      <c r="BV333" t="s">
        <v>1421</v>
      </c>
      <c r="BW333" s="5">
        <v>0</v>
      </c>
      <c r="BX333" s="1092">
        <v>0</v>
      </c>
    </row>
    <row r="334" spans="72:76" x14ac:dyDescent="0.25">
      <c r="BT334" s="255">
        <v>45230</v>
      </c>
      <c r="BU334" t="s">
        <v>750</v>
      </c>
      <c r="BV334" t="s">
        <v>1422</v>
      </c>
      <c r="BW334" s="5">
        <v>474784.75</v>
      </c>
      <c r="BX334" s="1092">
        <v>0</v>
      </c>
    </row>
    <row r="335" spans="72:76" x14ac:dyDescent="0.25">
      <c r="BT335" s="255">
        <v>45230</v>
      </c>
      <c r="BU335" t="s">
        <v>752</v>
      </c>
      <c r="BV335" t="s">
        <v>1423</v>
      </c>
      <c r="BW335" s="5">
        <v>5118635.2700000014</v>
      </c>
      <c r="BX335" s="1092">
        <v>0</v>
      </c>
    </row>
    <row r="336" spans="72:76" x14ac:dyDescent="0.25">
      <c r="BT336" s="255">
        <v>45230</v>
      </c>
      <c r="BU336" t="s">
        <v>754</v>
      </c>
      <c r="BV336" t="s">
        <v>1413</v>
      </c>
      <c r="BW336" s="5">
        <v>3702936.9600000004</v>
      </c>
      <c r="BX336" s="1092">
        <v>0</v>
      </c>
    </row>
    <row r="337" spans="72:76" x14ac:dyDescent="0.25">
      <c r="BT337" s="255">
        <v>45230</v>
      </c>
      <c r="BU337" t="s">
        <v>755</v>
      </c>
      <c r="BV337" t="s">
        <v>368</v>
      </c>
      <c r="BX337" s="1092"/>
    </row>
    <row r="338" spans="72:76" x14ac:dyDescent="0.25">
      <c r="BT338" s="255">
        <v>45230</v>
      </c>
      <c r="BU338" t="s">
        <v>756</v>
      </c>
      <c r="BV338" t="s">
        <v>370</v>
      </c>
      <c r="BX338" s="1092"/>
    </row>
    <row r="339" spans="72:76" x14ac:dyDescent="0.25">
      <c r="BT339" s="255">
        <v>45230</v>
      </c>
      <c r="BU339" t="s">
        <v>757</v>
      </c>
      <c r="BV339" t="s">
        <v>372</v>
      </c>
      <c r="BX339" s="1092"/>
    </row>
    <row r="340" spans="72:76" x14ac:dyDescent="0.25">
      <c r="BT340" s="255">
        <v>45230</v>
      </c>
      <c r="BU340" t="s">
        <v>759</v>
      </c>
      <c r="BV340" t="s">
        <v>1424</v>
      </c>
      <c r="BW340" s="5">
        <v>751085014.36999917</v>
      </c>
      <c r="BX340" s="1092">
        <v>1</v>
      </c>
    </row>
    <row r="341" spans="72:76" x14ac:dyDescent="0.25">
      <c r="BT341" s="255">
        <v>45230</v>
      </c>
      <c r="BU341" t="s">
        <v>761</v>
      </c>
      <c r="BV341" t="s">
        <v>1425</v>
      </c>
      <c r="BW341" s="5">
        <v>0</v>
      </c>
      <c r="BX341" s="1092">
        <v>0</v>
      </c>
    </row>
    <row r="342" spans="72:76" x14ac:dyDescent="0.25">
      <c r="BT342" s="255">
        <v>45230</v>
      </c>
      <c r="BU342" t="s">
        <v>763</v>
      </c>
      <c r="BV342" t="s">
        <v>1426</v>
      </c>
      <c r="BW342" s="5">
        <v>0</v>
      </c>
      <c r="BX342" s="1092">
        <v>0</v>
      </c>
    </row>
    <row r="343" spans="72:76" x14ac:dyDescent="0.25">
      <c r="BT343" s="255">
        <v>45230</v>
      </c>
      <c r="BU343" t="s">
        <v>765</v>
      </c>
      <c r="BV343" t="s">
        <v>1427</v>
      </c>
      <c r="BW343" s="5">
        <v>0</v>
      </c>
      <c r="BX343" s="1092">
        <v>0</v>
      </c>
    </row>
    <row r="344" spans="72:76" x14ac:dyDescent="0.25">
      <c r="BT344" s="255">
        <v>45230</v>
      </c>
      <c r="BU344" t="s">
        <v>767</v>
      </c>
      <c r="BV344" t="s">
        <v>1428</v>
      </c>
      <c r="BW344" s="5">
        <v>0</v>
      </c>
      <c r="BX344" s="1092">
        <v>0</v>
      </c>
    </row>
    <row r="345" spans="72:76" x14ac:dyDescent="0.25">
      <c r="BT345" s="255">
        <v>45230</v>
      </c>
      <c r="BU345" t="s">
        <v>769</v>
      </c>
      <c r="BV345" t="s">
        <v>1429</v>
      </c>
      <c r="BW345" s="5">
        <v>0</v>
      </c>
      <c r="BX345" s="1092">
        <v>0</v>
      </c>
    </row>
    <row r="346" spans="72:76" x14ac:dyDescent="0.25">
      <c r="BT346" s="255">
        <v>45230</v>
      </c>
      <c r="BU346" t="s">
        <v>771</v>
      </c>
      <c r="BV346" t="s">
        <v>1430</v>
      </c>
      <c r="BW346" s="5">
        <v>0</v>
      </c>
      <c r="BX346" s="1092">
        <v>0</v>
      </c>
    </row>
    <row r="347" spans="72:76" x14ac:dyDescent="0.25">
      <c r="BT347" s="255">
        <v>45230</v>
      </c>
      <c r="BU347" t="s">
        <v>773</v>
      </c>
      <c r="BV347" t="s">
        <v>1431</v>
      </c>
      <c r="BW347" s="5">
        <v>0</v>
      </c>
      <c r="BX347" s="1092">
        <v>0</v>
      </c>
    </row>
    <row r="348" spans="72:76" x14ac:dyDescent="0.25">
      <c r="BT348" s="255">
        <v>45230</v>
      </c>
      <c r="BU348" t="s">
        <v>774</v>
      </c>
      <c r="BV348" t="s">
        <v>1432</v>
      </c>
      <c r="BW348" s="5">
        <v>0</v>
      </c>
      <c r="BX348" s="1092">
        <v>0</v>
      </c>
    </row>
    <row r="349" spans="72:76" x14ac:dyDescent="0.25">
      <c r="BT349" s="255">
        <v>45230</v>
      </c>
      <c r="BU349" t="s">
        <v>776</v>
      </c>
      <c r="BV349" t="s">
        <v>1433</v>
      </c>
      <c r="BW349" s="5">
        <v>0</v>
      </c>
      <c r="BX349" s="1092">
        <v>0</v>
      </c>
    </row>
    <row r="350" spans="72:76" x14ac:dyDescent="0.25">
      <c r="BT350" s="255">
        <v>45230</v>
      </c>
      <c r="BU350" t="s">
        <v>778</v>
      </c>
      <c r="BV350" t="s">
        <v>1434</v>
      </c>
      <c r="BW350" s="5">
        <v>0</v>
      </c>
      <c r="BX350" s="1092">
        <v>0</v>
      </c>
    </row>
    <row r="351" spans="72:76" x14ac:dyDescent="0.25">
      <c r="BT351" s="255">
        <v>45230</v>
      </c>
      <c r="BU351" t="s">
        <v>780</v>
      </c>
      <c r="BV351" t="s">
        <v>1435</v>
      </c>
      <c r="BW351" s="5">
        <v>0</v>
      </c>
      <c r="BX351" s="1092">
        <v>0</v>
      </c>
    </row>
    <row r="352" spans="72:76" x14ac:dyDescent="0.25">
      <c r="BT352" s="255">
        <v>45230</v>
      </c>
      <c r="BU352" t="s">
        <v>782</v>
      </c>
      <c r="BV352" t="s">
        <v>1436</v>
      </c>
      <c r="BW352" s="5">
        <v>0</v>
      </c>
      <c r="BX352" s="1092">
        <v>0</v>
      </c>
    </row>
    <row r="353" spans="72:76" x14ac:dyDescent="0.25">
      <c r="BT353" s="255">
        <v>45230</v>
      </c>
      <c r="BU353" t="s">
        <v>784</v>
      </c>
      <c r="BV353" t="s">
        <v>1437</v>
      </c>
      <c r="BW353" s="5">
        <v>0</v>
      </c>
      <c r="BX353" s="1092">
        <v>0</v>
      </c>
    </row>
    <row r="354" spans="72:76" x14ac:dyDescent="0.25">
      <c r="BT354" s="255">
        <v>45230</v>
      </c>
      <c r="BU354" t="s">
        <v>786</v>
      </c>
      <c r="BV354" t="s">
        <v>1413</v>
      </c>
      <c r="BW354" s="5">
        <v>0</v>
      </c>
      <c r="BX354" s="1092">
        <v>0</v>
      </c>
    </row>
    <row r="355" spans="72:76" x14ac:dyDescent="0.25">
      <c r="BT355" s="255">
        <v>45230</v>
      </c>
      <c r="BU355" t="s">
        <v>787</v>
      </c>
      <c r="BV355" t="s">
        <v>368</v>
      </c>
      <c r="BX355" s="1092"/>
    </row>
    <row r="356" spans="72:76" x14ac:dyDescent="0.25">
      <c r="BT356" s="255">
        <v>45230</v>
      </c>
      <c r="BU356" t="s">
        <v>788</v>
      </c>
      <c r="BV356" t="s">
        <v>370</v>
      </c>
      <c r="BX356" s="1092"/>
    </row>
    <row r="357" spans="72:76" x14ac:dyDescent="0.25">
      <c r="BT357" s="255">
        <v>45230</v>
      </c>
      <c r="BU357" t="s">
        <v>789</v>
      </c>
      <c r="BV357" t="s">
        <v>372</v>
      </c>
      <c r="BX357" s="1092"/>
    </row>
    <row r="358" spans="72:76" x14ac:dyDescent="0.25">
      <c r="BT358" s="255">
        <v>45230</v>
      </c>
      <c r="BU358" t="s">
        <v>791</v>
      </c>
      <c r="BV358" t="s">
        <v>1438</v>
      </c>
      <c r="BW358" s="5">
        <v>747121678.14999914</v>
      </c>
      <c r="BX358" s="1092">
        <v>1</v>
      </c>
    </row>
    <row r="359" spans="72:76" x14ac:dyDescent="0.25">
      <c r="BT359" s="255">
        <v>45230</v>
      </c>
      <c r="BU359" t="s">
        <v>793</v>
      </c>
      <c r="BV359" t="s">
        <v>1439</v>
      </c>
      <c r="BW359" s="5">
        <v>3893805.59</v>
      </c>
      <c r="BX359" s="1092">
        <v>0</v>
      </c>
    </row>
    <row r="360" spans="72:76" x14ac:dyDescent="0.25">
      <c r="BT360" s="255">
        <v>45230</v>
      </c>
      <c r="BU360" t="s">
        <v>795</v>
      </c>
      <c r="BV360" t="s">
        <v>1440</v>
      </c>
      <c r="BW360" s="5">
        <v>0</v>
      </c>
      <c r="BX360" s="1092">
        <v>0</v>
      </c>
    </row>
    <row r="361" spans="72:76" x14ac:dyDescent="0.25">
      <c r="BT361" s="255">
        <v>45230</v>
      </c>
      <c r="BU361" t="s">
        <v>797</v>
      </c>
      <c r="BV361" t="s">
        <v>1441</v>
      </c>
      <c r="BW361" s="5">
        <v>69530.63</v>
      </c>
      <c r="BX361" s="1092">
        <v>0</v>
      </c>
    </row>
    <row r="362" spans="72:76" x14ac:dyDescent="0.25">
      <c r="BT362" s="255">
        <v>45230</v>
      </c>
      <c r="BU362" t="s">
        <v>799</v>
      </c>
      <c r="BV362" t="s">
        <v>1413</v>
      </c>
      <c r="BW362" s="5">
        <v>0</v>
      </c>
      <c r="BX362" s="1092">
        <v>0</v>
      </c>
    </row>
    <row r="363" spans="72:76" x14ac:dyDescent="0.25">
      <c r="BT363" s="255">
        <v>45230</v>
      </c>
      <c r="BU363" t="s">
        <v>800</v>
      </c>
      <c r="BV363" t="s">
        <v>368</v>
      </c>
      <c r="BX363" s="1092"/>
    </row>
    <row r="364" spans="72:76" x14ac:dyDescent="0.25">
      <c r="BT364" s="255">
        <v>45230</v>
      </c>
      <c r="BU364" t="s">
        <v>801</v>
      </c>
      <c r="BV364" t="s">
        <v>370</v>
      </c>
      <c r="BX364" s="1092"/>
    </row>
    <row r="365" spans="72:76" x14ac:dyDescent="0.25">
      <c r="BT365" s="255">
        <v>45230</v>
      </c>
      <c r="BU365" t="s">
        <v>802</v>
      </c>
      <c r="BV365" t="s">
        <v>372</v>
      </c>
      <c r="BX365" s="1092"/>
    </row>
    <row r="366" spans="72:76" x14ac:dyDescent="0.25">
      <c r="BT366" s="255">
        <v>45230</v>
      </c>
      <c r="BU366" t="s">
        <v>804</v>
      </c>
      <c r="BV366" t="s">
        <v>1442</v>
      </c>
      <c r="BW366" s="5">
        <v>438932847.36000025</v>
      </c>
      <c r="BX366" s="1092">
        <v>1</v>
      </c>
    </row>
    <row r="367" spans="72:76" x14ac:dyDescent="0.25">
      <c r="BT367" s="255">
        <v>45230</v>
      </c>
      <c r="BU367" t="s">
        <v>806</v>
      </c>
      <c r="BV367" t="s">
        <v>1443</v>
      </c>
      <c r="BW367" s="5">
        <v>34904404.989999995</v>
      </c>
      <c r="BX367" s="1092">
        <v>0</v>
      </c>
    </row>
    <row r="368" spans="72:76" x14ac:dyDescent="0.25">
      <c r="BT368" s="255">
        <v>45230</v>
      </c>
      <c r="BU368" t="s">
        <v>808</v>
      </c>
      <c r="BV368" t="s">
        <v>1444</v>
      </c>
      <c r="BW368" s="5">
        <v>30507105.429999992</v>
      </c>
      <c r="BX368" s="1092">
        <v>0</v>
      </c>
    </row>
    <row r="369" spans="72:76" x14ac:dyDescent="0.25">
      <c r="BT369" s="255">
        <v>45230</v>
      </c>
      <c r="BU369" t="s">
        <v>810</v>
      </c>
      <c r="BV369" t="s">
        <v>1445</v>
      </c>
      <c r="BW369" s="5">
        <v>31996123.850000001</v>
      </c>
      <c r="BX369" s="1092">
        <v>0</v>
      </c>
    </row>
    <row r="370" spans="72:76" x14ac:dyDescent="0.25">
      <c r="BT370" s="255">
        <v>45230</v>
      </c>
      <c r="BU370" t="s">
        <v>812</v>
      </c>
      <c r="BV370" t="s">
        <v>1446</v>
      </c>
      <c r="BW370" s="5">
        <v>65531710.770000033</v>
      </c>
      <c r="BX370" s="1092">
        <v>0</v>
      </c>
    </row>
    <row r="371" spans="72:76" x14ac:dyDescent="0.25">
      <c r="BT371" s="255">
        <v>45230</v>
      </c>
      <c r="BU371" t="s">
        <v>814</v>
      </c>
      <c r="BV371" t="s">
        <v>1447</v>
      </c>
      <c r="BW371" s="5">
        <v>0</v>
      </c>
      <c r="BX371" s="1092">
        <v>0</v>
      </c>
    </row>
    <row r="372" spans="72:76" x14ac:dyDescent="0.25">
      <c r="BT372" s="255">
        <v>45230</v>
      </c>
      <c r="BU372" t="s">
        <v>816</v>
      </c>
      <c r="BV372" t="s">
        <v>1448</v>
      </c>
      <c r="BW372" s="5">
        <v>2762741.84</v>
      </c>
      <c r="BX372" s="1092">
        <v>0</v>
      </c>
    </row>
    <row r="373" spans="72:76" x14ac:dyDescent="0.25">
      <c r="BT373" s="255">
        <v>45230</v>
      </c>
      <c r="BU373" t="s">
        <v>818</v>
      </c>
      <c r="BV373" t="s">
        <v>1449</v>
      </c>
      <c r="BW373" s="5">
        <v>16676134.400000004</v>
      </c>
      <c r="BX373" s="1092">
        <v>0</v>
      </c>
    </row>
    <row r="374" spans="72:76" x14ac:dyDescent="0.25">
      <c r="BT374" s="255">
        <v>45230</v>
      </c>
      <c r="BU374" t="s">
        <v>820</v>
      </c>
      <c r="BV374" t="s">
        <v>1413</v>
      </c>
      <c r="BW374" s="5">
        <v>4839152.6900000004</v>
      </c>
      <c r="BX374" s="1092">
        <v>0</v>
      </c>
    </row>
    <row r="375" spans="72:76" x14ac:dyDescent="0.25">
      <c r="BT375" s="255">
        <v>45230</v>
      </c>
      <c r="BU375" t="s">
        <v>821</v>
      </c>
      <c r="BV375" t="s">
        <v>368</v>
      </c>
      <c r="BX375" s="1092"/>
    </row>
    <row r="376" spans="72:76" x14ac:dyDescent="0.25">
      <c r="BT376" s="255">
        <v>45230</v>
      </c>
      <c r="BU376" t="s">
        <v>822</v>
      </c>
      <c r="BV376" t="s">
        <v>370</v>
      </c>
      <c r="BX376" s="1092"/>
    </row>
    <row r="377" spans="72:76" x14ac:dyDescent="0.25">
      <c r="BT377" s="255">
        <v>45230</v>
      </c>
      <c r="BU377" t="s">
        <v>823</v>
      </c>
      <c r="BV377" t="s">
        <v>372</v>
      </c>
      <c r="BX377" s="1092"/>
    </row>
    <row r="378" spans="72:76" x14ac:dyDescent="0.25">
      <c r="BT378" s="255">
        <v>45230</v>
      </c>
      <c r="BU378" t="s">
        <v>825</v>
      </c>
      <c r="BV378" t="s">
        <v>826</v>
      </c>
      <c r="BW378" s="5">
        <v>8631224.9600000009</v>
      </c>
      <c r="BX378" s="1092">
        <v>0</v>
      </c>
    </row>
    <row r="379" spans="72:76" x14ac:dyDescent="0.25">
      <c r="BT379" s="255">
        <v>45230</v>
      </c>
      <c r="BU379" t="s">
        <v>827</v>
      </c>
      <c r="BV379" t="s">
        <v>828</v>
      </c>
      <c r="BW379" s="5">
        <v>11659162.569999993</v>
      </c>
      <c r="BX379" s="1092">
        <v>0</v>
      </c>
    </row>
    <row r="380" spans="72:76" x14ac:dyDescent="0.25">
      <c r="BT380" s="255">
        <v>45230</v>
      </c>
      <c r="BU380" t="s">
        <v>829</v>
      </c>
      <c r="BV380" t="s">
        <v>830</v>
      </c>
      <c r="BW380" s="5">
        <v>24479517.379999992</v>
      </c>
      <c r="BX380" s="1092">
        <v>0</v>
      </c>
    </row>
    <row r="381" spans="72:76" x14ac:dyDescent="0.25">
      <c r="BT381" s="255">
        <v>45230</v>
      </c>
      <c r="BU381" t="s">
        <v>831</v>
      </c>
      <c r="BV381" t="s">
        <v>832</v>
      </c>
      <c r="BW381" s="5">
        <v>35878079.210000023</v>
      </c>
      <c r="BX381" s="1092">
        <v>0</v>
      </c>
    </row>
    <row r="382" spans="72:76" x14ac:dyDescent="0.25">
      <c r="BT382" s="255">
        <v>45230</v>
      </c>
      <c r="BU382" t="s">
        <v>833</v>
      </c>
      <c r="BV382" t="s">
        <v>834</v>
      </c>
      <c r="BW382" s="5">
        <v>48729200.020000033</v>
      </c>
      <c r="BX382" s="1092">
        <v>0</v>
      </c>
    </row>
    <row r="383" spans="72:76" x14ac:dyDescent="0.25">
      <c r="BT383" s="255">
        <v>45230</v>
      </c>
      <c r="BU383" t="s">
        <v>835</v>
      </c>
      <c r="BV383" t="s">
        <v>836</v>
      </c>
      <c r="BW383" s="5">
        <v>59547267.899999969</v>
      </c>
      <c r="BX383" s="1092">
        <v>0</v>
      </c>
    </row>
    <row r="384" spans="72:76" x14ac:dyDescent="0.25">
      <c r="BT384" s="255">
        <v>45230</v>
      </c>
      <c r="BU384" t="s">
        <v>837</v>
      </c>
      <c r="BV384" t="s">
        <v>838</v>
      </c>
      <c r="BW384" s="5">
        <v>54484768.190000013</v>
      </c>
      <c r="BX384" s="1092">
        <v>0</v>
      </c>
    </row>
    <row r="385" spans="72:76" x14ac:dyDescent="0.25">
      <c r="BT385" s="255">
        <v>45230</v>
      </c>
      <c r="BU385" t="s">
        <v>839</v>
      </c>
      <c r="BV385" t="s">
        <v>840</v>
      </c>
      <c r="BW385" s="5">
        <v>48010966.370000005</v>
      </c>
      <c r="BX385" s="1092">
        <v>0</v>
      </c>
    </row>
    <row r="386" spans="72:76" x14ac:dyDescent="0.25">
      <c r="BT386" s="255">
        <v>45230</v>
      </c>
      <c r="BU386" t="s">
        <v>841</v>
      </c>
      <c r="BV386" t="s">
        <v>842</v>
      </c>
      <c r="BW386" s="5">
        <v>46473663.399999991</v>
      </c>
      <c r="BX386" s="1092">
        <v>0</v>
      </c>
    </row>
    <row r="387" spans="72:76" x14ac:dyDescent="0.25">
      <c r="BT387" s="255">
        <v>45230</v>
      </c>
      <c r="BU387" t="s">
        <v>843</v>
      </c>
      <c r="BV387" t="s">
        <v>844</v>
      </c>
      <c r="BW387" s="5">
        <v>36658791.020000018</v>
      </c>
      <c r="BX387" s="1092">
        <v>0</v>
      </c>
    </row>
    <row r="388" spans="72:76" x14ac:dyDescent="0.25">
      <c r="BT388" s="255">
        <v>45230</v>
      </c>
      <c r="BU388" t="s">
        <v>845</v>
      </c>
      <c r="BV388" t="s">
        <v>1344</v>
      </c>
      <c r="BW388" s="5">
        <v>73423062.399999976</v>
      </c>
      <c r="BX388" s="1092">
        <v>0</v>
      </c>
    </row>
    <row r="389" spans="72:76" x14ac:dyDescent="0.25">
      <c r="BT389" s="255">
        <v>45230</v>
      </c>
      <c r="BU389" t="s">
        <v>847</v>
      </c>
      <c r="BV389" t="s">
        <v>846</v>
      </c>
      <c r="BW389" s="5">
        <v>46936853.479999989</v>
      </c>
      <c r="BX389" s="1092">
        <v>0</v>
      </c>
    </row>
    <row r="390" spans="72:76" x14ac:dyDescent="0.25">
      <c r="BT390" s="255">
        <v>45230</v>
      </c>
      <c r="BU390" t="s">
        <v>849</v>
      </c>
      <c r="BV390" t="s">
        <v>848</v>
      </c>
      <c r="BW390" s="5">
        <v>34502306.819999993</v>
      </c>
      <c r="BX390" s="1092">
        <v>0</v>
      </c>
    </row>
    <row r="391" spans="72:76" x14ac:dyDescent="0.25">
      <c r="BT391" s="255">
        <v>45230</v>
      </c>
      <c r="BU391" t="s">
        <v>851</v>
      </c>
      <c r="BV391" t="s">
        <v>850</v>
      </c>
      <c r="BW391" s="5">
        <v>33158022.299999997</v>
      </c>
      <c r="BX391" s="1092">
        <v>0</v>
      </c>
    </row>
    <row r="392" spans="72:76" x14ac:dyDescent="0.25">
      <c r="BT392" s="255">
        <v>45230</v>
      </c>
      <c r="BU392" t="s">
        <v>853</v>
      </c>
      <c r="BV392" t="s">
        <v>852</v>
      </c>
      <c r="BW392" s="5">
        <v>46308354.020000003</v>
      </c>
      <c r="BX392" s="1092">
        <v>0</v>
      </c>
    </row>
    <row r="393" spans="72:76" x14ac:dyDescent="0.25">
      <c r="BT393" s="255">
        <v>45230</v>
      </c>
      <c r="BU393" t="s">
        <v>855</v>
      </c>
      <c r="BV393" t="s">
        <v>854</v>
      </c>
      <c r="BW393" s="5">
        <v>98963089.840000033</v>
      </c>
      <c r="BX393" s="1092">
        <v>1</v>
      </c>
    </row>
    <row r="394" spans="72:76" x14ac:dyDescent="0.25">
      <c r="BT394" s="255">
        <v>45230</v>
      </c>
      <c r="BU394" t="s">
        <v>1345</v>
      </c>
      <c r="BV394" t="s">
        <v>1450</v>
      </c>
      <c r="BW394" s="5">
        <v>43240684.489999995</v>
      </c>
      <c r="BX394" s="1092">
        <v>0</v>
      </c>
    </row>
    <row r="395" spans="72:76" x14ac:dyDescent="0.25">
      <c r="BT395" s="255">
        <v>45230</v>
      </c>
      <c r="BU395" t="s">
        <v>857</v>
      </c>
      <c r="BV395" t="s">
        <v>368</v>
      </c>
      <c r="BW395" s="5">
        <v>139796.64000000001</v>
      </c>
      <c r="BX395" s="1092"/>
    </row>
    <row r="396" spans="72:76" x14ac:dyDescent="0.25">
      <c r="BT396" s="255">
        <v>45230</v>
      </c>
      <c r="BU396" t="s">
        <v>858</v>
      </c>
      <c r="BV396" t="s">
        <v>370</v>
      </c>
      <c r="BW396" s="5">
        <v>0</v>
      </c>
      <c r="BX396" s="1092"/>
    </row>
    <row r="397" spans="72:76" x14ac:dyDescent="0.25">
      <c r="BT397" s="255">
        <v>45230</v>
      </c>
      <c r="BU397" t="s">
        <v>859</v>
      </c>
      <c r="BV397" t="s">
        <v>372</v>
      </c>
      <c r="BW397" s="5">
        <v>1611.5889420327521</v>
      </c>
      <c r="BX397" s="1092"/>
    </row>
    <row r="398" spans="72:76" x14ac:dyDescent="0.25">
      <c r="BT398" s="255">
        <v>45230</v>
      </c>
      <c r="BU398" t="s">
        <v>861</v>
      </c>
      <c r="BV398" t="s">
        <v>862</v>
      </c>
      <c r="BX398" s="1092"/>
    </row>
    <row r="399" spans="72:76" x14ac:dyDescent="0.25">
      <c r="BT399" s="255">
        <v>45230</v>
      </c>
      <c r="BU399" t="s">
        <v>863</v>
      </c>
      <c r="BV399" t="s">
        <v>864</v>
      </c>
      <c r="BX399" s="1092"/>
    </row>
    <row r="400" spans="72:76" x14ac:dyDescent="0.25">
      <c r="BT400" s="255">
        <v>45230</v>
      </c>
      <c r="BU400" t="s">
        <v>865</v>
      </c>
      <c r="BV400" t="s">
        <v>866</v>
      </c>
      <c r="BX400" s="1092"/>
    </row>
    <row r="401" spans="72:76" x14ac:dyDescent="0.25">
      <c r="BT401" s="255">
        <v>45230</v>
      </c>
      <c r="BU401" t="s">
        <v>867</v>
      </c>
      <c r="BV401" t="s">
        <v>868</v>
      </c>
      <c r="BX401" s="1092"/>
    </row>
    <row r="402" spans="72:76" x14ac:dyDescent="0.25">
      <c r="BT402" s="255">
        <v>45230</v>
      </c>
      <c r="BU402" t="s">
        <v>869</v>
      </c>
      <c r="BV402" t="s">
        <v>870</v>
      </c>
      <c r="BX402" s="1092"/>
    </row>
    <row r="403" spans="72:76" x14ac:dyDescent="0.25">
      <c r="BT403" s="255">
        <v>45230</v>
      </c>
      <c r="BU403" t="s">
        <v>871</v>
      </c>
      <c r="BV403" t="s">
        <v>872</v>
      </c>
      <c r="BX403" s="1092"/>
    </row>
    <row r="404" spans="72:76" x14ac:dyDescent="0.25">
      <c r="BT404" s="255">
        <v>45230</v>
      </c>
      <c r="BU404" t="s">
        <v>873</v>
      </c>
      <c r="BV404" t="s">
        <v>874</v>
      </c>
      <c r="BX404" s="1092"/>
    </row>
    <row r="405" spans="72:76" x14ac:dyDescent="0.25">
      <c r="BT405" s="255">
        <v>45230</v>
      </c>
      <c r="BU405" t="s">
        <v>875</v>
      </c>
      <c r="BV405" t="s">
        <v>876</v>
      </c>
      <c r="BX405" s="1092"/>
    </row>
    <row r="406" spans="72:76" x14ac:dyDescent="0.25">
      <c r="BT406" s="255">
        <v>45230</v>
      </c>
      <c r="BU406" t="s">
        <v>877</v>
      </c>
      <c r="BV406" t="s">
        <v>878</v>
      </c>
      <c r="BX406" s="1092"/>
    </row>
    <row r="407" spans="72:76" x14ac:dyDescent="0.25">
      <c r="BT407" s="255">
        <v>45230</v>
      </c>
      <c r="BU407" t="s">
        <v>879</v>
      </c>
      <c r="BV407" t="s">
        <v>880</v>
      </c>
      <c r="BX407" s="1092"/>
    </row>
    <row r="408" spans="72:76" x14ac:dyDescent="0.25">
      <c r="BT408" s="255">
        <v>45230</v>
      </c>
      <c r="BU408" t="s">
        <v>881</v>
      </c>
      <c r="BV408" t="s">
        <v>882</v>
      </c>
      <c r="BX408" s="1092"/>
    </row>
    <row r="409" spans="72:76" x14ac:dyDescent="0.25">
      <c r="BT409" s="255">
        <v>45230</v>
      </c>
      <c r="BU409" t="s">
        <v>883</v>
      </c>
      <c r="BV409" t="s">
        <v>884</v>
      </c>
      <c r="BX409" s="1092"/>
    </row>
    <row r="410" spans="72:76" x14ac:dyDescent="0.25">
      <c r="BT410" s="255">
        <v>45230</v>
      </c>
      <c r="BU410" t="s">
        <v>885</v>
      </c>
      <c r="BV410" t="s">
        <v>534</v>
      </c>
      <c r="BX410" s="1092"/>
    </row>
    <row r="411" spans="72:76" x14ac:dyDescent="0.25">
      <c r="BT411" s="255">
        <v>45230</v>
      </c>
      <c r="BU411" t="s">
        <v>886</v>
      </c>
      <c r="BV411" t="s">
        <v>368</v>
      </c>
      <c r="BX411" s="1092"/>
    </row>
    <row r="412" spans="72:76" x14ac:dyDescent="0.25">
      <c r="BT412" s="255">
        <v>45230</v>
      </c>
      <c r="BU412" t="s">
        <v>887</v>
      </c>
      <c r="BV412" t="s">
        <v>370</v>
      </c>
      <c r="BX412" s="1092"/>
    </row>
    <row r="413" spans="72:76" x14ac:dyDescent="0.25">
      <c r="BT413" s="255">
        <v>45230</v>
      </c>
      <c r="BU413" t="s">
        <v>888</v>
      </c>
      <c r="BV413" t="s">
        <v>372</v>
      </c>
      <c r="BX413" s="1092"/>
    </row>
    <row r="414" spans="72:76" x14ac:dyDescent="0.25">
      <c r="BT414" s="255">
        <v>45230</v>
      </c>
      <c r="BU414" t="s">
        <v>890</v>
      </c>
      <c r="BV414" t="s">
        <v>11</v>
      </c>
      <c r="BW414" s="5">
        <v>34730984.329999991</v>
      </c>
      <c r="BX414" s="1092">
        <v>0</v>
      </c>
    </row>
    <row r="415" spans="72:76" x14ac:dyDescent="0.25">
      <c r="BT415" s="255">
        <v>45230</v>
      </c>
      <c r="BU415" t="s">
        <v>892</v>
      </c>
      <c r="BV415" t="s">
        <v>12</v>
      </c>
      <c r="BW415" s="5">
        <v>78772350.699999958</v>
      </c>
      <c r="BX415" s="1092">
        <v>0</v>
      </c>
    </row>
    <row r="416" spans="72:76" x14ac:dyDescent="0.25">
      <c r="BT416" s="255">
        <v>45230</v>
      </c>
      <c r="BU416" t="s">
        <v>894</v>
      </c>
      <c r="BV416" t="s">
        <v>10</v>
      </c>
      <c r="BW416" s="5">
        <v>519800705.86000019</v>
      </c>
      <c r="BX416" s="1092">
        <v>1</v>
      </c>
    </row>
    <row r="417" spans="72:76" x14ac:dyDescent="0.25">
      <c r="BT417" s="255">
        <v>45230</v>
      </c>
      <c r="BU417" t="s">
        <v>896</v>
      </c>
      <c r="BV417" t="s">
        <v>13</v>
      </c>
      <c r="BW417" s="5">
        <v>117780973.48000005</v>
      </c>
      <c r="BX417" s="1092">
        <v>0</v>
      </c>
    </row>
    <row r="418" spans="72:76" x14ac:dyDescent="0.25">
      <c r="BT418" s="255">
        <v>45230</v>
      </c>
      <c r="BU418" t="s">
        <v>1451</v>
      </c>
      <c r="BV418" t="s">
        <v>368</v>
      </c>
      <c r="BX418" s="1092"/>
    </row>
    <row r="419" spans="72:76" x14ac:dyDescent="0.25">
      <c r="BT419" s="255">
        <v>45230</v>
      </c>
      <c r="BU419" t="s">
        <v>1452</v>
      </c>
      <c r="BV419" t="s">
        <v>370</v>
      </c>
      <c r="BX419" s="1092"/>
    </row>
    <row r="420" spans="72:76" x14ac:dyDescent="0.25">
      <c r="BT420" s="255">
        <v>45230</v>
      </c>
      <c r="BU420" t="s">
        <v>1453</v>
      </c>
      <c r="BV420" t="s">
        <v>372</v>
      </c>
      <c r="BX420" s="1092"/>
    </row>
    <row r="421" spans="72:76" x14ac:dyDescent="0.25">
      <c r="BT421" s="255">
        <v>45230</v>
      </c>
      <c r="BU421" t="s">
        <v>898</v>
      </c>
      <c r="BV421" t="s">
        <v>1454</v>
      </c>
      <c r="BW421" s="5">
        <v>461770277.6600005</v>
      </c>
      <c r="BX421" s="1092">
        <v>1</v>
      </c>
    </row>
    <row r="422" spans="72:76" x14ac:dyDescent="0.25">
      <c r="BT422" s="255">
        <v>45230</v>
      </c>
      <c r="BU422" t="s">
        <v>900</v>
      </c>
      <c r="BV422" t="s">
        <v>1455</v>
      </c>
      <c r="BW422" s="5">
        <v>35282763.470000014</v>
      </c>
      <c r="BX422" s="1092">
        <v>0</v>
      </c>
    </row>
    <row r="423" spans="72:76" x14ac:dyDescent="0.25">
      <c r="BT423" s="255">
        <v>45230</v>
      </c>
      <c r="BU423" t="s">
        <v>902</v>
      </c>
      <c r="BV423" t="s">
        <v>1456</v>
      </c>
      <c r="BW423" s="5">
        <v>8407889.0999999996</v>
      </c>
      <c r="BX423" s="1092">
        <v>0</v>
      </c>
    </row>
    <row r="424" spans="72:76" x14ac:dyDescent="0.25">
      <c r="BT424" s="255">
        <v>45230</v>
      </c>
      <c r="BU424" t="s">
        <v>904</v>
      </c>
      <c r="BV424" t="s">
        <v>1457</v>
      </c>
      <c r="BW424" s="5">
        <v>0</v>
      </c>
      <c r="BX424" s="1092">
        <v>0</v>
      </c>
    </row>
    <row r="425" spans="72:76" x14ac:dyDescent="0.25">
      <c r="BT425" s="255">
        <v>45230</v>
      </c>
      <c r="BU425" t="s">
        <v>906</v>
      </c>
      <c r="BV425" t="s">
        <v>1458</v>
      </c>
      <c r="BW425" s="5">
        <v>28584944.25999999</v>
      </c>
      <c r="BX425" s="1092">
        <v>0</v>
      </c>
    </row>
    <row r="426" spans="72:76" x14ac:dyDescent="0.25">
      <c r="BT426" s="255">
        <v>45230</v>
      </c>
      <c r="BU426" t="s">
        <v>908</v>
      </c>
      <c r="BV426" t="s">
        <v>1459</v>
      </c>
      <c r="BW426" s="5">
        <v>2476266.09</v>
      </c>
      <c r="BX426" s="1092">
        <v>0</v>
      </c>
    </row>
    <row r="427" spans="72:76" x14ac:dyDescent="0.25">
      <c r="BT427" s="255">
        <v>45230</v>
      </c>
      <c r="BU427" t="s">
        <v>910</v>
      </c>
      <c r="BV427" t="s">
        <v>1460</v>
      </c>
      <c r="BW427" s="5">
        <v>0</v>
      </c>
      <c r="BX427" s="1092">
        <v>0</v>
      </c>
    </row>
    <row r="428" spans="72:76" x14ac:dyDescent="0.25">
      <c r="BT428" s="255">
        <v>45230</v>
      </c>
      <c r="BU428" t="s">
        <v>912</v>
      </c>
      <c r="BV428" t="s">
        <v>1461</v>
      </c>
      <c r="BW428" s="5">
        <v>0</v>
      </c>
      <c r="BX428" s="1092">
        <v>0</v>
      </c>
    </row>
    <row r="429" spans="72:76" x14ac:dyDescent="0.25">
      <c r="BT429" s="255">
        <v>45230</v>
      </c>
      <c r="BU429" t="s">
        <v>914</v>
      </c>
      <c r="BV429" t="s">
        <v>1462</v>
      </c>
      <c r="BW429" s="5">
        <v>0</v>
      </c>
      <c r="BX429" s="1092">
        <v>0</v>
      </c>
    </row>
    <row r="430" spans="72:76" x14ac:dyDescent="0.25">
      <c r="BT430" s="255">
        <v>45230</v>
      </c>
      <c r="BU430" t="s">
        <v>916</v>
      </c>
      <c r="BV430" t="s">
        <v>1463</v>
      </c>
      <c r="BW430" s="5">
        <v>207376743.93000019</v>
      </c>
      <c r="BX430" s="1092">
        <v>0</v>
      </c>
    </row>
    <row r="431" spans="72:76" x14ac:dyDescent="0.25">
      <c r="BT431" s="255">
        <v>45230</v>
      </c>
      <c r="BU431" t="s">
        <v>918</v>
      </c>
      <c r="BV431" t="s">
        <v>1464</v>
      </c>
      <c r="BW431" s="5">
        <v>0</v>
      </c>
      <c r="BX431" s="1092">
        <v>0</v>
      </c>
    </row>
    <row r="432" spans="72:76" x14ac:dyDescent="0.25">
      <c r="BT432" s="255">
        <v>45230</v>
      </c>
      <c r="BU432" t="s">
        <v>920</v>
      </c>
      <c r="BV432" t="s">
        <v>1465</v>
      </c>
      <c r="BW432" s="5">
        <v>0</v>
      </c>
      <c r="BX432" s="1092">
        <v>0</v>
      </c>
    </row>
    <row r="433" spans="72:76" x14ac:dyDescent="0.25">
      <c r="BT433" s="255">
        <v>45230</v>
      </c>
      <c r="BU433" t="s">
        <v>922</v>
      </c>
      <c r="BV433" t="s">
        <v>1413</v>
      </c>
      <c r="BW433" s="5">
        <v>7186129.8599999994</v>
      </c>
      <c r="BX433" s="1092">
        <v>0</v>
      </c>
    </row>
    <row r="434" spans="72:76" x14ac:dyDescent="0.25">
      <c r="BT434" s="255">
        <v>45230</v>
      </c>
      <c r="BU434" t="s">
        <v>1466</v>
      </c>
      <c r="BV434" t="s">
        <v>368</v>
      </c>
      <c r="BX434" s="1092"/>
    </row>
    <row r="435" spans="72:76" x14ac:dyDescent="0.25">
      <c r="BT435" s="255">
        <v>45230</v>
      </c>
      <c r="BU435" t="s">
        <v>1467</v>
      </c>
      <c r="BV435" t="s">
        <v>370</v>
      </c>
      <c r="BX435" s="1092"/>
    </row>
    <row r="436" spans="72:76" x14ac:dyDescent="0.25">
      <c r="BT436" s="255">
        <v>45230</v>
      </c>
      <c r="BU436" t="s">
        <v>1468</v>
      </c>
      <c r="BV436" t="s">
        <v>372</v>
      </c>
      <c r="BX436" s="1092"/>
    </row>
    <row r="437" spans="72:76" x14ac:dyDescent="0.25">
      <c r="BT437" s="255">
        <v>45230</v>
      </c>
      <c r="BU437" t="s">
        <v>924</v>
      </c>
      <c r="BV437" t="s">
        <v>925</v>
      </c>
      <c r="BX437" s="1092"/>
    </row>
    <row r="438" spans="72:76" x14ac:dyDescent="0.25">
      <c r="BT438" s="255">
        <v>45230</v>
      </c>
      <c r="BU438" t="s">
        <v>926</v>
      </c>
      <c r="BV438" t="s">
        <v>927</v>
      </c>
      <c r="BX438" s="1092"/>
    </row>
    <row r="439" spans="72:76" x14ac:dyDescent="0.25">
      <c r="BT439" s="255">
        <v>45230</v>
      </c>
      <c r="BU439" t="s">
        <v>928</v>
      </c>
      <c r="BV439" t="s">
        <v>929</v>
      </c>
      <c r="BX439" s="1092"/>
    </row>
    <row r="440" spans="72:76" x14ac:dyDescent="0.25">
      <c r="BT440" s="255">
        <v>45230</v>
      </c>
      <c r="BU440" t="s">
        <v>930</v>
      </c>
      <c r="BV440" t="s">
        <v>931</v>
      </c>
      <c r="BX440" s="1092"/>
    </row>
    <row r="441" spans="72:76" x14ac:dyDescent="0.25">
      <c r="BT441" s="255">
        <v>45230</v>
      </c>
      <c r="BU441" t="s">
        <v>932</v>
      </c>
      <c r="BV441" t="s">
        <v>933</v>
      </c>
      <c r="BX441" s="1092"/>
    </row>
    <row r="442" spans="72:76" x14ac:dyDescent="0.25">
      <c r="BT442" s="255">
        <v>45230</v>
      </c>
      <c r="BU442" t="s">
        <v>934</v>
      </c>
      <c r="BV442" t="s">
        <v>935</v>
      </c>
      <c r="BX442" s="1092"/>
    </row>
    <row r="443" spans="72:76" x14ac:dyDescent="0.25">
      <c r="BT443" s="255">
        <v>45230</v>
      </c>
      <c r="BU443" t="s">
        <v>936</v>
      </c>
      <c r="BV443" t="s">
        <v>937</v>
      </c>
      <c r="BX443" s="1092"/>
    </row>
    <row r="444" spans="72:76" x14ac:dyDescent="0.25">
      <c r="BT444" s="255">
        <v>45230</v>
      </c>
      <c r="BU444" t="s">
        <v>938</v>
      </c>
      <c r="BV444" t="s">
        <v>939</v>
      </c>
      <c r="BX444" s="1092"/>
    </row>
    <row r="445" spans="72:76" x14ac:dyDescent="0.25">
      <c r="BT445" s="255">
        <v>45230</v>
      </c>
      <c r="BU445" t="s">
        <v>940</v>
      </c>
      <c r="BV445" t="s">
        <v>941</v>
      </c>
      <c r="BX445" s="1092"/>
    </row>
    <row r="446" spans="72:76" x14ac:dyDescent="0.25">
      <c r="BT446" s="255">
        <v>45230</v>
      </c>
      <c r="BU446" t="s">
        <v>942</v>
      </c>
      <c r="BV446" t="s">
        <v>943</v>
      </c>
      <c r="BX446" s="1092"/>
    </row>
    <row r="447" spans="72:76" x14ac:dyDescent="0.25">
      <c r="BT447" s="255">
        <v>45230</v>
      </c>
      <c r="BU447" t="s">
        <v>944</v>
      </c>
      <c r="BV447" t="s">
        <v>945</v>
      </c>
      <c r="BX447" s="1092"/>
    </row>
    <row r="448" spans="72:76" x14ac:dyDescent="0.25">
      <c r="BT448" s="255">
        <v>45230</v>
      </c>
      <c r="BU448" t="s">
        <v>946</v>
      </c>
      <c r="BV448" t="s">
        <v>947</v>
      </c>
      <c r="BX448" s="1092"/>
    </row>
    <row r="449" spans="72:76" x14ac:dyDescent="0.25">
      <c r="BT449" s="255">
        <v>45230</v>
      </c>
      <c r="BU449" t="s">
        <v>948</v>
      </c>
      <c r="BV449" t="s">
        <v>949</v>
      </c>
      <c r="BX449" s="1092"/>
    </row>
    <row r="450" spans="72:76" x14ac:dyDescent="0.25">
      <c r="BT450" s="255">
        <v>45230</v>
      </c>
      <c r="BU450" t="s">
        <v>950</v>
      </c>
      <c r="BV450" t="s">
        <v>951</v>
      </c>
      <c r="BX450" s="1092"/>
    </row>
    <row r="451" spans="72:76" x14ac:dyDescent="0.25">
      <c r="BT451" s="255">
        <v>45230</v>
      </c>
      <c r="BU451" t="s">
        <v>952</v>
      </c>
      <c r="BV451" t="s">
        <v>953</v>
      </c>
      <c r="BX451" s="1092"/>
    </row>
    <row r="452" spans="72:76" x14ac:dyDescent="0.25">
      <c r="BT452" s="255">
        <v>45230</v>
      </c>
      <c r="BU452" t="s">
        <v>954</v>
      </c>
      <c r="BV452" t="s">
        <v>955</v>
      </c>
      <c r="BX452" s="1092"/>
    </row>
    <row r="453" spans="72:76" x14ac:dyDescent="0.25">
      <c r="BT453" s="255">
        <v>45230</v>
      </c>
      <c r="BU453" t="s">
        <v>956</v>
      </c>
      <c r="BV453" t="s">
        <v>957</v>
      </c>
      <c r="BX453" s="1092"/>
    </row>
    <row r="454" spans="72:76" x14ac:dyDescent="0.25">
      <c r="BT454" s="255">
        <v>45230</v>
      </c>
      <c r="BU454" t="s">
        <v>958</v>
      </c>
      <c r="BV454" t="s">
        <v>959</v>
      </c>
      <c r="BX454" s="1092"/>
    </row>
    <row r="455" spans="72:76" x14ac:dyDescent="0.25">
      <c r="BT455" s="255">
        <v>45230</v>
      </c>
      <c r="BU455" t="s">
        <v>960</v>
      </c>
      <c r="BV455" t="s">
        <v>961</v>
      </c>
      <c r="BX455" s="1092"/>
    </row>
    <row r="456" spans="72:76" x14ac:dyDescent="0.25">
      <c r="BT456" s="255">
        <v>45230</v>
      </c>
      <c r="BU456" t="s">
        <v>962</v>
      </c>
      <c r="BV456" t="s">
        <v>963</v>
      </c>
      <c r="BX456" s="1092"/>
    </row>
    <row r="457" spans="72:76" x14ac:dyDescent="0.25">
      <c r="BT457" s="255">
        <v>45230</v>
      </c>
      <c r="BU457" t="s">
        <v>1469</v>
      </c>
      <c r="BV457" t="s">
        <v>368</v>
      </c>
      <c r="BX457" s="1092"/>
    </row>
    <row r="458" spans="72:76" x14ac:dyDescent="0.25">
      <c r="BT458" s="255">
        <v>45230</v>
      </c>
      <c r="BU458" t="s">
        <v>1470</v>
      </c>
      <c r="BV458" t="s">
        <v>370</v>
      </c>
      <c r="BX458" s="1092"/>
    </row>
    <row r="459" spans="72:76" x14ac:dyDescent="0.25">
      <c r="BT459" s="255">
        <v>45230</v>
      </c>
      <c r="BU459" t="s">
        <v>1471</v>
      </c>
      <c r="BV459" t="s">
        <v>372</v>
      </c>
      <c r="BX459" s="1092"/>
    </row>
    <row r="460" spans="72:76" x14ac:dyDescent="0.25">
      <c r="BT460" s="255">
        <v>45230</v>
      </c>
      <c r="BU460" t="s">
        <v>965</v>
      </c>
      <c r="BV460" t="s">
        <v>1472</v>
      </c>
      <c r="BW460" s="5">
        <v>467754818.19000041</v>
      </c>
      <c r="BX460" s="1092">
        <v>1</v>
      </c>
    </row>
    <row r="461" spans="72:76" x14ac:dyDescent="0.25">
      <c r="BT461" s="255">
        <v>45230</v>
      </c>
      <c r="BU461" t="s">
        <v>967</v>
      </c>
      <c r="BV461" t="s">
        <v>1473</v>
      </c>
      <c r="BW461" s="5">
        <v>0</v>
      </c>
      <c r="BX461" s="1092">
        <v>0</v>
      </c>
    </row>
    <row r="462" spans="72:76" x14ac:dyDescent="0.25">
      <c r="BT462" s="255">
        <v>45230</v>
      </c>
      <c r="BU462" t="s">
        <v>969</v>
      </c>
      <c r="BV462" t="s">
        <v>1474</v>
      </c>
      <c r="BW462" s="5">
        <v>209523992.91000018</v>
      </c>
      <c r="BX462" s="1092">
        <v>0</v>
      </c>
    </row>
    <row r="463" spans="72:76" x14ac:dyDescent="0.25">
      <c r="BT463" s="255">
        <v>45230</v>
      </c>
      <c r="BU463" t="s">
        <v>971</v>
      </c>
      <c r="BV463" t="s">
        <v>1475</v>
      </c>
      <c r="BW463" s="5">
        <v>73806203.270000026</v>
      </c>
      <c r="BX463" s="1092">
        <v>0</v>
      </c>
    </row>
    <row r="464" spans="72:76" x14ac:dyDescent="0.25">
      <c r="BT464" s="255">
        <v>45230</v>
      </c>
      <c r="BU464" t="s">
        <v>973</v>
      </c>
      <c r="BV464" t="s">
        <v>1413</v>
      </c>
      <c r="BW464" s="5">
        <v>0</v>
      </c>
      <c r="BX464" s="1092">
        <v>0</v>
      </c>
    </row>
    <row r="465" spans="72:76" x14ac:dyDescent="0.25">
      <c r="BT465" s="255">
        <v>45230</v>
      </c>
      <c r="BU465" t="s">
        <v>1476</v>
      </c>
      <c r="BV465" t="s">
        <v>368</v>
      </c>
      <c r="BX465" s="1092"/>
    </row>
    <row r="466" spans="72:76" x14ac:dyDescent="0.25">
      <c r="BT466" s="255">
        <v>45230</v>
      </c>
      <c r="BU466" t="s">
        <v>1477</v>
      </c>
      <c r="BV466" t="s">
        <v>370</v>
      </c>
      <c r="BX466" s="1092"/>
    </row>
    <row r="467" spans="72:76" x14ac:dyDescent="0.25">
      <c r="BT467" s="255">
        <v>45230</v>
      </c>
      <c r="BU467" t="s">
        <v>1478</v>
      </c>
      <c r="BV467" t="s">
        <v>372</v>
      </c>
      <c r="BX467" s="1092"/>
    </row>
    <row r="468" spans="72:76" x14ac:dyDescent="0.25">
      <c r="BT468" s="255">
        <v>45230</v>
      </c>
      <c r="BU468" t="s">
        <v>975</v>
      </c>
      <c r="BV468" t="s">
        <v>404</v>
      </c>
      <c r="BW468" s="5">
        <v>0</v>
      </c>
      <c r="BX468" s="1092">
        <v>0</v>
      </c>
    </row>
    <row r="469" spans="72:76" x14ac:dyDescent="0.25">
      <c r="BT469" s="255">
        <v>45230</v>
      </c>
      <c r="BU469" t="s">
        <v>976</v>
      </c>
      <c r="BV469" t="s">
        <v>406</v>
      </c>
      <c r="BW469" s="5">
        <v>0</v>
      </c>
      <c r="BX469" s="1092">
        <v>0</v>
      </c>
    </row>
    <row r="470" spans="72:76" x14ac:dyDescent="0.25">
      <c r="BT470" s="255">
        <v>45230</v>
      </c>
      <c r="BU470" t="s">
        <v>977</v>
      </c>
      <c r="BV470" t="s">
        <v>408</v>
      </c>
      <c r="BW470" s="5">
        <v>0</v>
      </c>
      <c r="BX470" s="1092">
        <v>0</v>
      </c>
    </row>
    <row r="471" spans="72:76" x14ac:dyDescent="0.25">
      <c r="BT471" s="255">
        <v>45230</v>
      </c>
      <c r="BU471" t="s">
        <v>978</v>
      </c>
      <c r="BV471" t="s">
        <v>410</v>
      </c>
      <c r="BW471" s="5">
        <v>0</v>
      </c>
      <c r="BX471" s="1092">
        <v>0</v>
      </c>
    </row>
    <row r="472" spans="72:76" x14ac:dyDescent="0.25">
      <c r="BT472" s="255">
        <v>45230</v>
      </c>
      <c r="BU472" t="s">
        <v>979</v>
      </c>
      <c r="BV472" t="s">
        <v>412</v>
      </c>
      <c r="BW472" s="5">
        <v>0</v>
      </c>
      <c r="BX472" s="1092">
        <v>0</v>
      </c>
    </row>
    <row r="473" spans="72:76" x14ac:dyDescent="0.25">
      <c r="BT473" s="255">
        <v>45230</v>
      </c>
      <c r="BU473" t="s">
        <v>980</v>
      </c>
      <c r="BV473" t="s">
        <v>414</v>
      </c>
      <c r="BW473" s="5">
        <v>0</v>
      </c>
      <c r="BX473" s="1092">
        <v>0</v>
      </c>
    </row>
    <row r="474" spans="72:76" x14ac:dyDescent="0.25">
      <c r="BT474" s="255">
        <v>45230</v>
      </c>
      <c r="BU474" t="s">
        <v>981</v>
      </c>
      <c r="BV474" t="s">
        <v>416</v>
      </c>
      <c r="BW474" s="5">
        <v>7265.1900000000005</v>
      </c>
      <c r="BX474" s="1092">
        <v>0</v>
      </c>
    </row>
    <row r="475" spans="72:76" x14ac:dyDescent="0.25">
      <c r="BT475" s="255">
        <v>45230</v>
      </c>
      <c r="BU475" t="s">
        <v>982</v>
      </c>
      <c r="BV475" t="s">
        <v>418</v>
      </c>
      <c r="BW475" s="5">
        <v>57192.81</v>
      </c>
      <c r="BX475" s="1092">
        <v>0</v>
      </c>
    </row>
    <row r="476" spans="72:76" x14ac:dyDescent="0.25">
      <c r="BT476" s="255">
        <v>45230</v>
      </c>
      <c r="BU476" t="s">
        <v>983</v>
      </c>
      <c r="BV476" t="s">
        <v>420</v>
      </c>
      <c r="BW476" s="5">
        <v>568375.04000000004</v>
      </c>
      <c r="BX476" s="1092">
        <v>0</v>
      </c>
    </row>
    <row r="477" spans="72:76" x14ac:dyDescent="0.25">
      <c r="BT477" s="255">
        <v>45230</v>
      </c>
      <c r="BU477" t="s">
        <v>984</v>
      </c>
      <c r="BV477" t="s">
        <v>422</v>
      </c>
      <c r="BW477" s="5">
        <v>58880.08</v>
      </c>
      <c r="BX477" s="1092">
        <v>0</v>
      </c>
    </row>
    <row r="478" spans="72:76" x14ac:dyDescent="0.25">
      <c r="BT478" s="255">
        <v>45230</v>
      </c>
      <c r="BU478" t="s">
        <v>985</v>
      </c>
      <c r="BV478" t="s">
        <v>424</v>
      </c>
      <c r="BW478" s="5">
        <v>385106.62</v>
      </c>
      <c r="BX478" s="1092">
        <v>0</v>
      </c>
    </row>
    <row r="479" spans="72:76" x14ac:dyDescent="0.25">
      <c r="BT479" s="255">
        <v>45230</v>
      </c>
      <c r="BU479" t="s">
        <v>986</v>
      </c>
      <c r="BV479" t="s">
        <v>426</v>
      </c>
      <c r="BW479" s="5">
        <v>104068.87</v>
      </c>
      <c r="BX479" s="1092">
        <v>0</v>
      </c>
    </row>
    <row r="480" spans="72:76" x14ac:dyDescent="0.25">
      <c r="BT480" s="255">
        <v>45230</v>
      </c>
      <c r="BU480" t="s">
        <v>987</v>
      </c>
      <c r="BV480" t="s">
        <v>428</v>
      </c>
      <c r="BW480" s="5">
        <v>235712.99</v>
      </c>
      <c r="BX480" s="1092">
        <v>0</v>
      </c>
    </row>
    <row r="481" spans="72:76" x14ac:dyDescent="0.25">
      <c r="BT481" s="255">
        <v>45230</v>
      </c>
      <c r="BU481" t="s">
        <v>988</v>
      </c>
      <c r="BV481" t="s">
        <v>430</v>
      </c>
      <c r="BW481" s="5">
        <v>169709.58</v>
      </c>
      <c r="BX481" s="1092">
        <v>0</v>
      </c>
    </row>
    <row r="482" spans="72:76" x14ac:dyDescent="0.25">
      <c r="BT482" s="255">
        <v>45230</v>
      </c>
      <c r="BU482" t="s">
        <v>989</v>
      </c>
      <c r="BV482" t="s">
        <v>1399</v>
      </c>
      <c r="BW482" s="5">
        <v>749498703.18999958</v>
      </c>
      <c r="BX482" s="1092">
        <v>1</v>
      </c>
    </row>
    <row r="483" spans="72:76" x14ac:dyDescent="0.25">
      <c r="BT483" s="255">
        <v>45230</v>
      </c>
      <c r="BU483" t="s">
        <v>990</v>
      </c>
      <c r="BV483" t="s">
        <v>368</v>
      </c>
      <c r="BW483" s="5">
        <v>322</v>
      </c>
    </row>
    <row r="484" spans="72:76" x14ac:dyDescent="0.25">
      <c r="BT484" s="255">
        <v>45230</v>
      </c>
      <c r="BU484" t="s">
        <v>991</v>
      </c>
      <c r="BV484" t="s">
        <v>370</v>
      </c>
      <c r="BW484" s="5">
        <v>36</v>
      </c>
    </row>
    <row r="485" spans="72:76" x14ac:dyDescent="0.25">
      <c r="BT485" s="255">
        <v>45230</v>
      </c>
      <c r="BU485" t="s">
        <v>992</v>
      </c>
      <c r="BV485" t="s">
        <v>372</v>
      </c>
      <c r="BW485" s="5">
        <v>217.03119313750975</v>
      </c>
    </row>
  </sheetData>
  <mergeCells count="62">
    <mergeCell ref="BX2:BX3"/>
    <mergeCell ref="BY2:BY3"/>
    <mergeCell ref="BZ2:BZ3"/>
    <mergeCell ref="CA2:CA3"/>
    <mergeCell ref="BR2:BR3"/>
    <mergeCell ref="BS2:BS3"/>
    <mergeCell ref="BT2:BT3"/>
    <mergeCell ref="BU2:BU3"/>
    <mergeCell ref="BV2:BV3"/>
    <mergeCell ref="BW2:BW3"/>
    <mergeCell ref="BL2:BL3"/>
    <mergeCell ref="BM2:BM3"/>
    <mergeCell ref="BN2:BN3"/>
    <mergeCell ref="BO2:BO3"/>
    <mergeCell ref="BP2:BP3"/>
    <mergeCell ref="BQ2:BQ3"/>
    <mergeCell ref="BF2:BF3"/>
    <mergeCell ref="BG2:BG3"/>
    <mergeCell ref="BH2:BH3"/>
    <mergeCell ref="BI2:BI3"/>
    <mergeCell ref="BJ2:BJ3"/>
    <mergeCell ref="BK2:BK3"/>
    <mergeCell ref="AZ2:AZ3"/>
    <mergeCell ref="BA2:BA3"/>
    <mergeCell ref="BB2:BB3"/>
    <mergeCell ref="BC2:BC3"/>
    <mergeCell ref="BD2:BD3"/>
    <mergeCell ref="BE2:BE3"/>
    <mergeCell ref="AT2:AT3"/>
    <mergeCell ref="AU2:AU3"/>
    <mergeCell ref="AV2:AV3"/>
    <mergeCell ref="AW2:AW3"/>
    <mergeCell ref="AX2:AX3"/>
    <mergeCell ref="AY2:AY3"/>
    <mergeCell ref="AB2:AD2"/>
    <mergeCell ref="AE2:AG2"/>
    <mergeCell ref="AH2:AJ2"/>
    <mergeCell ref="AK2:AM2"/>
    <mergeCell ref="AN2:AP2"/>
    <mergeCell ref="AQ2:AS2"/>
    <mergeCell ref="N2:N3"/>
    <mergeCell ref="O2:O3"/>
    <mergeCell ref="P2:R2"/>
    <mergeCell ref="S2:U2"/>
    <mergeCell ref="V2:X2"/>
    <mergeCell ref="Y2:AA2"/>
    <mergeCell ref="F2:F3"/>
    <mergeCell ref="G2:I2"/>
    <mergeCell ref="J2:J3"/>
    <mergeCell ref="K2:K3"/>
    <mergeCell ref="L2:L3"/>
    <mergeCell ref="M2:M3"/>
    <mergeCell ref="A1:O1"/>
    <mergeCell ref="P1:AS1"/>
    <mergeCell ref="AT1:BH1"/>
    <mergeCell ref="BI1:BL1"/>
    <mergeCell ref="BT1:CA1"/>
    <mergeCell ref="A2:A3"/>
    <mergeCell ref="B2:B3"/>
    <mergeCell ref="C2:C3"/>
    <mergeCell ref="D2:D3"/>
    <mergeCell ref="E2:E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showGridLines="0" view="pageBreakPreview" topLeftCell="B1" zoomScale="85" zoomScaleNormal="55" zoomScaleSheetLayoutView="85" workbookViewId="0">
      <selection activeCell="I58" sqref="I58"/>
    </sheetView>
  </sheetViews>
  <sheetFormatPr defaultColWidth="11.453125" defaultRowHeight="12.5" x14ac:dyDescent="0.25"/>
  <cols>
    <col min="1" max="1" width="3.54296875" style="32" customWidth="1"/>
    <col min="2" max="2" width="2.26953125" style="32" customWidth="1"/>
    <col min="3" max="6" width="20.26953125" style="32" customWidth="1"/>
    <col min="7" max="7" width="42.54296875" style="32" customWidth="1"/>
    <col min="8" max="9" width="20.26953125" style="32" customWidth="1"/>
    <col min="10" max="10" width="2.453125" style="32" customWidth="1"/>
    <col min="11" max="11" width="20.81640625" style="32" customWidth="1"/>
    <col min="12" max="12" width="18.1796875" style="32" bestFit="1" customWidth="1"/>
    <col min="13" max="13" width="19.81640625" style="32" customWidth="1"/>
    <col min="14" max="248" width="11.453125" style="32"/>
    <col min="249" max="249" width="2.26953125" style="32" customWidth="1"/>
    <col min="250" max="250" width="49" style="32" customWidth="1"/>
    <col min="251" max="251" width="16.81640625" style="32" customWidth="1"/>
    <col min="252" max="252" width="1.1796875" style="32" customWidth="1"/>
    <col min="253" max="253" width="20.7265625" style="32" customWidth="1"/>
    <col min="254" max="254" width="17.7265625" style="32" customWidth="1"/>
    <col min="255" max="255" width="18.1796875" style="32" customWidth="1"/>
    <col min="256" max="256" width="17.1796875" style="32" customWidth="1"/>
    <col min="257" max="257" width="22.26953125" style="32" bestFit="1" customWidth="1"/>
    <col min="258" max="258" width="22.1796875" style="32" customWidth="1"/>
    <col min="259" max="259" width="17.81640625" style="32" customWidth="1"/>
    <col min="260" max="260" width="22.453125" style="32" customWidth="1"/>
    <col min="261" max="261" width="10.1796875" style="32" bestFit="1" customWidth="1"/>
    <col min="262" max="262" width="13.453125" style="32" customWidth="1"/>
    <col min="263" max="263" width="7.26953125" style="32" bestFit="1" customWidth="1"/>
    <col min="264" max="264" width="15.453125" style="32" bestFit="1" customWidth="1"/>
    <col min="265" max="265" width="7.26953125" style="32" bestFit="1" customWidth="1"/>
    <col min="266" max="266" width="19.7265625" style="32" bestFit="1" customWidth="1"/>
    <col min="267" max="267" width="7.26953125" style="32" bestFit="1" customWidth="1"/>
    <col min="268" max="268" width="26.81640625" style="32" bestFit="1" customWidth="1"/>
    <col min="269" max="269" width="19.81640625" style="32" bestFit="1" customWidth="1"/>
    <col min="270" max="504" width="11.453125" style="32"/>
    <col min="505" max="505" width="2.26953125" style="32" customWidth="1"/>
    <col min="506" max="506" width="49" style="32" customWidth="1"/>
    <col min="507" max="507" width="16.81640625" style="32" customWidth="1"/>
    <col min="508" max="508" width="1.1796875" style="32" customWidth="1"/>
    <col min="509" max="509" width="20.7265625" style="32" customWidth="1"/>
    <col min="510" max="510" width="17.7265625" style="32" customWidth="1"/>
    <col min="511" max="511" width="18.1796875" style="32" customWidth="1"/>
    <col min="512" max="512" width="17.1796875" style="32" customWidth="1"/>
    <col min="513" max="513" width="22.26953125" style="32" bestFit="1" customWidth="1"/>
    <col min="514" max="514" width="22.1796875" style="32" customWidth="1"/>
    <col min="515" max="515" width="17.81640625" style="32" customWidth="1"/>
    <col min="516" max="516" width="22.453125" style="32" customWidth="1"/>
    <col min="517" max="517" width="10.1796875" style="32" bestFit="1" customWidth="1"/>
    <col min="518" max="518" width="13.453125" style="32" customWidth="1"/>
    <col min="519" max="519" width="7.26953125" style="32" bestFit="1" customWidth="1"/>
    <col min="520" max="520" width="15.453125" style="32" bestFit="1" customWidth="1"/>
    <col min="521" max="521" width="7.26953125" style="32" bestFit="1" customWidth="1"/>
    <col min="522" max="522" width="19.7265625" style="32" bestFit="1" customWidth="1"/>
    <col min="523" max="523" width="7.26953125" style="32" bestFit="1" customWidth="1"/>
    <col min="524" max="524" width="26.81640625" style="32" bestFit="1" customWidth="1"/>
    <col min="525" max="525" width="19.81640625" style="32" bestFit="1" customWidth="1"/>
    <col min="526" max="760" width="11.453125" style="32"/>
    <col min="761" max="761" width="2.26953125" style="32" customWidth="1"/>
    <col min="762" max="762" width="49" style="32" customWidth="1"/>
    <col min="763" max="763" width="16.81640625" style="32" customWidth="1"/>
    <col min="764" max="764" width="1.1796875" style="32" customWidth="1"/>
    <col min="765" max="765" width="20.7265625" style="32" customWidth="1"/>
    <col min="766" max="766" width="17.7265625" style="32" customWidth="1"/>
    <col min="767" max="767" width="18.1796875" style="32" customWidth="1"/>
    <col min="768" max="768" width="17.1796875" style="32" customWidth="1"/>
    <col min="769" max="769" width="22.26953125" style="32" bestFit="1" customWidth="1"/>
    <col min="770" max="770" width="22.1796875" style="32" customWidth="1"/>
    <col min="771" max="771" width="17.81640625" style="32" customWidth="1"/>
    <col min="772" max="772" width="22.453125" style="32" customWidth="1"/>
    <col min="773" max="773" width="10.1796875" style="32" bestFit="1" customWidth="1"/>
    <col min="774" max="774" width="13.453125" style="32" customWidth="1"/>
    <col min="775" max="775" width="7.26953125" style="32" bestFit="1" customWidth="1"/>
    <col min="776" max="776" width="15.453125" style="32" bestFit="1" customWidth="1"/>
    <col min="777" max="777" width="7.26953125" style="32" bestFit="1" customWidth="1"/>
    <col min="778" max="778" width="19.7265625" style="32" bestFit="1" customWidth="1"/>
    <col min="779" max="779" width="7.26953125" style="32" bestFit="1" customWidth="1"/>
    <col min="780" max="780" width="26.81640625" style="32" bestFit="1" customWidth="1"/>
    <col min="781" max="781" width="19.81640625" style="32" bestFit="1" customWidth="1"/>
    <col min="782" max="1016" width="11.453125" style="32"/>
    <col min="1017" max="1017" width="2.26953125" style="32" customWidth="1"/>
    <col min="1018" max="1018" width="49" style="32" customWidth="1"/>
    <col min="1019" max="1019" width="16.81640625" style="32" customWidth="1"/>
    <col min="1020" max="1020" width="1.1796875" style="32" customWidth="1"/>
    <col min="1021" max="1021" width="20.7265625" style="32" customWidth="1"/>
    <col min="1022" max="1022" width="17.7265625" style="32" customWidth="1"/>
    <col min="1023" max="1023" width="18.1796875" style="32" customWidth="1"/>
    <col min="1024" max="1024" width="17.1796875" style="32" customWidth="1"/>
    <col min="1025" max="1025" width="22.26953125" style="32" bestFit="1" customWidth="1"/>
    <col min="1026" max="1026" width="22.1796875" style="32" customWidth="1"/>
    <col min="1027" max="1027" width="17.81640625" style="32" customWidth="1"/>
    <col min="1028" max="1028" width="22.453125" style="32" customWidth="1"/>
    <col min="1029" max="1029" width="10.1796875" style="32" bestFit="1" customWidth="1"/>
    <col min="1030" max="1030" width="13.453125" style="32" customWidth="1"/>
    <col min="1031" max="1031" width="7.26953125" style="32" bestFit="1" customWidth="1"/>
    <col min="1032" max="1032" width="15.453125" style="32" bestFit="1" customWidth="1"/>
    <col min="1033" max="1033" width="7.26953125" style="32" bestFit="1" customWidth="1"/>
    <col min="1034" max="1034" width="19.7265625" style="32" bestFit="1" customWidth="1"/>
    <col min="1035" max="1035" width="7.26953125" style="32" bestFit="1" customWidth="1"/>
    <col min="1036" max="1036" width="26.81640625" style="32" bestFit="1" customWidth="1"/>
    <col min="1037" max="1037" width="19.81640625" style="32" bestFit="1" customWidth="1"/>
    <col min="1038" max="1272" width="11.453125" style="32"/>
    <col min="1273" max="1273" width="2.26953125" style="32" customWidth="1"/>
    <col min="1274" max="1274" width="49" style="32" customWidth="1"/>
    <col min="1275" max="1275" width="16.81640625" style="32" customWidth="1"/>
    <col min="1276" max="1276" width="1.1796875" style="32" customWidth="1"/>
    <col min="1277" max="1277" width="20.7265625" style="32" customWidth="1"/>
    <col min="1278" max="1278" width="17.7265625" style="32" customWidth="1"/>
    <col min="1279" max="1279" width="18.1796875" style="32" customWidth="1"/>
    <col min="1280" max="1280" width="17.1796875" style="32" customWidth="1"/>
    <col min="1281" max="1281" width="22.26953125" style="32" bestFit="1" customWidth="1"/>
    <col min="1282" max="1282" width="22.1796875" style="32" customWidth="1"/>
    <col min="1283" max="1283" width="17.81640625" style="32" customWidth="1"/>
    <col min="1284" max="1284" width="22.453125" style="32" customWidth="1"/>
    <col min="1285" max="1285" width="10.1796875" style="32" bestFit="1" customWidth="1"/>
    <col min="1286" max="1286" width="13.453125" style="32" customWidth="1"/>
    <col min="1287" max="1287" width="7.26953125" style="32" bestFit="1" customWidth="1"/>
    <col min="1288" max="1288" width="15.453125" style="32" bestFit="1" customWidth="1"/>
    <col min="1289" max="1289" width="7.26953125" style="32" bestFit="1" customWidth="1"/>
    <col min="1290" max="1290" width="19.7265625" style="32" bestFit="1" customWidth="1"/>
    <col min="1291" max="1291" width="7.26953125" style="32" bestFit="1" customWidth="1"/>
    <col min="1292" max="1292" width="26.81640625" style="32" bestFit="1" customWidth="1"/>
    <col min="1293" max="1293" width="19.81640625" style="32" bestFit="1" customWidth="1"/>
    <col min="1294" max="1528" width="11.453125" style="32"/>
    <col min="1529" max="1529" width="2.26953125" style="32" customWidth="1"/>
    <col min="1530" max="1530" width="49" style="32" customWidth="1"/>
    <col min="1531" max="1531" width="16.81640625" style="32" customWidth="1"/>
    <col min="1532" max="1532" width="1.1796875" style="32" customWidth="1"/>
    <col min="1533" max="1533" width="20.7265625" style="32" customWidth="1"/>
    <col min="1534" max="1534" width="17.7265625" style="32" customWidth="1"/>
    <col min="1535" max="1535" width="18.1796875" style="32" customWidth="1"/>
    <col min="1536" max="1536" width="17.1796875" style="32" customWidth="1"/>
    <col min="1537" max="1537" width="22.26953125" style="32" bestFit="1" customWidth="1"/>
    <col min="1538" max="1538" width="22.1796875" style="32" customWidth="1"/>
    <col min="1539" max="1539" width="17.81640625" style="32" customWidth="1"/>
    <col min="1540" max="1540" width="22.453125" style="32" customWidth="1"/>
    <col min="1541" max="1541" width="10.1796875" style="32" bestFit="1" customWidth="1"/>
    <col min="1542" max="1542" width="13.453125" style="32" customWidth="1"/>
    <col min="1543" max="1543" width="7.26953125" style="32" bestFit="1" customWidth="1"/>
    <col min="1544" max="1544" width="15.453125" style="32" bestFit="1" customWidth="1"/>
    <col min="1545" max="1545" width="7.26953125" style="32" bestFit="1" customWidth="1"/>
    <col min="1546" max="1546" width="19.7265625" style="32" bestFit="1" customWidth="1"/>
    <col min="1547" max="1547" width="7.26953125" style="32" bestFit="1" customWidth="1"/>
    <col min="1548" max="1548" width="26.81640625" style="32" bestFit="1" customWidth="1"/>
    <col min="1549" max="1549" width="19.81640625" style="32" bestFit="1" customWidth="1"/>
    <col min="1550" max="1784" width="11.453125" style="32"/>
    <col min="1785" max="1785" width="2.26953125" style="32" customWidth="1"/>
    <col min="1786" max="1786" width="49" style="32" customWidth="1"/>
    <col min="1787" max="1787" width="16.81640625" style="32" customWidth="1"/>
    <col min="1788" max="1788" width="1.1796875" style="32" customWidth="1"/>
    <col min="1789" max="1789" width="20.7265625" style="32" customWidth="1"/>
    <col min="1790" max="1790" width="17.7265625" style="32" customWidth="1"/>
    <col min="1791" max="1791" width="18.1796875" style="32" customWidth="1"/>
    <col min="1792" max="1792" width="17.1796875" style="32" customWidth="1"/>
    <col min="1793" max="1793" width="22.26953125" style="32" bestFit="1" customWidth="1"/>
    <col min="1794" max="1794" width="22.1796875" style="32" customWidth="1"/>
    <col min="1795" max="1795" width="17.81640625" style="32" customWidth="1"/>
    <col min="1796" max="1796" width="22.453125" style="32" customWidth="1"/>
    <col min="1797" max="1797" width="10.1796875" style="32" bestFit="1" customWidth="1"/>
    <col min="1798" max="1798" width="13.453125" style="32" customWidth="1"/>
    <col min="1799" max="1799" width="7.26953125" style="32" bestFit="1" customWidth="1"/>
    <col min="1800" max="1800" width="15.453125" style="32" bestFit="1" customWidth="1"/>
    <col min="1801" max="1801" width="7.26953125" style="32" bestFit="1" customWidth="1"/>
    <col min="1802" max="1802" width="19.7265625" style="32" bestFit="1" customWidth="1"/>
    <col min="1803" max="1803" width="7.26953125" style="32" bestFit="1" customWidth="1"/>
    <col min="1804" max="1804" width="26.81640625" style="32" bestFit="1" customWidth="1"/>
    <col min="1805" max="1805" width="19.81640625" style="32" bestFit="1" customWidth="1"/>
    <col min="1806" max="2040" width="11.453125" style="32"/>
    <col min="2041" max="2041" width="2.26953125" style="32" customWidth="1"/>
    <col min="2042" max="2042" width="49" style="32" customWidth="1"/>
    <col min="2043" max="2043" width="16.81640625" style="32" customWidth="1"/>
    <col min="2044" max="2044" width="1.1796875" style="32" customWidth="1"/>
    <col min="2045" max="2045" width="20.7265625" style="32" customWidth="1"/>
    <col min="2046" max="2046" width="17.7265625" style="32" customWidth="1"/>
    <col min="2047" max="2047" width="18.1796875" style="32" customWidth="1"/>
    <col min="2048" max="2048" width="17.1796875" style="32" customWidth="1"/>
    <col min="2049" max="2049" width="22.26953125" style="32" bestFit="1" customWidth="1"/>
    <col min="2050" max="2050" width="22.1796875" style="32" customWidth="1"/>
    <col min="2051" max="2051" width="17.81640625" style="32" customWidth="1"/>
    <col min="2052" max="2052" width="22.453125" style="32" customWidth="1"/>
    <col min="2053" max="2053" width="10.1796875" style="32" bestFit="1" customWidth="1"/>
    <col min="2054" max="2054" width="13.453125" style="32" customWidth="1"/>
    <col min="2055" max="2055" width="7.26953125" style="32" bestFit="1" customWidth="1"/>
    <col min="2056" max="2056" width="15.453125" style="32" bestFit="1" customWidth="1"/>
    <col min="2057" max="2057" width="7.26953125" style="32" bestFit="1" customWidth="1"/>
    <col min="2058" max="2058" width="19.7265625" style="32" bestFit="1" customWidth="1"/>
    <col min="2059" max="2059" width="7.26953125" style="32" bestFit="1" customWidth="1"/>
    <col min="2060" max="2060" width="26.81640625" style="32" bestFit="1" customWidth="1"/>
    <col min="2061" max="2061" width="19.81640625" style="32" bestFit="1" customWidth="1"/>
    <col min="2062" max="2296" width="11.453125" style="32"/>
    <col min="2297" max="2297" width="2.26953125" style="32" customWidth="1"/>
    <col min="2298" max="2298" width="49" style="32" customWidth="1"/>
    <col min="2299" max="2299" width="16.81640625" style="32" customWidth="1"/>
    <col min="2300" max="2300" width="1.1796875" style="32" customWidth="1"/>
    <col min="2301" max="2301" width="20.7265625" style="32" customWidth="1"/>
    <col min="2302" max="2302" width="17.7265625" style="32" customWidth="1"/>
    <col min="2303" max="2303" width="18.1796875" style="32" customWidth="1"/>
    <col min="2304" max="2304" width="17.1796875" style="32" customWidth="1"/>
    <col min="2305" max="2305" width="22.26953125" style="32" bestFit="1" customWidth="1"/>
    <col min="2306" max="2306" width="22.1796875" style="32" customWidth="1"/>
    <col min="2307" max="2307" width="17.81640625" style="32" customWidth="1"/>
    <col min="2308" max="2308" width="22.453125" style="32" customWidth="1"/>
    <col min="2309" max="2309" width="10.1796875" style="32" bestFit="1" customWidth="1"/>
    <col min="2310" max="2310" width="13.453125" style="32" customWidth="1"/>
    <col min="2311" max="2311" width="7.26953125" style="32" bestFit="1" customWidth="1"/>
    <col min="2312" max="2312" width="15.453125" style="32" bestFit="1" customWidth="1"/>
    <col min="2313" max="2313" width="7.26953125" style="32" bestFit="1" customWidth="1"/>
    <col min="2314" max="2314" width="19.7265625" style="32" bestFit="1" customWidth="1"/>
    <col min="2315" max="2315" width="7.26953125" style="32" bestFit="1" customWidth="1"/>
    <col min="2316" max="2316" width="26.81640625" style="32" bestFit="1" customWidth="1"/>
    <col min="2317" max="2317" width="19.81640625" style="32" bestFit="1" customWidth="1"/>
    <col min="2318" max="2552" width="11.453125" style="32"/>
    <col min="2553" max="2553" width="2.26953125" style="32" customWidth="1"/>
    <col min="2554" max="2554" width="49" style="32" customWidth="1"/>
    <col min="2555" max="2555" width="16.81640625" style="32" customWidth="1"/>
    <col min="2556" max="2556" width="1.1796875" style="32" customWidth="1"/>
    <col min="2557" max="2557" width="20.7265625" style="32" customWidth="1"/>
    <col min="2558" max="2558" width="17.7265625" style="32" customWidth="1"/>
    <col min="2559" max="2559" width="18.1796875" style="32" customWidth="1"/>
    <col min="2560" max="2560" width="17.1796875" style="32" customWidth="1"/>
    <col min="2561" max="2561" width="22.26953125" style="32" bestFit="1" customWidth="1"/>
    <col min="2562" max="2562" width="22.1796875" style="32" customWidth="1"/>
    <col min="2563" max="2563" width="17.81640625" style="32" customWidth="1"/>
    <col min="2564" max="2564" width="22.453125" style="32" customWidth="1"/>
    <col min="2565" max="2565" width="10.1796875" style="32" bestFit="1" customWidth="1"/>
    <col min="2566" max="2566" width="13.453125" style="32" customWidth="1"/>
    <col min="2567" max="2567" width="7.26953125" style="32" bestFit="1" customWidth="1"/>
    <col min="2568" max="2568" width="15.453125" style="32" bestFit="1" customWidth="1"/>
    <col min="2569" max="2569" width="7.26953125" style="32" bestFit="1" customWidth="1"/>
    <col min="2570" max="2570" width="19.7265625" style="32" bestFit="1" customWidth="1"/>
    <col min="2571" max="2571" width="7.26953125" style="32" bestFit="1" customWidth="1"/>
    <col min="2572" max="2572" width="26.81640625" style="32" bestFit="1" customWidth="1"/>
    <col min="2573" max="2573" width="19.81640625" style="32" bestFit="1" customWidth="1"/>
    <col min="2574" max="2808" width="11.453125" style="32"/>
    <col min="2809" max="2809" width="2.26953125" style="32" customWidth="1"/>
    <col min="2810" max="2810" width="49" style="32" customWidth="1"/>
    <col min="2811" max="2811" width="16.81640625" style="32" customWidth="1"/>
    <col min="2812" max="2812" width="1.1796875" style="32" customWidth="1"/>
    <col min="2813" max="2813" width="20.7265625" style="32" customWidth="1"/>
    <col min="2814" max="2814" width="17.7265625" style="32" customWidth="1"/>
    <col min="2815" max="2815" width="18.1796875" style="32" customWidth="1"/>
    <col min="2816" max="2816" width="17.1796875" style="32" customWidth="1"/>
    <col min="2817" max="2817" width="22.26953125" style="32" bestFit="1" customWidth="1"/>
    <col min="2818" max="2818" width="22.1796875" style="32" customWidth="1"/>
    <col min="2819" max="2819" width="17.81640625" style="32" customWidth="1"/>
    <col min="2820" max="2820" width="22.453125" style="32" customWidth="1"/>
    <col min="2821" max="2821" width="10.1796875" style="32" bestFit="1" customWidth="1"/>
    <col min="2822" max="2822" width="13.453125" style="32" customWidth="1"/>
    <col min="2823" max="2823" width="7.26953125" style="32" bestFit="1" customWidth="1"/>
    <col min="2824" max="2824" width="15.453125" style="32" bestFit="1" customWidth="1"/>
    <col min="2825" max="2825" width="7.26953125" style="32" bestFit="1" customWidth="1"/>
    <col min="2826" max="2826" width="19.7265625" style="32" bestFit="1" customWidth="1"/>
    <col min="2827" max="2827" width="7.26953125" style="32" bestFit="1" customWidth="1"/>
    <col min="2828" max="2828" width="26.81640625" style="32" bestFit="1" customWidth="1"/>
    <col min="2829" max="2829" width="19.81640625" style="32" bestFit="1" customWidth="1"/>
    <col min="2830" max="3064" width="11.453125" style="32"/>
    <col min="3065" max="3065" width="2.26953125" style="32" customWidth="1"/>
    <col min="3066" max="3066" width="49" style="32" customWidth="1"/>
    <col min="3067" max="3067" width="16.81640625" style="32" customWidth="1"/>
    <col min="3068" max="3068" width="1.1796875" style="32" customWidth="1"/>
    <col min="3069" max="3069" width="20.7265625" style="32" customWidth="1"/>
    <col min="3070" max="3070" width="17.7265625" style="32" customWidth="1"/>
    <col min="3071" max="3071" width="18.1796875" style="32" customWidth="1"/>
    <col min="3072" max="3072" width="17.1796875" style="32" customWidth="1"/>
    <col min="3073" max="3073" width="22.26953125" style="32" bestFit="1" customWidth="1"/>
    <col min="3074" max="3074" width="22.1796875" style="32" customWidth="1"/>
    <col min="3075" max="3075" width="17.81640625" style="32" customWidth="1"/>
    <col min="3076" max="3076" width="22.453125" style="32" customWidth="1"/>
    <col min="3077" max="3077" width="10.1796875" style="32" bestFit="1" customWidth="1"/>
    <col min="3078" max="3078" width="13.453125" style="32" customWidth="1"/>
    <col min="3079" max="3079" width="7.26953125" style="32" bestFit="1" customWidth="1"/>
    <col min="3080" max="3080" width="15.453125" style="32" bestFit="1" customWidth="1"/>
    <col min="3081" max="3081" width="7.26953125" style="32" bestFit="1" customWidth="1"/>
    <col min="3082" max="3082" width="19.7265625" style="32" bestFit="1" customWidth="1"/>
    <col min="3083" max="3083" width="7.26953125" style="32" bestFit="1" customWidth="1"/>
    <col min="3084" max="3084" width="26.81640625" style="32" bestFit="1" customWidth="1"/>
    <col min="3085" max="3085" width="19.81640625" style="32" bestFit="1" customWidth="1"/>
    <col min="3086" max="3320" width="11.453125" style="32"/>
    <col min="3321" max="3321" width="2.26953125" style="32" customWidth="1"/>
    <col min="3322" max="3322" width="49" style="32" customWidth="1"/>
    <col min="3323" max="3323" width="16.81640625" style="32" customWidth="1"/>
    <col min="3324" max="3324" width="1.1796875" style="32" customWidth="1"/>
    <col min="3325" max="3325" width="20.7265625" style="32" customWidth="1"/>
    <col min="3326" max="3326" width="17.7265625" style="32" customWidth="1"/>
    <col min="3327" max="3327" width="18.1796875" style="32" customWidth="1"/>
    <col min="3328" max="3328" width="17.1796875" style="32" customWidth="1"/>
    <col min="3329" max="3329" width="22.26953125" style="32" bestFit="1" customWidth="1"/>
    <col min="3330" max="3330" width="22.1796875" style="32" customWidth="1"/>
    <col min="3331" max="3331" width="17.81640625" style="32" customWidth="1"/>
    <col min="3332" max="3332" width="22.453125" style="32" customWidth="1"/>
    <col min="3333" max="3333" width="10.1796875" style="32" bestFit="1" customWidth="1"/>
    <col min="3334" max="3334" width="13.453125" style="32" customWidth="1"/>
    <col min="3335" max="3335" width="7.26953125" style="32" bestFit="1" customWidth="1"/>
    <col min="3336" max="3336" width="15.453125" style="32" bestFit="1" customWidth="1"/>
    <col min="3337" max="3337" width="7.26953125" style="32" bestFit="1" customWidth="1"/>
    <col min="3338" max="3338" width="19.7265625" style="32" bestFit="1" customWidth="1"/>
    <col min="3339" max="3339" width="7.26953125" style="32" bestFit="1" customWidth="1"/>
    <col min="3340" max="3340" width="26.81640625" style="32" bestFit="1" customWidth="1"/>
    <col min="3341" max="3341" width="19.81640625" style="32" bestFit="1" customWidth="1"/>
    <col min="3342" max="3576" width="11.453125" style="32"/>
    <col min="3577" max="3577" width="2.26953125" style="32" customWidth="1"/>
    <col min="3578" max="3578" width="49" style="32" customWidth="1"/>
    <col min="3579" max="3579" width="16.81640625" style="32" customWidth="1"/>
    <col min="3580" max="3580" width="1.1796875" style="32" customWidth="1"/>
    <col min="3581" max="3581" width="20.7265625" style="32" customWidth="1"/>
    <col min="3582" max="3582" width="17.7265625" style="32" customWidth="1"/>
    <col min="3583" max="3583" width="18.1796875" style="32" customWidth="1"/>
    <col min="3584" max="3584" width="17.1796875" style="32" customWidth="1"/>
    <col min="3585" max="3585" width="22.26953125" style="32" bestFit="1" customWidth="1"/>
    <col min="3586" max="3586" width="22.1796875" style="32" customWidth="1"/>
    <col min="3587" max="3587" width="17.81640625" style="32" customWidth="1"/>
    <col min="3588" max="3588" width="22.453125" style="32" customWidth="1"/>
    <col min="3589" max="3589" width="10.1796875" style="32" bestFit="1" customWidth="1"/>
    <col min="3590" max="3590" width="13.453125" style="32" customWidth="1"/>
    <col min="3591" max="3591" width="7.26953125" style="32" bestFit="1" customWidth="1"/>
    <col min="3592" max="3592" width="15.453125" style="32" bestFit="1" customWidth="1"/>
    <col min="3593" max="3593" width="7.26953125" style="32" bestFit="1" customWidth="1"/>
    <col min="3594" max="3594" width="19.7265625" style="32" bestFit="1" customWidth="1"/>
    <col min="3595" max="3595" width="7.26953125" style="32" bestFit="1" customWidth="1"/>
    <col min="3596" max="3596" width="26.81640625" style="32" bestFit="1" customWidth="1"/>
    <col min="3597" max="3597" width="19.81640625" style="32" bestFit="1" customWidth="1"/>
    <col min="3598" max="3832" width="11.453125" style="32"/>
    <col min="3833" max="3833" width="2.26953125" style="32" customWidth="1"/>
    <col min="3834" max="3834" width="49" style="32" customWidth="1"/>
    <col min="3835" max="3835" width="16.81640625" style="32" customWidth="1"/>
    <col min="3836" max="3836" width="1.1796875" style="32" customWidth="1"/>
    <col min="3837" max="3837" width="20.7265625" style="32" customWidth="1"/>
    <col min="3838" max="3838" width="17.7265625" style="32" customWidth="1"/>
    <col min="3839" max="3839" width="18.1796875" style="32" customWidth="1"/>
    <col min="3840" max="3840" width="17.1796875" style="32" customWidth="1"/>
    <col min="3841" max="3841" width="22.26953125" style="32" bestFit="1" customWidth="1"/>
    <col min="3842" max="3842" width="22.1796875" style="32" customWidth="1"/>
    <col min="3843" max="3843" width="17.81640625" style="32" customWidth="1"/>
    <col min="3844" max="3844" width="22.453125" style="32" customWidth="1"/>
    <col min="3845" max="3845" width="10.1796875" style="32" bestFit="1" customWidth="1"/>
    <col min="3846" max="3846" width="13.453125" style="32" customWidth="1"/>
    <col min="3847" max="3847" width="7.26953125" style="32" bestFit="1" customWidth="1"/>
    <col min="3848" max="3848" width="15.453125" style="32" bestFit="1" customWidth="1"/>
    <col min="3849" max="3849" width="7.26953125" style="32" bestFit="1" customWidth="1"/>
    <col min="3850" max="3850" width="19.7265625" style="32" bestFit="1" customWidth="1"/>
    <col min="3851" max="3851" width="7.26953125" style="32" bestFit="1" customWidth="1"/>
    <col min="3852" max="3852" width="26.81640625" style="32" bestFit="1" customWidth="1"/>
    <col min="3853" max="3853" width="19.81640625" style="32" bestFit="1" customWidth="1"/>
    <col min="3854" max="4088" width="11.453125" style="32"/>
    <col min="4089" max="4089" width="2.26953125" style="32" customWidth="1"/>
    <col min="4090" max="4090" width="49" style="32" customWidth="1"/>
    <col min="4091" max="4091" width="16.81640625" style="32" customWidth="1"/>
    <col min="4092" max="4092" width="1.1796875" style="32" customWidth="1"/>
    <col min="4093" max="4093" width="20.7265625" style="32" customWidth="1"/>
    <col min="4094" max="4094" width="17.7265625" style="32" customWidth="1"/>
    <col min="4095" max="4095" width="18.1796875" style="32" customWidth="1"/>
    <col min="4096" max="4096" width="17.1796875" style="32" customWidth="1"/>
    <col min="4097" max="4097" width="22.26953125" style="32" bestFit="1" customWidth="1"/>
    <col min="4098" max="4098" width="22.1796875" style="32" customWidth="1"/>
    <col min="4099" max="4099" width="17.81640625" style="32" customWidth="1"/>
    <col min="4100" max="4100" width="22.453125" style="32" customWidth="1"/>
    <col min="4101" max="4101" width="10.1796875" style="32" bestFit="1" customWidth="1"/>
    <col min="4102" max="4102" width="13.453125" style="32" customWidth="1"/>
    <col min="4103" max="4103" width="7.26953125" style="32" bestFit="1" customWidth="1"/>
    <col min="4104" max="4104" width="15.453125" style="32" bestFit="1" customWidth="1"/>
    <col min="4105" max="4105" width="7.26953125" style="32" bestFit="1" customWidth="1"/>
    <col min="4106" max="4106" width="19.7265625" style="32" bestFit="1" customWidth="1"/>
    <col min="4107" max="4107" width="7.26953125" style="32" bestFit="1" customWidth="1"/>
    <col min="4108" max="4108" width="26.81640625" style="32" bestFit="1" customWidth="1"/>
    <col min="4109" max="4109" width="19.81640625" style="32" bestFit="1" customWidth="1"/>
    <col min="4110" max="4344" width="11.453125" style="32"/>
    <col min="4345" max="4345" width="2.26953125" style="32" customWidth="1"/>
    <col min="4346" max="4346" width="49" style="32" customWidth="1"/>
    <col min="4347" max="4347" width="16.81640625" style="32" customWidth="1"/>
    <col min="4348" max="4348" width="1.1796875" style="32" customWidth="1"/>
    <col min="4349" max="4349" width="20.7265625" style="32" customWidth="1"/>
    <col min="4350" max="4350" width="17.7265625" style="32" customWidth="1"/>
    <col min="4351" max="4351" width="18.1796875" style="32" customWidth="1"/>
    <col min="4352" max="4352" width="17.1796875" style="32" customWidth="1"/>
    <col min="4353" max="4353" width="22.26953125" style="32" bestFit="1" customWidth="1"/>
    <col min="4354" max="4354" width="22.1796875" style="32" customWidth="1"/>
    <col min="4355" max="4355" width="17.81640625" style="32" customWidth="1"/>
    <col min="4356" max="4356" width="22.453125" style="32" customWidth="1"/>
    <col min="4357" max="4357" width="10.1796875" style="32" bestFit="1" customWidth="1"/>
    <col min="4358" max="4358" width="13.453125" style="32" customWidth="1"/>
    <col min="4359" max="4359" width="7.26953125" style="32" bestFit="1" customWidth="1"/>
    <col min="4360" max="4360" width="15.453125" style="32" bestFit="1" customWidth="1"/>
    <col min="4361" max="4361" width="7.26953125" style="32" bestFit="1" customWidth="1"/>
    <col min="4362" max="4362" width="19.7265625" style="32" bestFit="1" customWidth="1"/>
    <col min="4363" max="4363" width="7.26953125" style="32" bestFit="1" customWidth="1"/>
    <col min="4364" max="4364" width="26.81640625" style="32" bestFit="1" customWidth="1"/>
    <col min="4365" max="4365" width="19.81640625" style="32" bestFit="1" customWidth="1"/>
    <col min="4366" max="4600" width="11.453125" style="32"/>
    <col min="4601" max="4601" width="2.26953125" style="32" customWidth="1"/>
    <col min="4602" max="4602" width="49" style="32" customWidth="1"/>
    <col min="4603" max="4603" width="16.81640625" style="32" customWidth="1"/>
    <col min="4604" max="4604" width="1.1796875" style="32" customWidth="1"/>
    <col min="4605" max="4605" width="20.7265625" style="32" customWidth="1"/>
    <col min="4606" max="4606" width="17.7265625" style="32" customWidth="1"/>
    <col min="4607" max="4607" width="18.1796875" style="32" customWidth="1"/>
    <col min="4608" max="4608" width="17.1796875" style="32" customWidth="1"/>
    <col min="4609" max="4609" width="22.26953125" style="32" bestFit="1" customWidth="1"/>
    <col min="4610" max="4610" width="22.1796875" style="32" customWidth="1"/>
    <col min="4611" max="4611" width="17.81640625" style="32" customWidth="1"/>
    <col min="4612" max="4612" width="22.453125" style="32" customWidth="1"/>
    <col min="4613" max="4613" width="10.1796875" style="32" bestFit="1" customWidth="1"/>
    <col min="4614" max="4614" width="13.453125" style="32" customWidth="1"/>
    <col min="4615" max="4615" width="7.26953125" style="32" bestFit="1" customWidth="1"/>
    <col min="4616" max="4616" width="15.453125" style="32" bestFit="1" customWidth="1"/>
    <col min="4617" max="4617" width="7.26953125" style="32" bestFit="1" customWidth="1"/>
    <col min="4618" max="4618" width="19.7265625" style="32" bestFit="1" customWidth="1"/>
    <col min="4619" max="4619" width="7.26953125" style="32" bestFit="1" customWidth="1"/>
    <col min="4620" max="4620" width="26.81640625" style="32" bestFit="1" customWidth="1"/>
    <col min="4621" max="4621" width="19.81640625" style="32" bestFit="1" customWidth="1"/>
    <col min="4622" max="4856" width="11.453125" style="32"/>
    <col min="4857" max="4857" width="2.26953125" style="32" customWidth="1"/>
    <col min="4858" max="4858" width="49" style="32" customWidth="1"/>
    <col min="4859" max="4859" width="16.81640625" style="32" customWidth="1"/>
    <col min="4860" max="4860" width="1.1796875" style="32" customWidth="1"/>
    <col min="4861" max="4861" width="20.7265625" style="32" customWidth="1"/>
    <col min="4862" max="4862" width="17.7265625" style="32" customWidth="1"/>
    <col min="4863" max="4863" width="18.1796875" style="32" customWidth="1"/>
    <col min="4864" max="4864" width="17.1796875" style="32" customWidth="1"/>
    <col min="4865" max="4865" width="22.26953125" style="32" bestFit="1" customWidth="1"/>
    <col min="4866" max="4866" width="22.1796875" style="32" customWidth="1"/>
    <col min="4867" max="4867" width="17.81640625" style="32" customWidth="1"/>
    <col min="4868" max="4868" width="22.453125" style="32" customWidth="1"/>
    <col min="4869" max="4869" width="10.1796875" style="32" bestFit="1" customWidth="1"/>
    <col min="4870" max="4870" width="13.453125" style="32" customWidth="1"/>
    <col min="4871" max="4871" width="7.26953125" style="32" bestFit="1" customWidth="1"/>
    <col min="4872" max="4872" width="15.453125" style="32" bestFit="1" customWidth="1"/>
    <col min="4873" max="4873" width="7.26953125" style="32" bestFit="1" customWidth="1"/>
    <col min="4874" max="4874" width="19.7265625" style="32" bestFit="1" customWidth="1"/>
    <col min="4875" max="4875" width="7.26953125" style="32" bestFit="1" customWidth="1"/>
    <col min="4876" max="4876" width="26.81640625" style="32" bestFit="1" customWidth="1"/>
    <col min="4877" max="4877" width="19.81640625" style="32" bestFit="1" customWidth="1"/>
    <col min="4878" max="5112" width="11.453125" style="32"/>
    <col min="5113" max="5113" width="2.26953125" style="32" customWidth="1"/>
    <col min="5114" max="5114" width="49" style="32" customWidth="1"/>
    <col min="5115" max="5115" width="16.81640625" style="32" customWidth="1"/>
    <col min="5116" max="5116" width="1.1796875" style="32" customWidth="1"/>
    <col min="5117" max="5117" width="20.7265625" style="32" customWidth="1"/>
    <col min="5118" max="5118" width="17.7265625" style="32" customWidth="1"/>
    <col min="5119" max="5119" width="18.1796875" style="32" customWidth="1"/>
    <col min="5120" max="5120" width="17.1796875" style="32" customWidth="1"/>
    <col min="5121" max="5121" width="22.26953125" style="32" bestFit="1" customWidth="1"/>
    <col min="5122" max="5122" width="22.1796875" style="32" customWidth="1"/>
    <col min="5123" max="5123" width="17.81640625" style="32" customWidth="1"/>
    <col min="5124" max="5124" width="22.453125" style="32" customWidth="1"/>
    <col min="5125" max="5125" width="10.1796875" style="32" bestFit="1" customWidth="1"/>
    <col min="5126" max="5126" width="13.453125" style="32" customWidth="1"/>
    <col min="5127" max="5127" width="7.26953125" style="32" bestFit="1" customWidth="1"/>
    <col min="5128" max="5128" width="15.453125" style="32" bestFit="1" customWidth="1"/>
    <col min="5129" max="5129" width="7.26953125" style="32" bestFit="1" customWidth="1"/>
    <col min="5130" max="5130" width="19.7265625" style="32" bestFit="1" customWidth="1"/>
    <col min="5131" max="5131" width="7.26953125" style="32" bestFit="1" customWidth="1"/>
    <col min="5132" max="5132" width="26.81640625" style="32" bestFit="1" customWidth="1"/>
    <col min="5133" max="5133" width="19.81640625" style="32" bestFit="1" customWidth="1"/>
    <col min="5134" max="5368" width="11.453125" style="32"/>
    <col min="5369" max="5369" width="2.26953125" style="32" customWidth="1"/>
    <col min="5370" max="5370" width="49" style="32" customWidth="1"/>
    <col min="5371" max="5371" width="16.81640625" style="32" customWidth="1"/>
    <col min="5372" max="5372" width="1.1796875" style="32" customWidth="1"/>
    <col min="5373" max="5373" width="20.7265625" style="32" customWidth="1"/>
    <col min="5374" max="5374" width="17.7265625" style="32" customWidth="1"/>
    <col min="5375" max="5375" width="18.1796875" style="32" customWidth="1"/>
    <col min="5376" max="5376" width="17.1796875" style="32" customWidth="1"/>
    <col min="5377" max="5377" width="22.26953125" style="32" bestFit="1" customWidth="1"/>
    <col min="5378" max="5378" width="22.1796875" style="32" customWidth="1"/>
    <col min="5379" max="5379" width="17.81640625" style="32" customWidth="1"/>
    <col min="5380" max="5380" width="22.453125" style="32" customWidth="1"/>
    <col min="5381" max="5381" width="10.1796875" style="32" bestFit="1" customWidth="1"/>
    <col min="5382" max="5382" width="13.453125" style="32" customWidth="1"/>
    <col min="5383" max="5383" width="7.26953125" style="32" bestFit="1" customWidth="1"/>
    <col min="5384" max="5384" width="15.453125" style="32" bestFit="1" customWidth="1"/>
    <col min="5385" max="5385" width="7.26953125" style="32" bestFit="1" customWidth="1"/>
    <col min="5386" max="5386" width="19.7265625" style="32" bestFit="1" customWidth="1"/>
    <col min="5387" max="5387" width="7.26953125" style="32" bestFit="1" customWidth="1"/>
    <col min="5388" max="5388" width="26.81640625" style="32" bestFit="1" customWidth="1"/>
    <col min="5389" max="5389" width="19.81640625" style="32" bestFit="1" customWidth="1"/>
    <col min="5390" max="5624" width="11.453125" style="32"/>
    <col min="5625" max="5625" width="2.26953125" style="32" customWidth="1"/>
    <col min="5626" max="5626" width="49" style="32" customWidth="1"/>
    <col min="5627" max="5627" width="16.81640625" style="32" customWidth="1"/>
    <col min="5628" max="5628" width="1.1796875" style="32" customWidth="1"/>
    <col min="5629" max="5629" width="20.7265625" style="32" customWidth="1"/>
    <col min="5630" max="5630" width="17.7265625" style="32" customWidth="1"/>
    <col min="5631" max="5631" width="18.1796875" style="32" customWidth="1"/>
    <col min="5632" max="5632" width="17.1796875" style="32" customWidth="1"/>
    <col min="5633" max="5633" width="22.26953125" style="32" bestFit="1" customWidth="1"/>
    <col min="5634" max="5634" width="22.1796875" style="32" customWidth="1"/>
    <col min="5635" max="5635" width="17.81640625" style="32" customWidth="1"/>
    <col min="5636" max="5636" width="22.453125" style="32" customWidth="1"/>
    <col min="5637" max="5637" width="10.1796875" style="32" bestFit="1" customWidth="1"/>
    <col min="5638" max="5638" width="13.453125" style="32" customWidth="1"/>
    <col min="5639" max="5639" width="7.26953125" style="32" bestFit="1" customWidth="1"/>
    <col min="5640" max="5640" width="15.453125" style="32" bestFit="1" customWidth="1"/>
    <col min="5641" max="5641" width="7.26953125" style="32" bestFit="1" customWidth="1"/>
    <col min="5642" max="5642" width="19.7265625" style="32" bestFit="1" customWidth="1"/>
    <col min="5643" max="5643" width="7.26953125" style="32" bestFit="1" customWidth="1"/>
    <col min="5644" max="5644" width="26.81640625" style="32" bestFit="1" customWidth="1"/>
    <col min="5645" max="5645" width="19.81640625" style="32" bestFit="1" customWidth="1"/>
    <col min="5646" max="5880" width="11.453125" style="32"/>
    <col min="5881" max="5881" width="2.26953125" style="32" customWidth="1"/>
    <col min="5882" max="5882" width="49" style="32" customWidth="1"/>
    <col min="5883" max="5883" width="16.81640625" style="32" customWidth="1"/>
    <col min="5884" max="5884" width="1.1796875" style="32" customWidth="1"/>
    <col min="5885" max="5885" width="20.7265625" style="32" customWidth="1"/>
    <col min="5886" max="5886" width="17.7265625" style="32" customWidth="1"/>
    <col min="5887" max="5887" width="18.1796875" style="32" customWidth="1"/>
    <col min="5888" max="5888" width="17.1796875" style="32" customWidth="1"/>
    <col min="5889" max="5889" width="22.26953125" style="32" bestFit="1" customWidth="1"/>
    <col min="5890" max="5890" width="22.1796875" style="32" customWidth="1"/>
    <col min="5891" max="5891" width="17.81640625" style="32" customWidth="1"/>
    <col min="5892" max="5892" width="22.453125" style="32" customWidth="1"/>
    <col min="5893" max="5893" width="10.1796875" style="32" bestFit="1" customWidth="1"/>
    <col min="5894" max="5894" width="13.453125" style="32" customWidth="1"/>
    <col min="5895" max="5895" width="7.26953125" style="32" bestFit="1" customWidth="1"/>
    <col min="5896" max="5896" width="15.453125" style="32" bestFit="1" customWidth="1"/>
    <col min="5897" max="5897" width="7.26953125" style="32" bestFit="1" customWidth="1"/>
    <col min="5898" max="5898" width="19.7265625" style="32" bestFit="1" customWidth="1"/>
    <col min="5899" max="5899" width="7.26953125" style="32" bestFit="1" customWidth="1"/>
    <col min="5900" max="5900" width="26.81640625" style="32" bestFit="1" customWidth="1"/>
    <col min="5901" max="5901" width="19.81640625" style="32" bestFit="1" customWidth="1"/>
    <col min="5902" max="6136" width="11.453125" style="32"/>
    <col min="6137" max="6137" width="2.26953125" style="32" customWidth="1"/>
    <col min="6138" max="6138" width="49" style="32" customWidth="1"/>
    <col min="6139" max="6139" width="16.81640625" style="32" customWidth="1"/>
    <col min="6140" max="6140" width="1.1796875" style="32" customWidth="1"/>
    <col min="6141" max="6141" width="20.7265625" style="32" customWidth="1"/>
    <col min="6142" max="6142" width="17.7265625" style="32" customWidth="1"/>
    <col min="6143" max="6143" width="18.1796875" style="32" customWidth="1"/>
    <col min="6144" max="6144" width="17.1796875" style="32" customWidth="1"/>
    <col min="6145" max="6145" width="22.26953125" style="32" bestFit="1" customWidth="1"/>
    <col min="6146" max="6146" width="22.1796875" style="32" customWidth="1"/>
    <col min="6147" max="6147" width="17.81640625" style="32" customWidth="1"/>
    <col min="6148" max="6148" width="22.453125" style="32" customWidth="1"/>
    <col min="6149" max="6149" width="10.1796875" style="32" bestFit="1" customWidth="1"/>
    <col min="6150" max="6150" width="13.453125" style="32" customWidth="1"/>
    <col min="6151" max="6151" width="7.26953125" style="32" bestFit="1" customWidth="1"/>
    <col min="6152" max="6152" width="15.453125" style="32" bestFit="1" customWidth="1"/>
    <col min="6153" max="6153" width="7.26953125" style="32" bestFit="1" customWidth="1"/>
    <col min="6154" max="6154" width="19.7265625" style="32" bestFit="1" customWidth="1"/>
    <col min="6155" max="6155" width="7.26953125" style="32" bestFit="1" customWidth="1"/>
    <col min="6156" max="6156" width="26.81640625" style="32" bestFit="1" customWidth="1"/>
    <col min="6157" max="6157" width="19.81640625" style="32" bestFit="1" customWidth="1"/>
    <col min="6158" max="6392" width="11.453125" style="32"/>
    <col min="6393" max="6393" width="2.26953125" style="32" customWidth="1"/>
    <col min="6394" max="6394" width="49" style="32" customWidth="1"/>
    <col min="6395" max="6395" width="16.81640625" style="32" customWidth="1"/>
    <col min="6396" max="6396" width="1.1796875" style="32" customWidth="1"/>
    <col min="6397" max="6397" width="20.7265625" style="32" customWidth="1"/>
    <col min="6398" max="6398" width="17.7265625" style="32" customWidth="1"/>
    <col min="6399" max="6399" width="18.1796875" style="32" customWidth="1"/>
    <col min="6400" max="6400" width="17.1796875" style="32" customWidth="1"/>
    <col min="6401" max="6401" width="22.26953125" style="32" bestFit="1" customWidth="1"/>
    <col min="6402" max="6402" width="22.1796875" style="32" customWidth="1"/>
    <col min="6403" max="6403" width="17.81640625" style="32" customWidth="1"/>
    <col min="6404" max="6404" width="22.453125" style="32" customWidth="1"/>
    <col min="6405" max="6405" width="10.1796875" style="32" bestFit="1" customWidth="1"/>
    <col min="6406" max="6406" width="13.453125" style="32" customWidth="1"/>
    <col min="6407" max="6407" width="7.26953125" style="32" bestFit="1" customWidth="1"/>
    <col min="6408" max="6408" width="15.453125" style="32" bestFit="1" customWidth="1"/>
    <col min="6409" max="6409" width="7.26953125" style="32" bestFit="1" customWidth="1"/>
    <col min="6410" max="6410" width="19.7265625" style="32" bestFit="1" customWidth="1"/>
    <col min="6411" max="6411" width="7.26953125" style="32" bestFit="1" customWidth="1"/>
    <col min="6412" max="6412" width="26.81640625" style="32" bestFit="1" customWidth="1"/>
    <col min="6413" max="6413" width="19.81640625" style="32" bestFit="1" customWidth="1"/>
    <col min="6414" max="6648" width="11.453125" style="32"/>
    <col min="6649" max="6649" width="2.26953125" style="32" customWidth="1"/>
    <col min="6650" max="6650" width="49" style="32" customWidth="1"/>
    <col min="6651" max="6651" width="16.81640625" style="32" customWidth="1"/>
    <col min="6652" max="6652" width="1.1796875" style="32" customWidth="1"/>
    <col min="6653" max="6653" width="20.7265625" style="32" customWidth="1"/>
    <col min="6654" max="6654" width="17.7265625" style="32" customWidth="1"/>
    <col min="6655" max="6655" width="18.1796875" style="32" customWidth="1"/>
    <col min="6656" max="6656" width="17.1796875" style="32" customWidth="1"/>
    <col min="6657" max="6657" width="22.26953125" style="32" bestFit="1" customWidth="1"/>
    <col min="6658" max="6658" width="22.1796875" style="32" customWidth="1"/>
    <col min="6659" max="6659" width="17.81640625" style="32" customWidth="1"/>
    <col min="6660" max="6660" width="22.453125" style="32" customWidth="1"/>
    <col min="6661" max="6661" width="10.1796875" style="32" bestFit="1" customWidth="1"/>
    <col min="6662" max="6662" width="13.453125" style="32" customWidth="1"/>
    <col min="6663" max="6663" width="7.26953125" style="32" bestFit="1" customWidth="1"/>
    <col min="6664" max="6664" width="15.453125" style="32" bestFit="1" customWidth="1"/>
    <col min="6665" max="6665" width="7.26953125" style="32" bestFit="1" customWidth="1"/>
    <col min="6666" max="6666" width="19.7265625" style="32" bestFit="1" customWidth="1"/>
    <col min="6667" max="6667" width="7.26953125" style="32" bestFit="1" customWidth="1"/>
    <col min="6668" max="6668" width="26.81640625" style="32" bestFit="1" customWidth="1"/>
    <col min="6669" max="6669" width="19.81640625" style="32" bestFit="1" customWidth="1"/>
    <col min="6670" max="6904" width="11.453125" style="32"/>
    <col min="6905" max="6905" width="2.26953125" style="32" customWidth="1"/>
    <col min="6906" max="6906" width="49" style="32" customWidth="1"/>
    <col min="6907" max="6907" width="16.81640625" style="32" customWidth="1"/>
    <col min="6908" max="6908" width="1.1796875" style="32" customWidth="1"/>
    <col min="6909" max="6909" width="20.7265625" style="32" customWidth="1"/>
    <col min="6910" max="6910" width="17.7265625" style="32" customWidth="1"/>
    <col min="6911" max="6911" width="18.1796875" style="32" customWidth="1"/>
    <col min="6912" max="6912" width="17.1796875" style="32" customWidth="1"/>
    <col min="6913" max="6913" width="22.26953125" style="32" bestFit="1" customWidth="1"/>
    <col min="6914" max="6914" width="22.1796875" style="32" customWidth="1"/>
    <col min="6915" max="6915" width="17.81640625" style="32" customWidth="1"/>
    <col min="6916" max="6916" width="22.453125" style="32" customWidth="1"/>
    <col min="6917" max="6917" width="10.1796875" style="32" bestFit="1" customWidth="1"/>
    <col min="6918" max="6918" width="13.453125" style="32" customWidth="1"/>
    <col min="6919" max="6919" width="7.26953125" style="32" bestFit="1" customWidth="1"/>
    <col min="6920" max="6920" width="15.453125" style="32" bestFit="1" customWidth="1"/>
    <col min="6921" max="6921" width="7.26953125" style="32" bestFit="1" customWidth="1"/>
    <col min="6922" max="6922" width="19.7265625" style="32" bestFit="1" customWidth="1"/>
    <col min="6923" max="6923" width="7.26953125" style="32" bestFit="1" customWidth="1"/>
    <col min="6924" max="6924" width="26.81640625" style="32" bestFit="1" customWidth="1"/>
    <col min="6925" max="6925" width="19.81640625" style="32" bestFit="1" customWidth="1"/>
    <col min="6926" max="7160" width="11.453125" style="32"/>
    <col min="7161" max="7161" width="2.26953125" style="32" customWidth="1"/>
    <col min="7162" max="7162" width="49" style="32" customWidth="1"/>
    <col min="7163" max="7163" width="16.81640625" style="32" customWidth="1"/>
    <col min="7164" max="7164" width="1.1796875" style="32" customWidth="1"/>
    <col min="7165" max="7165" width="20.7265625" style="32" customWidth="1"/>
    <col min="7166" max="7166" width="17.7265625" style="32" customWidth="1"/>
    <col min="7167" max="7167" width="18.1796875" style="32" customWidth="1"/>
    <col min="7168" max="7168" width="17.1796875" style="32" customWidth="1"/>
    <col min="7169" max="7169" width="22.26953125" style="32" bestFit="1" customWidth="1"/>
    <col min="7170" max="7170" width="22.1796875" style="32" customWidth="1"/>
    <col min="7171" max="7171" width="17.81640625" style="32" customWidth="1"/>
    <col min="7172" max="7172" width="22.453125" style="32" customWidth="1"/>
    <col min="7173" max="7173" width="10.1796875" style="32" bestFit="1" customWidth="1"/>
    <col min="7174" max="7174" width="13.453125" style="32" customWidth="1"/>
    <col min="7175" max="7175" width="7.26953125" style="32" bestFit="1" customWidth="1"/>
    <col min="7176" max="7176" width="15.453125" style="32" bestFit="1" customWidth="1"/>
    <col min="7177" max="7177" width="7.26953125" style="32" bestFit="1" customWidth="1"/>
    <col min="7178" max="7178" width="19.7265625" style="32" bestFit="1" customWidth="1"/>
    <col min="7179" max="7179" width="7.26953125" style="32" bestFit="1" customWidth="1"/>
    <col min="7180" max="7180" width="26.81640625" style="32" bestFit="1" customWidth="1"/>
    <col min="7181" max="7181" width="19.81640625" style="32" bestFit="1" customWidth="1"/>
    <col min="7182" max="7416" width="11.453125" style="32"/>
    <col min="7417" max="7417" width="2.26953125" style="32" customWidth="1"/>
    <col min="7418" max="7418" width="49" style="32" customWidth="1"/>
    <col min="7419" max="7419" width="16.81640625" style="32" customWidth="1"/>
    <col min="7420" max="7420" width="1.1796875" style="32" customWidth="1"/>
    <col min="7421" max="7421" width="20.7265625" style="32" customWidth="1"/>
    <col min="7422" max="7422" width="17.7265625" style="32" customWidth="1"/>
    <col min="7423" max="7423" width="18.1796875" style="32" customWidth="1"/>
    <col min="7424" max="7424" width="17.1796875" style="32" customWidth="1"/>
    <col min="7425" max="7425" width="22.26953125" style="32" bestFit="1" customWidth="1"/>
    <col min="7426" max="7426" width="22.1796875" style="32" customWidth="1"/>
    <col min="7427" max="7427" width="17.81640625" style="32" customWidth="1"/>
    <col min="7428" max="7428" width="22.453125" style="32" customWidth="1"/>
    <col min="7429" max="7429" width="10.1796875" style="32" bestFit="1" customWidth="1"/>
    <col min="7430" max="7430" width="13.453125" style="32" customWidth="1"/>
    <col min="7431" max="7431" width="7.26953125" style="32" bestFit="1" customWidth="1"/>
    <col min="7432" max="7432" width="15.453125" style="32" bestFit="1" customWidth="1"/>
    <col min="7433" max="7433" width="7.26953125" style="32" bestFit="1" customWidth="1"/>
    <col min="7434" max="7434" width="19.7265625" style="32" bestFit="1" customWidth="1"/>
    <col min="7435" max="7435" width="7.26953125" style="32" bestFit="1" customWidth="1"/>
    <col min="7436" max="7436" width="26.81640625" style="32" bestFit="1" customWidth="1"/>
    <col min="7437" max="7437" width="19.81640625" style="32" bestFit="1" customWidth="1"/>
    <col min="7438" max="7672" width="11.453125" style="32"/>
    <col min="7673" max="7673" width="2.26953125" style="32" customWidth="1"/>
    <col min="7674" max="7674" width="49" style="32" customWidth="1"/>
    <col min="7675" max="7675" width="16.81640625" style="32" customWidth="1"/>
    <col min="7676" max="7676" width="1.1796875" style="32" customWidth="1"/>
    <col min="7677" max="7677" width="20.7265625" style="32" customWidth="1"/>
    <col min="7678" max="7678" width="17.7265625" style="32" customWidth="1"/>
    <col min="7679" max="7679" width="18.1796875" style="32" customWidth="1"/>
    <col min="7680" max="7680" width="17.1796875" style="32" customWidth="1"/>
    <col min="7681" max="7681" width="22.26953125" style="32" bestFit="1" customWidth="1"/>
    <col min="7682" max="7682" width="22.1796875" style="32" customWidth="1"/>
    <col min="7683" max="7683" width="17.81640625" style="32" customWidth="1"/>
    <col min="7684" max="7684" width="22.453125" style="32" customWidth="1"/>
    <col min="7685" max="7685" width="10.1796875" style="32" bestFit="1" customWidth="1"/>
    <col min="7686" max="7686" width="13.453125" style="32" customWidth="1"/>
    <col min="7687" max="7687" width="7.26953125" style="32" bestFit="1" customWidth="1"/>
    <col min="7688" max="7688" width="15.453125" style="32" bestFit="1" customWidth="1"/>
    <col min="7689" max="7689" width="7.26953125" style="32" bestFit="1" customWidth="1"/>
    <col min="7690" max="7690" width="19.7265625" style="32" bestFit="1" customWidth="1"/>
    <col min="7691" max="7691" width="7.26953125" style="32" bestFit="1" customWidth="1"/>
    <col min="7692" max="7692" width="26.81640625" style="32" bestFit="1" customWidth="1"/>
    <col min="7693" max="7693" width="19.81640625" style="32" bestFit="1" customWidth="1"/>
    <col min="7694" max="7928" width="11.453125" style="32"/>
    <col min="7929" max="7929" width="2.26953125" style="32" customWidth="1"/>
    <col min="7930" max="7930" width="49" style="32" customWidth="1"/>
    <col min="7931" max="7931" width="16.81640625" style="32" customWidth="1"/>
    <col min="7932" max="7932" width="1.1796875" style="32" customWidth="1"/>
    <col min="7933" max="7933" width="20.7265625" style="32" customWidth="1"/>
    <col min="7934" max="7934" width="17.7265625" style="32" customWidth="1"/>
    <col min="7935" max="7935" width="18.1796875" style="32" customWidth="1"/>
    <col min="7936" max="7936" width="17.1796875" style="32" customWidth="1"/>
    <col min="7937" max="7937" width="22.26953125" style="32" bestFit="1" customWidth="1"/>
    <col min="7938" max="7938" width="22.1796875" style="32" customWidth="1"/>
    <col min="7939" max="7939" width="17.81640625" style="32" customWidth="1"/>
    <col min="7940" max="7940" width="22.453125" style="32" customWidth="1"/>
    <col min="7941" max="7941" width="10.1796875" style="32" bestFit="1" customWidth="1"/>
    <col min="7942" max="7942" width="13.453125" style="32" customWidth="1"/>
    <col min="7943" max="7943" width="7.26953125" style="32" bestFit="1" customWidth="1"/>
    <col min="7944" max="7944" width="15.453125" style="32" bestFit="1" customWidth="1"/>
    <col min="7945" max="7945" width="7.26953125" style="32" bestFit="1" customWidth="1"/>
    <col min="7946" max="7946" width="19.7265625" style="32" bestFit="1" customWidth="1"/>
    <col min="7947" max="7947" width="7.26953125" style="32" bestFit="1" customWidth="1"/>
    <col min="7948" max="7948" width="26.81640625" style="32" bestFit="1" customWidth="1"/>
    <col min="7949" max="7949" width="19.81640625" style="32" bestFit="1" customWidth="1"/>
    <col min="7950" max="8184" width="11.453125" style="32"/>
    <col min="8185" max="8185" width="2.26953125" style="32" customWidth="1"/>
    <col min="8186" max="8186" width="49" style="32" customWidth="1"/>
    <col min="8187" max="8187" width="16.81640625" style="32" customWidth="1"/>
    <col min="8188" max="8188" width="1.1796875" style="32" customWidth="1"/>
    <col min="8189" max="8189" width="20.7265625" style="32" customWidth="1"/>
    <col min="8190" max="8190" width="17.7265625" style="32" customWidth="1"/>
    <col min="8191" max="8191" width="18.1796875" style="32" customWidth="1"/>
    <col min="8192" max="8192" width="17.1796875" style="32" customWidth="1"/>
    <col min="8193" max="8193" width="22.26953125" style="32" bestFit="1" customWidth="1"/>
    <col min="8194" max="8194" width="22.1796875" style="32" customWidth="1"/>
    <col min="8195" max="8195" width="17.81640625" style="32" customWidth="1"/>
    <col min="8196" max="8196" width="22.453125" style="32" customWidth="1"/>
    <col min="8197" max="8197" width="10.1796875" style="32" bestFit="1" customWidth="1"/>
    <col min="8198" max="8198" width="13.453125" style="32" customWidth="1"/>
    <col min="8199" max="8199" width="7.26953125" style="32" bestFit="1" customWidth="1"/>
    <col min="8200" max="8200" width="15.453125" style="32" bestFit="1" customWidth="1"/>
    <col min="8201" max="8201" width="7.26953125" style="32" bestFit="1" customWidth="1"/>
    <col min="8202" max="8202" width="19.7265625" style="32" bestFit="1" customWidth="1"/>
    <col min="8203" max="8203" width="7.26953125" style="32" bestFit="1" customWidth="1"/>
    <col min="8204" max="8204" width="26.81640625" style="32" bestFit="1" customWidth="1"/>
    <col min="8205" max="8205" width="19.81640625" style="32" bestFit="1" customWidth="1"/>
    <col min="8206" max="8440" width="11.453125" style="32"/>
    <col min="8441" max="8441" width="2.26953125" style="32" customWidth="1"/>
    <col min="8442" max="8442" width="49" style="32" customWidth="1"/>
    <col min="8443" max="8443" width="16.81640625" style="32" customWidth="1"/>
    <col min="8444" max="8444" width="1.1796875" style="32" customWidth="1"/>
    <col min="8445" max="8445" width="20.7265625" style="32" customWidth="1"/>
    <col min="8446" max="8446" width="17.7265625" style="32" customWidth="1"/>
    <col min="8447" max="8447" width="18.1796875" style="32" customWidth="1"/>
    <col min="8448" max="8448" width="17.1796875" style="32" customWidth="1"/>
    <col min="8449" max="8449" width="22.26953125" style="32" bestFit="1" customWidth="1"/>
    <col min="8450" max="8450" width="22.1796875" style="32" customWidth="1"/>
    <col min="8451" max="8451" width="17.81640625" style="32" customWidth="1"/>
    <col min="8452" max="8452" width="22.453125" style="32" customWidth="1"/>
    <col min="8453" max="8453" width="10.1796875" style="32" bestFit="1" customWidth="1"/>
    <col min="8454" max="8454" width="13.453125" style="32" customWidth="1"/>
    <col min="8455" max="8455" width="7.26953125" style="32" bestFit="1" customWidth="1"/>
    <col min="8456" max="8456" width="15.453125" style="32" bestFit="1" customWidth="1"/>
    <col min="8457" max="8457" width="7.26953125" style="32" bestFit="1" customWidth="1"/>
    <col min="8458" max="8458" width="19.7265625" style="32" bestFit="1" customWidth="1"/>
    <col min="8459" max="8459" width="7.26953125" style="32" bestFit="1" customWidth="1"/>
    <col min="8460" max="8460" width="26.81640625" style="32" bestFit="1" customWidth="1"/>
    <col min="8461" max="8461" width="19.81640625" style="32" bestFit="1" customWidth="1"/>
    <col min="8462" max="8696" width="11.453125" style="32"/>
    <col min="8697" max="8697" width="2.26953125" style="32" customWidth="1"/>
    <col min="8698" max="8698" width="49" style="32" customWidth="1"/>
    <col min="8699" max="8699" width="16.81640625" style="32" customWidth="1"/>
    <col min="8700" max="8700" width="1.1796875" style="32" customWidth="1"/>
    <col min="8701" max="8701" width="20.7265625" style="32" customWidth="1"/>
    <col min="8702" max="8702" width="17.7265625" style="32" customWidth="1"/>
    <col min="8703" max="8703" width="18.1796875" style="32" customWidth="1"/>
    <col min="8704" max="8704" width="17.1796875" style="32" customWidth="1"/>
    <col min="8705" max="8705" width="22.26953125" style="32" bestFit="1" customWidth="1"/>
    <col min="8706" max="8706" width="22.1796875" style="32" customWidth="1"/>
    <col min="8707" max="8707" width="17.81640625" style="32" customWidth="1"/>
    <col min="8708" max="8708" width="22.453125" style="32" customWidth="1"/>
    <col min="8709" max="8709" width="10.1796875" style="32" bestFit="1" customWidth="1"/>
    <col min="8710" max="8710" width="13.453125" style="32" customWidth="1"/>
    <col min="8711" max="8711" width="7.26953125" style="32" bestFit="1" customWidth="1"/>
    <col min="8712" max="8712" width="15.453125" style="32" bestFit="1" customWidth="1"/>
    <col min="8713" max="8713" width="7.26953125" style="32" bestFit="1" customWidth="1"/>
    <col min="8714" max="8714" width="19.7265625" style="32" bestFit="1" customWidth="1"/>
    <col min="8715" max="8715" width="7.26953125" style="32" bestFit="1" customWidth="1"/>
    <col min="8716" max="8716" width="26.81640625" style="32" bestFit="1" customWidth="1"/>
    <col min="8717" max="8717" width="19.81640625" style="32" bestFit="1" customWidth="1"/>
    <col min="8718" max="8952" width="11.453125" style="32"/>
    <col min="8953" max="8953" width="2.26953125" style="32" customWidth="1"/>
    <col min="8954" max="8954" width="49" style="32" customWidth="1"/>
    <col min="8955" max="8955" width="16.81640625" style="32" customWidth="1"/>
    <col min="8956" max="8956" width="1.1796875" style="32" customWidth="1"/>
    <col min="8957" max="8957" width="20.7265625" style="32" customWidth="1"/>
    <col min="8958" max="8958" width="17.7265625" style="32" customWidth="1"/>
    <col min="8959" max="8959" width="18.1796875" style="32" customWidth="1"/>
    <col min="8960" max="8960" width="17.1796875" style="32" customWidth="1"/>
    <col min="8961" max="8961" width="22.26953125" style="32" bestFit="1" customWidth="1"/>
    <col min="8962" max="8962" width="22.1796875" style="32" customWidth="1"/>
    <col min="8963" max="8963" width="17.81640625" style="32" customWidth="1"/>
    <col min="8964" max="8964" width="22.453125" style="32" customWidth="1"/>
    <col min="8965" max="8965" width="10.1796875" style="32" bestFit="1" customWidth="1"/>
    <col min="8966" max="8966" width="13.453125" style="32" customWidth="1"/>
    <col min="8967" max="8967" width="7.26953125" style="32" bestFit="1" customWidth="1"/>
    <col min="8968" max="8968" width="15.453125" style="32" bestFit="1" customWidth="1"/>
    <col min="8969" max="8969" width="7.26953125" style="32" bestFit="1" customWidth="1"/>
    <col min="8970" max="8970" width="19.7265625" style="32" bestFit="1" customWidth="1"/>
    <col min="8971" max="8971" width="7.26953125" style="32" bestFit="1" customWidth="1"/>
    <col min="8972" max="8972" width="26.81640625" style="32" bestFit="1" customWidth="1"/>
    <col min="8973" max="8973" width="19.81640625" style="32" bestFit="1" customWidth="1"/>
    <col min="8974" max="9208" width="11.453125" style="32"/>
    <col min="9209" max="9209" width="2.26953125" style="32" customWidth="1"/>
    <col min="9210" max="9210" width="49" style="32" customWidth="1"/>
    <col min="9211" max="9211" width="16.81640625" style="32" customWidth="1"/>
    <col min="9212" max="9212" width="1.1796875" style="32" customWidth="1"/>
    <col min="9213" max="9213" width="20.7265625" style="32" customWidth="1"/>
    <col min="9214" max="9214" width="17.7265625" style="32" customWidth="1"/>
    <col min="9215" max="9215" width="18.1796875" style="32" customWidth="1"/>
    <col min="9216" max="9216" width="17.1796875" style="32" customWidth="1"/>
    <col min="9217" max="9217" width="22.26953125" style="32" bestFit="1" customWidth="1"/>
    <col min="9218" max="9218" width="22.1796875" style="32" customWidth="1"/>
    <col min="9219" max="9219" width="17.81640625" style="32" customWidth="1"/>
    <col min="9220" max="9220" width="22.453125" style="32" customWidth="1"/>
    <col min="9221" max="9221" width="10.1796875" style="32" bestFit="1" customWidth="1"/>
    <col min="9222" max="9222" width="13.453125" style="32" customWidth="1"/>
    <col min="9223" max="9223" width="7.26953125" style="32" bestFit="1" customWidth="1"/>
    <col min="9224" max="9224" width="15.453125" style="32" bestFit="1" customWidth="1"/>
    <col min="9225" max="9225" width="7.26953125" style="32" bestFit="1" customWidth="1"/>
    <col min="9226" max="9226" width="19.7265625" style="32" bestFit="1" customWidth="1"/>
    <col min="9227" max="9227" width="7.26953125" style="32" bestFit="1" customWidth="1"/>
    <col min="9228" max="9228" width="26.81640625" style="32" bestFit="1" customWidth="1"/>
    <col min="9229" max="9229" width="19.81640625" style="32" bestFit="1" customWidth="1"/>
    <col min="9230" max="9464" width="11.453125" style="32"/>
    <col min="9465" max="9465" width="2.26953125" style="32" customWidth="1"/>
    <col min="9466" max="9466" width="49" style="32" customWidth="1"/>
    <col min="9467" max="9467" width="16.81640625" style="32" customWidth="1"/>
    <col min="9468" max="9468" width="1.1796875" style="32" customWidth="1"/>
    <col min="9469" max="9469" width="20.7265625" style="32" customWidth="1"/>
    <col min="9470" max="9470" width="17.7265625" style="32" customWidth="1"/>
    <col min="9471" max="9471" width="18.1796875" style="32" customWidth="1"/>
    <col min="9472" max="9472" width="17.1796875" style="32" customWidth="1"/>
    <col min="9473" max="9473" width="22.26953125" style="32" bestFit="1" customWidth="1"/>
    <col min="9474" max="9474" width="22.1796875" style="32" customWidth="1"/>
    <col min="9475" max="9475" width="17.81640625" style="32" customWidth="1"/>
    <col min="9476" max="9476" width="22.453125" style="32" customWidth="1"/>
    <col min="9477" max="9477" width="10.1796875" style="32" bestFit="1" customWidth="1"/>
    <col min="9478" max="9478" width="13.453125" style="32" customWidth="1"/>
    <col min="9479" max="9479" width="7.26953125" style="32" bestFit="1" customWidth="1"/>
    <col min="9480" max="9480" width="15.453125" style="32" bestFit="1" customWidth="1"/>
    <col min="9481" max="9481" width="7.26953125" style="32" bestFit="1" customWidth="1"/>
    <col min="9482" max="9482" width="19.7265625" style="32" bestFit="1" customWidth="1"/>
    <col min="9483" max="9483" width="7.26953125" style="32" bestFit="1" customWidth="1"/>
    <col min="9484" max="9484" width="26.81640625" style="32" bestFit="1" customWidth="1"/>
    <col min="9485" max="9485" width="19.81640625" style="32" bestFit="1" customWidth="1"/>
    <col min="9486" max="9720" width="11.453125" style="32"/>
    <col min="9721" max="9721" width="2.26953125" style="32" customWidth="1"/>
    <col min="9722" max="9722" width="49" style="32" customWidth="1"/>
    <col min="9723" max="9723" width="16.81640625" style="32" customWidth="1"/>
    <col min="9724" max="9724" width="1.1796875" style="32" customWidth="1"/>
    <col min="9725" max="9725" width="20.7265625" style="32" customWidth="1"/>
    <col min="9726" max="9726" width="17.7265625" style="32" customWidth="1"/>
    <col min="9727" max="9727" width="18.1796875" style="32" customWidth="1"/>
    <col min="9728" max="9728" width="17.1796875" style="32" customWidth="1"/>
    <col min="9729" max="9729" width="22.26953125" style="32" bestFit="1" customWidth="1"/>
    <col min="9730" max="9730" width="22.1796875" style="32" customWidth="1"/>
    <col min="9731" max="9731" width="17.81640625" style="32" customWidth="1"/>
    <col min="9732" max="9732" width="22.453125" style="32" customWidth="1"/>
    <col min="9733" max="9733" width="10.1796875" style="32" bestFit="1" customWidth="1"/>
    <col min="9734" max="9734" width="13.453125" style="32" customWidth="1"/>
    <col min="9735" max="9735" width="7.26953125" style="32" bestFit="1" customWidth="1"/>
    <col min="9736" max="9736" width="15.453125" style="32" bestFit="1" customWidth="1"/>
    <col min="9737" max="9737" width="7.26953125" style="32" bestFit="1" customWidth="1"/>
    <col min="9738" max="9738" width="19.7265625" style="32" bestFit="1" customWidth="1"/>
    <col min="9739" max="9739" width="7.26953125" style="32" bestFit="1" customWidth="1"/>
    <col min="9740" max="9740" width="26.81640625" style="32" bestFit="1" customWidth="1"/>
    <col min="9741" max="9741" width="19.81640625" style="32" bestFit="1" customWidth="1"/>
    <col min="9742" max="9976" width="11.453125" style="32"/>
    <col min="9977" max="9977" width="2.26953125" style="32" customWidth="1"/>
    <col min="9978" max="9978" width="49" style="32" customWidth="1"/>
    <col min="9979" max="9979" width="16.81640625" style="32" customWidth="1"/>
    <col min="9980" max="9980" width="1.1796875" style="32" customWidth="1"/>
    <col min="9981" max="9981" width="20.7265625" style="32" customWidth="1"/>
    <col min="9982" max="9982" width="17.7265625" style="32" customWidth="1"/>
    <col min="9983" max="9983" width="18.1796875" style="32" customWidth="1"/>
    <col min="9984" max="9984" width="17.1796875" style="32" customWidth="1"/>
    <col min="9985" max="9985" width="22.26953125" style="32" bestFit="1" customWidth="1"/>
    <col min="9986" max="9986" width="22.1796875" style="32" customWidth="1"/>
    <col min="9987" max="9987" width="17.81640625" style="32" customWidth="1"/>
    <col min="9988" max="9988" width="22.453125" style="32" customWidth="1"/>
    <col min="9989" max="9989" width="10.1796875" style="32" bestFit="1" customWidth="1"/>
    <col min="9990" max="9990" width="13.453125" style="32" customWidth="1"/>
    <col min="9991" max="9991" width="7.26953125" style="32" bestFit="1" customWidth="1"/>
    <col min="9992" max="9992" width="15.453125" style="32" bestFit="1" customWidth="1"/>
    <col min="9993" max="9993" width="7.26953125" style="32" bestFit="1" customWidth="1"/>
    <col min="9994" max="9994" width="19.7265625" style="32" bestFit="1" customWidth="1"/>
    <col min="9995" max="9995" width="7.26953125" style="32" bestFit="1" customWidth="1"/>
    <col min="9996" max="9996" width="26.81640625" style="32" bestFit="1" customWidth="1"/>
    <col min="9997" max="9997" width="19.81640625" style="32" bestFit="1" customWidth="1"/>
    <col min="9998" max="10232" width="11.453125" style="32"/>
    <col min="10233" max="10233" width="2.26953125" style="32" customWidth="1"/>
    <col min="10234" max="10234" width="49" style="32" customWidth="1"/>
    <col min="10235" max="10235" width="16.81640625" style="32" customWidth="1"/>
    <col min="10236" max="10236" width="1.1796875" style="32" customWidth="1"/>
    <col min="10237" max="10237" width="20.7265625" style="32" customWidth="1"/>
    <col min="10238" max="10238" width="17.7265625" style="32" customWidth="1"/>
    <col min="10239" max="10239" width="18.1796875" style="32" customWidth="1"/>
    <col min="10240" max="10240" width="17.1796875" style="32" customWidth="1"/>
    <col min="10241" max="10241" width="22.26953125" style="32" bestFit="1" customWidth="1"/>
    <col min="10242" max="10242" width="22.1796875" style="32" customWidth="1"/>
    <col min="10243" max="10243" width="17.81640625" style="32" customWidth="1"/>
    <col min="10244" max="10244" width="22.453125" style="32" customWidth="1"/>
    <col min="10245" max="10245" width="10.1796875" style="32" bestFit="1" customWidth="1"/>
    <col min="10246" max="10246" width="13.453125" style="32" customWidth="1"/>
    <col min="10247" max="10247" width="7.26953125" style="32" bestFit="1" customWidth="1"/>
    <col min="10248" max="10248" width="15.453125" style="32" bestFit="1" customWidth="1"/>
    <col min="10249" max="10249" width="7.26953125" style="32" bestFit="1" customWidth="1"/>
    <col min="10250" max="10250" width="19.7265625" style="32" bestFit="1" customWidth="1"/>
    <col min="10251" max="10251" width="7.26953125" style="32" bestFit="1" customWidth="1"/>
    <col min="10252" max="10252" width="26.81640625" style="32" bestFit="1" customWidth="1"/>
    <col min="10253" max="10253" width="19.81640625" style="32" bestFit="1" customWidth="1"/>
    <col min="10254" max="10488" width="11.453125" style="32"/>
    <col min="10489" max="10489" width="2.26953125" style="32" customWidth="1"/>
    <col min="10490" max="10490" width="49" style="32" customWidth="1"/>
    <col min="10491" max="10491" width="16.81640625" style="32" customWidth="1"/>
    <col min="10492" max="10492" width="1.1796875" style="32" customWidth="1"/>
    <col min="10493" max="10493" width="20.7265625" style="32" customWidth="1"/>
    <col min="10494" max="10494" width="17.7265625" style="32" customWidth="1"/>
    <col min="10495" max="10495" width="18.1796875" style="32" customWidth="1"/>
    <col min="10496" max="10496" width="17.1796875" style="32" customWidth="1"/>
    <col min="10497" max="10497" width="22.26953125" style="32" bestFit="1" customWidth="1"/>
    <col min="10498" max="10498" width="22.1796875" style="32" customWidth="1"/>
    <col min="10499" max="10499" width="17.81640625" style="32" customWidth="1"/>
    <col min="10500" max="10500" width="22.453125" style="32" customWidth="1"/>
    <col min="10501" max="10501" width="10.1796875" style="32" bestFit="1" customWidth="1"/>
    <col min="10502" max="10502" width="13.453125" style="32" customWidth="1"/>
    <col min="10503" max="10503" width="7.26953125" style="32" bestFit="1" customWidth="1"/>
    <col min="10504" max="10504" width="15.453125" style="32" bestFit="1" customWidth="1"/>
    <col min="10505" max="10505" width="7.26953125" style="32" bestFit="1" customWidth="1"/>
    <col min="10506" max="10506" width="19.7265625" style="32" bestFit="1" customWidth="1"/>
    <col min="10507" max="10507" width="7.26953125" style="32" bestFit="1" customWidth="1"/>
    <col min="10508" max="10508" width="26.81640625" style="32" bestFit="1" customWidth="1"/>
    <col min="10509" max="10509" width="19.81640625" style="32" bestFit="1" customWidth="1"/>
    <col min="10510" max="10744" width="11.453125" style="32"/>
    <col min="10745" max="10745" width="2.26953125" style="32" customWidth="1"/>
    <col min="10746" max="10746" width="49" style="32" customWidth="1"/>
    <col min="10747" max="10747" width="16.81640625" style="32" customWidth="1"/>
    <col min="10748" max="10748" width="1.1796875" style="32" customWidth="1"/>
    <col min="10749" max="10749" width="20.7265625" style="32" customWidth="1"/>
    <col min="10750" max="10750" width="17.7265625" style="32" customWidth="1"/>
    <col min="10751" max="10751" width="18.1796875" style="32" customWidth="1"/>
    <col min="10752" max="10752" width="17.1796875" style="32" customWidth="1"/>
    <col min="10753" max="10753" width="22.26953125" style="32" bestFit="1" customWidth="1"/>
    <col min="10754" max="10754" width="22.1796875" style="32" customWidth="1"/>
    <col min="10755" max="10755" width="17.81640625" style="32" customWidth="1"/>
    <col min="10756" max="10756" width="22.453125" style="32" customWidth="1"/>
    <col min="10757" max="10757" width="10.1796875" style="32" bestFit="1" customWidth="1"/>
    <col min="10758" max="10758" width="13.453125" style="32" customWidth="1"/>
    <col min="10759" max="10759" width="7.26953125" style="32" bestFit="1" customWidth="1"/>
    <col min="10760" max="10760" width="15.453125" style="32" bestFit="1" customWidth="1"/>
    <col min="10761" max="10761" width="7.26953125" style="32" bestFit="1" customWidth="1"/>
    <col min="10762" max="10762" width="19.7265625" style="32" bestFit="1" customWidth="1"/>
    <col min="10763" max="10763" width="7.26953125" style="32" bestFit="1" customWidth="1"/>
    <col min="10764" max="10764" width="26.81640625" style="32" bestFit="1" customWidth="1"/>
    <col min="10765" max="10765" width="19.81640625" style="32" bestFit="1" customWidth="1"/>
    <col min="10766" max="11000" width="11.453125" style="32"/>
    <col min="11001" max="11001" width="2.26953125" style="32" customWidth="1"/>
    <col min="11002" max="11002" width="49" style="32" customWidth="1"/>
    <col min="11003" max="11003" width="16.81640625" style="32" customWidth="1"/>
    <col min="11004" max="11004" width="1.1796875" style="32" customWidth="1"/>
    <col min="11005" max="11005" width="20.7265625" style="32" customWidth="1"/>
    <col min="11006" max="11006" width="17.7265625" style="32" customWidth="1"/>
    <col min="11007" max="11007" width="18.1796875" style="32" customWidth="1"/>
    <col min="11008" max="11008" width="17.1796875" style="32" customWidth="1"/>
    <col min="11009" max="11009" width="22.26953125" style="32" bestFit="1" customWidth="1"/>
    <col min="11010" max="11010" width="22.1796875" style="32" customWidth="1"/>
    <col min="11011" max="11011" width="17.81640625" style="32" customWidth="1"/>
    <col min="11012" max="11012" width="22.453125" style="32" customWidth="1"/>
    <col min="11013" max="11013" width="10.1796875" style="32" bestFit="1" customWidth="1"/>
    <col min="11014" max="11014" width="13.453125" style="32" customWidth="1"/>
    <col min="11015" max="11015" width="7.26953125" style="32" bestFit="1" customWidth="1"/>
    <col min="11016" max="11016" width="15.453125" style="32" bestFit="1" customWidth="1"/>
    <col min="11017" max="11017" width="7.26953125" style="32" bestFit="1" customWidth="1"/>
    <col min="11018" max="11018" width="19.7265625" style="32" bestFit="1" customWidth="1"/>
    <col min="11019" max="11019" width="7.26953125" style="32" bestFit="1" customWidth="1"/>
    <col min="11020" max="11020" width="26.81640625" style="32" bestFit="1" customWidth="1"/>
    <col min="11021" max="11021" width="19.81640625" style="32" bestFit="1" customWidth="1"/>
    <col min="11022" max="11256" width="11.453125" style="32"/>
    <col min="11257" max="11257" width="2.26953125" style="32" customWidth="1"/>
    <col min="11258" max="11258" width="49" style="32" customWidth="1"/>
    <col min="11259" max="11259" width="16.81640625" style="32" customWidth="1"/>
    <col min="11260" max="11260" width="1.1796875" style="32" customWidth="1"/>
    <col min="11261" max="11261" width="20.7265625" style="32" customWidth="1"/>
    <col min="11262" max="11262" width="17.7265625" style="32" customWidth="1"/>
    <col min="11263" max="11263" width="18.1796875" style="32" customWidth="1"/>
    <col min="11264" max="11264" width="17.1796875" style="32" customWidth="1"/>
    <col min="11265" max="11265" width="22.26953125" style="32" bestFit="1" customWidth="1"/>
    <col min="11266" max="11266" width="22.1796875" style="32" customWidth="1"/>
    <col min="11267" max="11267" width="17.81640625" style="32" customWidth="1"/>
    <col min="11268" max="11268" width="22.453125" style="32" customWidth="1"/>
    <col min="11269" max="11269" width="10.1796875" style="32" bestFit="1" customWidth="1"/>
    <col min="11270" max="11270" width="13.453125" style="32" customWidth="1"/>
    <col min="11271" max="11271" width="7.26953125" style="32" bestFit="1" customWidth="1"/>
    <col min="11272" max="11272" width="15.453125" style="32" bestFit="1" customWidth="1"/>
    <col min="11273" max="11273" width="7.26953125" style="32" bestFit="1" customWidth="1"/>
    <col min="11274" max="11274" width="19.7265625" style="32" bestFit="1" customWidth="1"/>
    <col min="11275" max="11275" width="7.26953125" style="32" bestFit="1" customWidth="1"/>
    <col min="11276" max="11276" width="26.81640625" style="32" bestFit="1" customWidth="1"/>
    <col min="11277" max="11277" width="19.81640625" style="32" bestFit="1" customWidth="1"/>
    <col min="11278" max="11512" width="11.453125" style="32"/>
    <col min="11513" max="11513" width="2.26953125" style="32" customWidth="1"/>
    <col min="11514" max="11514" width="49" style="32" customWidth="1"/>
    <col min="11515" max="11515" width="16.81640625" style="32" customWidth="1"/>
    <col min="11516" max="11516" width="1.1796875" style="32" customWidth="1"/>
    <col min="11517" max="11517" width="20.7265625" style="32" customWidth="1"/>
    <col min="11518" max="11518" width="17.7265625" style="32" customWidth="1"/>
    <col min="11519" max="11519" width="18.1796875" style="32" customWidth="1"/>
    <col min="11520" max="11520" width="17.1796875" style="32" customWidth="1"/>
    <col min="11521" max="11521" width="22.26953125" style="32" bestFit="1" customWidth="1"/>
    <col min="11522" max="11522" width="22.1796875" style="32" customWidth="1"/>
    <col min="11523" max="11523" width="17.81640625" style="32" customWidth="1"/>
    <col min="11524" max="11524" width="22.453125" style="32" customWidth="1"/>
    <col min="11525" max="11525" width="10.1796875" style="32" bestFit="1" customWidth="1"/>
    <col min="11526" max="11526" width="13.453125" style="32" customWidth="1"/>
    <col min="11527" max="11527" width="7.26953125" style="32" bestFit="1" customWidth="1"/>
    <col min="11528" max="11528" width="15.453125" style="32" bestFit="1" customWidth="1"/>
    <col min="11529" max="11529" width="7.26953125" style="32" bestFit="1" customWidth="1"/>
    <col min="11530" max="11530" width="19.7265625" style="32" bestFit="1" customWidth="1"/>
    <col min="11531" max="11531" width="7.26953125" style="32" bestFit="1" customWidth="1"/>
    <col min="11532" max="11532" width="26.81640625" style="32" bestFit="1" customWidth="1"/>
    <col min="11533" max="11533" width="19.81640625" style="32" bestFit="1" customWidth="1"/>
    <col min="11534" max="11768" width="11.453125" style="32"/>
    <col min="11769" max="11769" width="2.26953125" style="32" customWidth="1"/>
    <col min="11770" max="11770" width="49" style="32" customWidth="1"/>
    <col min="11771" max="11771" width="16.81640625" style="32" customWidth="1"/>
    <col min="11772" max="11772" width="1.1796875" style="32" customWidth="1"/>
    <col min="11773" max="11773" width="20.7265625" style="32" customWidth="1"/>
    <col min="11774" max="11774" width="17.7265625" style="32" customWidth="1"/>
    <col min="11775" max="11775" width="18.1796875" style="32" customWidth="1"/>
    <col min="11776" max="11776" width="17.1796875" style="32" customWidth="1"/>
    <col min="11777" max="11777" width="22.26953125" style="32" bestFit="1" customWidth="1"/>
    <col min="11778" max="11778" width="22.1796875" style="32" customWidth="1"/>
    <col min="11779" max="11779" width="17.81640625" style="32" customWidth="1"/>
    <col min="11780" max="11780" width="22.453125" style="32" customWidth="1"/>
    <col min="11781" max="11781" width="10.1796875" style="32" bestFit="1" customWidth="1"/>
    <col min="11782" max="11782" width="13.453125" style="32" customWidth="1"/>
    <col min="11783" max="11783" width="7.26953125" style="32" bestFit="1" customWidth="1"/>
    <col min="11784" max="11784" width="15.453125" style="32" bestFit="1" customWidth="1"/>
    <col min="11785" max="11785" width="7.26953125" style="32" bestFit="1" customWidth="1"/>
    <col min="11786" max="11786" width="19.7265625" style="32" bestFit="1" customWidth="1"/>
    <col min="11787" max="11787" width="7.26953125" style="32" bestFit="1" customWidth="1"/>
    <col min="11788" max="11788" width="26.81640625" style="32" bestFit="1" customWidth="1"/>
    <col min="11789" max="11789" width="19.81640625" style="32" bestFit="1" customWidth="1"/>
    <col min="11790" max="12024" width="11.453125" style="32"/>
    <col min="12025" max="12025" width="2.26953125" style="32" customWidth="1"/>
    <col min="12026" max="12026" width="49" style="32" customWidth="1"/>
    <col min="12027" max="12027" width="16.81640625" style="32" customWidth="1"/>
    <col min="12028" max="12028" width="1.1796875" style="32" customWidth="1"/>
    <col min="12029" max="12029" width="20.7265625" style="32" customWidth="1"/>
    <col min="12030" max="12030" width="17.7265625" style="32" customWidth="1"/>
    <col min="12031" max="12031" width="18.1796875" style="32" customWidth="1"/>
    <col min="12032" max="12032" width="17.1796875" style="32" customWidth="1"/>
    <col min="12033" max="12033" width="22.26953125" style="32" bestFit="1" customWidth="1"/>
    <col min="12034" max="12034" width="22.1796875" style="32" customWidth="1"/>
    <col min="12035" max="12035" width="17.81640625" style="32" customWidth="1"/>
    <col min="12036" max="12036" width="22.453125" style="32" customWidth="1"/>
    <col min="12037" max="12037" width="10.1796875" style="32" bestFit="1" customWidth="1"/>
    <col min="12038" max="12038" width="13.453125" style="32" customWidth="1"/>
    <col min="12039" max="12039" width="7.26953125" style="32" bestFit="1" customWidth="1"/>
    <col min="12040" max="12040" width="15.453125" style="32" bestFit="1" customWidth="1"/>
    <col min="12041" max="12041" width="7.26953125" style="32" bestFit="1" customWidth="1"/>
    <col min="12042" max="12042" width="19.7265625" style="32" bestFit="1" customWidth="1"/>
    <col min="12043" max="12043" width="7.26953125" style="32" bestFit="1" customWidth="1"/>
    <col min="12044" max="12044" width="26.81640625" style="32" bestFit="1" customWidth="1"/>
    <col min="12045" max="12045" width="19.81640625" style="32" bestFit="1" customWidth="1"/>
    <col min="12046" max="12280" width="11.453125" style="32"/>
    <col min="12281" max="12281" width="2.26953125" style="32" customWidth="1"/>
    <col min="12282" max="12282" width="49" style="32" customWidth="1"/>
    <col min="12283" max="12283" width="16.81640625" style="32" customWidth="1"/>
    <col min="12284" max="12284" width="1.1796875" style="32" customWidth="1"/>
    <col min="12285" max="12285" width="20.7265625" style="32" customWidth="1"/>
    <col min="12286" max="12286" width="17.7265625" style="32" customWidth="1"/>
    <col min="12287" max="12287" width="18.1796875" style="32" customWidth="1"/>
    <col min="12288" max="12288" width="17.1796875" style="32" customWidth="1"/>
    <col min="12289" max="12289" width="22.26953125" style="32" bestFit="1" customWidth="1"/>
    <col min="12290" max="12290" width="22.1796875" style="32" customWidth="1"/>
    <col min="12291" max="12291" width="17.81640625" style="32" customWidth="1"/>
    <col min="12292" max="12292" width="22.453125" style="32" customWidth="1"/>
    <col min="12293" max="12293" width="10.1796875" style="32" bestFit="1" customWidth="1"/>
    <col min="12294" max="12294" width="13.453125" style="32" customWidth="1"/>
    <col min="12295" max="12295" width="7.26953125" style="32" bestFit="1" customWidth="1"/>
    <col min="12296" max="12296" width="15.453125" style="32" bestFit="1" customWidth="1"/>
    <col min="12297" max="12297" width="7.26953125" style="32" bestFit="1" customWidth="1"/>
    <col min="12298" max="12298" width="19.7265625" style="32" bestFit="1" customWidth="1"/>
    <col min="12299" max="12299" width="7.26953125" style="32" bestFit="1" customWidth="1"/>
    <col min="12300" max="12300" width="26.81640625" style="32" bestFit="1" customWidth="1"/>
    <col min="12301" max="12301" width="19.81640625" style="32" bestFit="1" customWidth="1"/>
    <col min="12302" max="12536" width="11.453125" style="32"/>
    <col min="12537" max="12537" width="2.26953125" style="32" customWidth="1"/>
    <col min="12538" max="12538" width="49" style="32" customWidth="1"/>
    <col min="12539" max="12539" width="16.81640625" style="32" customWidth="1"/>
    <col min="12540" max="12540" width="1.1796875" style="32" customWidth="1"/>
    <col min="12541" max="12541" width="20.7265625" style="32" customWidth="1"/>
    <col min="12542" max="12542" width="17.7265625" style="32" customWidth="1"/>
    <col min="12543" max="12543" width="18.1796875" style="32" customWidth="1"/>
    <col min="12544" max="12544" width="17.1796875" style="32" customWidth="1"/>
    <col min="12545" max="12545" width="22.26953125" style="32" bestFit="1" customWidth="1"/>
    <col min="12546" max="12546" width="22.1796875" style="32" customWidth="1"/>
    <col min="12547" max="12547" width="17.81640625" style="32" customWidth="1"/>
    <col min="12548" max="12548" width="22.453125" style="32" customWidth="1"/>
    <col min="12549" max="12549" width="10.1796875" style="32" bestFit="1" customWidth="1"/>
    <col min="12550" max="12550" width="13.453125" style="32" customWidth="1"/>
    <col min="12551" max="12551" width="7.26953125" style="32" bestFit="1" customWidth="1"/>
    <col min="12552" max="12552" width="15.453125" style="32" bestFit="1" customWidth="1"/>
    <col min="12553" max="12553" width="7.26953125" style="32" bestFit="1" customWidth="1"/>
    <col min="12554" max="12554" width="19.7265625" style="32" bestFit="1" customWidth="1"/>
    <col min="12555" max="12555" width="7.26953125" style="32" bestFit="1" customWidth="1"/>
    <col min="12556" max="12556" width="26.81640625" style="32" bestFit="1" customWidth="1"/>
    <col min="12557" max="12557" width="19.81640625" style="32" bestFit="1" customWidth="1"/>
    <col min="12558" max="12792" width="11.453125" style="32"/>
    <col min="12793" max="12793" width="2.26953125" style="32" customWidth="1"/>
    <col min="12794" max="12794" width="49" style="32" customWidth="1"/>
    <col min="12795" max="12795" width="16.81640625" style="32" customWidth="1"/>
    <col min="12796" max="12796" width="1.1796875" style="32" customWidth="1"/>
    <col min="12797" max="12797" width="20.7265625" style="32" customWidth="1"/>
    <col min="12798" max="12798" width="17.7265625" style="32" customWidth="1"/>
    <col min="12799" max="12799" width="18.1796875" style="32" customWidth="1"/>
    <col min="12800" max="12800" width="17.1796875" style="32" customWidth="1"/>
    <col min="12801" max="12801" width="22.26953125" style="32" bestFit="1" customWidth="1"/>
    <col min="12802" max="12802" width="22.1796875" style="32" customWidth="1"/>
    <col min="12803" max="12803" width="17.81640625" style="32" customWidth="1"/>
    <col min="12804" max="12804" width="22.453125" style="32" customWidth="1"/>
    <col min="12805" max="12805" width="10.1796875" style="32" bestFit="1" customWidth="1"/>
    <col min="12806" max="12806" width="13.453125" style="32" customWidth="1"/>
    <col min="12807" max="12807" width="7.26953125" style="32" bestFit="1" customWidth="1"/>
    <col min="12808" max="12808" width="15.453125" style="32" bestFit="1" customWidth="1"/>
    <col min="12809" max="12809" width="7.26953125" style="32" bestFit="1" customWidth="1"/>
    <col min="12810" max="12810" width="19.7265625" style="32" bestFit="1" customWidth="1"/>
    <col min="12811" max="12811" width="7.26953125" style="32" bestFit="1" customWidth="1"/>
    <col min="12812" max="12812" width="26.81640625" style="32" bestFit="1" customWidth="1"/>
    <col min="12813" max="12813" width="19.81640625" style="32" bestFit="1" customWidth="1"/>
    <col min="12814" max="13048" width="11.453125" style="32"/>
    <col min="13049" max="13049" width="2.26953125" style="32" customWidth="1"/>
    <col min="13050" max="13050" width="49" style="32" customWidth="1"/>
    <col min="13051" max="13051" width="16.81640625" style="32" customWidth="1"/>
    <col min="13052" max="13052" width="1.1796875" style="32" customWidth="1"/>
    <col min="13053" max="13053" width="20.7265625" style="32" customWidth="1"/>
    <col min="13054" max="13054" width="17.7265625" style="32" customWidth="1"/>
    <col min="13055" max="13055" width="18.1796875" style="32" customWidth="1"/>
    <col min="13056" max="13056" width="17.1796875" style="32" customWidth="1"/>
    <col min="13057" max="13057" width="22.26953125" style="32" bestFit="1" customWidth="1"/>
    <col min="13058" max="13058" width="22.1796875" style="32" customWidth="1"/>
    <col min="13059" max="13059" width="17.81640625" style="32" customWidth="1"/>
    <col min="13060" max="13060" width="22.453125" style="32" customWidth="1"/>
    <col min="13061" max="13061" width="10.1796875" style="32" bestFit="1" customWidth="1"/>
    <col min="13062" max="13062" width="13.453125" style="32" customWidth="1"/>
    <col min="13063" max="13063" width="7.26953125" style="32" bestFit="1" customWidth="1"/>
    <col min="13064" max="13064" width="15.453125" style="32" bestFit="1" customWidth="1"/>
    <col min="13065" max="13065" width="7.26953125" style="32" bestFit="1" customWidth="1"/>
    <col min="13066" max="13066" width="19.7265625" style="32" bestFit="1" customWidth="1"/>
    <col min="13067" max="13067" width="7.26953125" style="32" bestFit="1" customWidth="1"/>
    <col min="13068" max="13068" width="26.81640625" style="32" bestFit="1" customWidth="1"/>
    <col min="13069" max="13069" width="19.81640625" style="32" bestFit="1" customWidth="1"/>
    <col min="13070" max="13304" width="11.453125" style="32"/>
    <col min="13305" max="13305" width="2.26953125" style="32" customWidth="1"/>
    <col min="13306" max="13306" width="49" style="32" customWidth="1"/>
    <col min="13307" max="13307" width="16.81640625" style="32" customWidth="1"/>
    <col min="13308" max="13308" width="1.1796875" style="32" customWidth="1"/>
    <col min="13309" max="13309" width="20.7265625" style="32" customWidth="1"/>
    <col min="13310" max="13310" width="17.7265625" style="32" customWidth="1"/>
    <col min="13311" max="13311" width="18.1796875" style="32" customWidth="1"/>
    <col min="13312" max="13312" width="17.1796875" style="32" customWidth="1"/>
    <col min="13313" max="13313" width="22.26953125" style="32" bestFit="1" customWidth="1"/>
    <col min="13314" max="13314" width="22.1796875" style="32" customWidth="1"/>
    <col min="13315" max="13315" width="17.81640625" style="32" customWidth="1"/>
    <col min="13316" max="13316" width="22.453125" style="32" customWidth="1"/>
    <col min="13317" max="13317" width="10.1796875" style="32" bestFit="1" customWidth="1"/>
    <col min="13318" max="13318" width="13.453125" style="32" customWidth="1"/>
    <col min="13319" max="13319" width="7.26953125" style="32" bestFit="1" customWidth="1"/>
    <col min="13320" max="13320" width="15.453125" style="32" bestFit="1" customWidth="1"/>
    <col min="13321" max="13321" width="7.26953125" style="32" bestFit="1" customWidth="1"/>
    <col min="13322" max="13322" width="19.7265625" style="32" bestFit="1" customWidth="1"/>
    <col min="13323" max="13323" width="7.26953125" style="32" bestFit="1" customWidth="1"/>
    <col min="13324" max="13324" width="26.81640625" style="32" bestFit="1" customWidth="1"/>
    <col min="13325" max="13325" width="19.81640625" style="32" bestFit="1" customWidth="1"/>
    <col min="13326" max="13560" width="11.453125" style="32"/>
    <col min="13561" max="13561" width="2.26953125" style="32" customWidth="1"/>
    <col min="13562" max="13562" width="49" style="32" customWidth="1"/>
    <col min="13563" max="13563" width="16.81640625" style="32" customWidth="1"/>
    <col min="13564" max="13564" width="1.1796875" style="32" customWidth="1"/>
    <col min="13565" max="13565" width="20.7265625" style="32" customWidth="1"/>
    <col min="13566" max="13566" width="17.7265625" style="32" customWidth="1"/>
    <col min="13567" max="13567" width="18.1796875" style="32" customWidth="1"/>
    <col min="13568" max="13568" width="17.1796875" style="32" customWidth="1"/>
    <col min="13569" max="13569" width="22.26953125" style="32" bestFit="1" customWidth="1"/>
    <col min="13570" max="13570" width="22.1796875" style="32" customWidth="1"/>
    <col min="13571" max="13571" width="17.81640625" style="32" customWidth="1"/>
    <col min="13572" max="13572" width="22.453125" style="32" customWidth="1"/>
    <col min="13573" max="13573" width="10.1796875" style="32" bestFit="1" customWidth="1"/>
    <col min="13574" max="13574" width="13.453125" style="32" customWidth="1"/>
    <col min="13575" max="13575" width="7.26953125" style="32" bestFit="1" customWidth="1"/>
    <col min="13576" max="13576" width="15.453125" style="32" bestFit="1" customWidth="1"/>
    <col min="13577" max="13577" width="7.26953125" style="32" bestFit="1" customWidth="1"/>
    <col min="13578" max="13578" width="19.7265625" style="32" bestFit="1" customWidth="1"/>
    <col min="13579" max="13579" width="7.26953125" style="32" bestFit="1" customWidth="1"/>
    <col min="13580" max="13580" width="26.81640625" style="32" bestFit="1" customWidth="1"/>
    <col min="13581" max="13581" width="19.81640625" style="32" bestFit="1" customWidth="1"/>
    <col min="13582" max="13816" width="11.453125" style="32"/>
    <col min="13817" max="13817" width="2.26953125" style="32" customWidth="1"/>
    <col min="13818" max="13818" width="49" style="32" customWidth="1"/>
    <col min="13819" max="13819" width="16.81640625" style="32" customWidth="1"/>
    <col min="13820" max="13820" width="1.1796875" style="32" customWidth="1"/>
    <col min="13821" max="13821" width="20.7265625" style="32" customWidth="1"/>
    <col min="13822" max="13822" width="17.7265625" style="32" customWidth="1"/>
    <col min="13823" max="13823" width="18.1796875" style="32" customWidth="1"/>
    <col min="13824" max="13824" width="17.1796875" style="32" customWidth="1"/>
    <col min="13825" max="13825" width="22.26953125" style="32" bestFit="1" customWidth="1"/>
    <col min="13826" max="13826" width="22.1796875" style="32" customWidth="1"/>
    <col min="13827" max="13827" width="17.81640625" style="32" customWidth="1"/>
    <col min="13828" max="13828" width="22.453125" style="32" customWidth="1"/>
    <col min="13829" max="13829" width="10.1796875" style="32" bestFit="1" customWidth="1"/>
    <col min="13830" max="13830" width="13.453125" style="32" customWidth="1"/>
    <col min="13831" max="13831" width="7.26953125" style="32" bestFit="1" customWidth="1"/>
    <col min="13832" max="13832" width="15.453125" style="32" bestFit="1" customWidth="1"/>
    <col min="13833" max="13833" width="7.26953125" style="32" bestFit="1" customWidth="1"/>
    <col min="13834" max="13834" width="19.7265625" style="32" bestFit="1" customWidth="1"/>
    <col min="13835" max="13835" width="7.26953125" style="32" bestFit="1" customWidth="1"/>
    <col min="13836" max="13836" width="26.81640625" style="32" bestFit="1" customWidth="1"/>
    <col min="13837" max="13837" width="19.81640625" style="32" bestFit="1" customWidth="1"/>
    <col min="13838" max="14072" width="11.453125" style="32"/>
    <col min="14073" max="14073" width="2.26953125" style="32" customWidth="1"/>
    <col min="14074" max="14074" width="49" style="32" customWidth="1"/>
    <col min="14075" max="14075" width="16.81640625" style="32" customWidth="1"/>
    <col min="14076" max="14076" width="1.1796875" style="32" customWidth="1"/>
    <col min="14077" max="14077" width="20.7265625" style="32" customWidth="1"/>
    <col min="14078" max="14078" width="17.7265625" style="32" customWidth="1"/>
    <col min="14079" max="14079" width="18.1796875" style="32" customWidth="1"/>
    <col min="14080" max="14080" width="17.1796875" style="32" customWidth="1"/>
    <col min="14081" max="14081" width="22.26953125" style="32" bestFit="1" customWidth="1"/>
    <col min="14082" max="14082" width="22.1796875" style="32" customWidth="1"/>
    <col min="14083" max="14083" width="17.81640625" style="32" customWidth="1"/>
    <col min="14084" max="14084" width="22.453125" style="32" customWidth="1"/>
    <col min="14085" max="14085" width="10.1796875" style="32" bestFit="1" customWidth="1"/>
    <col min="14086" max="14086" width="13.453125" style="32" customWidth="1"/>
    <col min="14087" max="14087" width="7.26953125" style="32" bestFit="1" customWidth="1"/>
    <col min="14088" max="14088" width="15.453125" style="32" bestFit="1" customWidth="1"/>
    <col min="14089" max="14089" width="7.26953125" style="32" bestFit="1" customWidth="1"/>
    <col min="14090" max="14090" width="19.7265625" style="32" bestFit="1" customWidth="1"/>
    <col min="14091" max="14091" width="7.26953125" style="32" bestFit="1" customWidth="1"/>
    <col min="14092" max="14092" width="26.81640625" style="32" bestFit="1" customWidth="1"/>
    <col min="14093" max="14093" width="19.81640625" style="32" bestFit="1" customWidth="1"/>
    <col min="14094" max="14328" width="11.453125" style="32"/>
    <col min="14329" max="14329" width="2.26953125" style="32" customWidth="1"/>
    <col min="14330" max="14330" width="49" style="32" customWidth="1"/>
    <col min="14331" max="14331" width="16.81640625" style="32" customWidth="1"/>
    <col min="14332" max="14332" width="1.1796875" style="32" customWidth="1"/>
    <col min="14333" max="14333" width="20.7265625" style="32" customWidth="1"/>
    <col min="14334" max="14334" width="17.7265625" style="32" customWidth="1"/>
    <col min="14335" max="14335" width="18.1796875" style="32" customWidth="1"/>
    <col min="14336" max="14336" width="17.1796875" style="32" customWidth="1"/>
    <col min="14337" max="14337" width="22.26953125" style="32" bestFit="1" customWidth="1"/>
    <col min="14338" max="14338" width="22.1796875" style="32" customWidth="1"/>
    <col min="14339" max="14339" width="17.81640625" style="32" customWidth="1"/>
    <col min="14340" max="14340" width="22.453125" style="32" customWidth="1"/>
    <col min="14341" max="14341" width="10.1796875" style="32" bestFit="1" customWidth="1"/>
    <col min="14342" max="14342" width="13.453125" style="32" customWidth="1"/>
    <col min="14343" max="14343" width="7.26953125" style="32" bestFit="1" customWidth="1"/>
    <col min="14344" max="14344" width="15.453125" style="32" bestFit="1" customWidth="1"/>
    <col min="14345" max="14345" width="7.26953125" style="32" bestFit="1" customWidth="1"/>
    <col min="14346" max="14346" width="19.7265625" style="32" bestFit="1" customWidth="1"/>
    <col min="14347" max="14347" width="7.26953125" style="32" bestFit="1" customWidth="1"/>
    <col min="14348" max="14348" width="26.81640625" style="32" bestFit="1" customWidth="1"/>
    <col min="14349" max="14349" width="19.81640625" style="32" bestFit="1" customWidth="1"/>
    <col min="14350" max="14584" width="11.453125" style="32"/>
    <col min="14585" max="14585" width="2.26953125" style="32" customWidth="1"/>
    <col min="14586" max="14586" width="49" style="32" customWidth="1"/>
    <col min="14587" max="14587" width="16.81640625" style="32" customWidth="1"/>
    <col min="14588" max="14588" width="1.1796875" style="32" customWidth="1"/>
    <col min="14589" max="14589" width="20.7265625" style="32" customWidth="1"/>
    <col min="14590" max="14590" width="17.7265625" style="32" customWidth="1"/>
    <col min="14591" max="14591" width="18.1796875" style="32" customWidth="1"/>
    <col min="14592" max="14592" width="17.1796875" style="32" customWidth="1"/>
    <col min="14593" max="14593" width="22.26953125" style="32" bestFit="1" customWidth="1"/>
    <col min="14594" max="14594" width="22.1796875" style="32" customWidth="1"/>
    <col min="14595" max="14595" width="17.81640625" style="32" customWidth="1"/>
    <col min="14596" max="14596" width="22.453125" style="32" customWidth="1"/>
    <col min="14597" max="14597" width="10.1796875" style="32" bestFit="1" customWidth="1"/>
    <col min="14598" max="14598" width="13.453125" style="32" customWidth="1"/>
    <col min="14599" max="14599" width="7.26953125" style="32" bestFit="1" customWidth="1"/>
    <col min="14600" max="14600" width="15.453125" style="32" bestFit="1" customWidth="1"/>
    <col min="14601" max="14601" width="7.26953125" style="32" bestFit="1" customWidth="1"/>
    <col min="14602" max="14602" width="19.7265625" style="32" bestFit="1" customWidth="1"/>
    <col min="14603" max="14603" width="7.26953125" style="32" bestFit="1" customWidth="1"/>
    <col min="14604" max="14604" width="26.81640625" style="32" bestFit="1" customWidth="1"/>
    <col min="14605" max="14605" width="19.81640625" style="32" bestFit="1" customWidth="1"/>
    <col min="14606" max="14840" width="11.453125" style="32"/>
    <col min="14841" max="14841" width="2.26953125" style="32" customWidth="1"/>
    <col min="14842" max="14842" width="49" style="32" customWidth="1"/>
    <col min="14843" max="14843" width="16.81640625" style="32" customWidth="1"/>
    <col min="14844" max="14844" width="1.1796875" style="32" customWidth="1"/>
    <col min="14845" max="14845" width="20.7265625" style="32" customWidth="1"/>
    <col min="14846" max="14846" width="17.7265625" style="32" customWidth="1"/>
    <col min="14847" max="14847" width="18.1796875" style="32" customWidth="1"/>
    <col min="14848" max="14848" width="17.1796875" style="32" customWidth="1"/>
    <col min="14849" max="14849" width="22.26953125" style="32" bestFit="1" customWidth="1"/>
    <col min="14850" max="14850" width="22.1796875" style="32" customWidth="1"/>
    <col min="14851" max="14851" width="17.81640625" style="32" customWidth="1"/>
    <col min="14852" max="14852" width="22.453125" style="32" customWidth="1"/>
    <col min="14853" max="14853" width="10.1796875" style="32" bestFit="1" customWidth="1"/>
    <col min="14854" max="14854" width="13.453125" style="32" customWidth="1"/>
    <col min="14855" max="14855" width="7.26953125" style="32" bestFit="1" customWidth="1"/>
    <col min="14856" max="14856" width="15.453125" style="32" bestFit="1" customWidth="1"/>
    <col min="14857" max="14857" width="7.26953125" style="32" bestFit="1" customWidth="1"/>
    <col min="14858" max="14858" width="19.7265625" style="32" bestFit="1" customWidth="1"/>
    <col min="14859" max="14859" width="7.26953125" style="32" bestFit="1" customWidth="1"/>
    <col min="14860" max="14860" width="26.81640625" style="32" bestFit="1" customWidth="1"/>
    <col min="14861" max="14861" width="19.81640625" style="32" bestFit="1" customWidth="1"/>
    <col min="14862" max="15096" width="11.453125" style="32"/>
    <col min="15097" max="15097" width="2.26953125" style="32" customWidth="1"/>
    <col min="15098" max="15098" width="49" style="32" customWidth="1"/>
    <col min="15099" max="15099" width="16.81640625" style="32" customWidth="1"/>
    <col min="15100" max="15100" width="1.1796875" style="32" customWidth="1"/>
    <col min="15101" max="15101" width="20.7265625" style="32" customWidth="1"/>
    <col min="15102" max="15102" width="17.7265625" style="32" customWidth="1"/>
    <col min="15103" max="15103" width="18.1796875" style="32" customWidth="1"/>
    <col min="15104" max="15104" width="17.1796875" style="32" customWidth="1"/>
    <col min="15105" max="15105" width="22.26953125" style="32" bestFit="1" customWidth="1"/>
    <col min="15106" max="15106" width="22.1796875" style="32" customWidth="1"/>
    <col min="15107" max="15107" width="17.81640625" style="32" customWidth="1"/>
    <col min="15108" max="15108" width="22.453125" style="32" customWidth="1"/>
    <col min="15109" max="15109" width="10.1796875" style="32" bestFit="1" customWidth="1"/>
    <col min="15110" max="15110" width="13.453125" style="32" customWidth="1"/>
    <col min="15111" max="15111" width="7.26953125" style="32" bestFit="1" customWidth="1"/>
    <col min="15112" max="15112" width="15.453125" style="32" bestFit="1" customWidth="1"/>
    <col min="15113" max="15113" width="7.26953125" style="32" bestFit="1" customWidth="1"/>
    <col min="15114" max="15114" width="19.7265625" style="32" bestFit="1" customWidth="1"/>
    <col min="15115" max="15115" width="7.26953125" style="32" bestFit="1" customWidth="1"/>
    <col min="15116" max="15116" width="26.81640625" style="32" bestFit="1" customWidth="1"/>
    <col min="15117" max="15117" width="19.81640625" style="32" bestFit="1" customWidth="1"/>
    <col min="15118" max="15352" width="11.453125" style="32"/>
    <col min="15353" max="15353" width="2.26953125" style="32" customWidth="1"/>
    <col min="15354" max="15354" width="49" style="32" customWidth="1"/>
    <col min="15355" max="15355" width="16.81640625" style="32" customWidth="1"/>
    <col min="15356" max="15356" width="1.1796875" style="32" customWidth="1"/>
    <col min="15357" max="15357" width="20.7265625" style="32" customWidth="1"/>
    <col min="15358" max="15358" width="17.7265625" style="32" customWidth="1"/>
    <col min="15359" max="15359" width="18.1796875" style="32" customWidth="1"/>
    <col min="15360" max="15360" width="17.1796875" style="32" customWidth="1"/>
    <col min="15361" max="15361" width="22.26953125" style="32" bestFit="1" customWidth="1"/>
    <col min="15362" max="15362" width="22.1796875" style="32" customWidth="1"/>
    <col min="15363" max="15363" width="17.81640625" style="32" customWidth="1"/>
    <col min="15364" max="15364" width="22.453125" style="32" customWidth="1"/>
    <col min="15365" max="15365" width="10.1796875" style="32" bestFit="1" customWidth="1"/>
    <col min="15366" max="15366" width="13.453125" style="32" customWidth="1"/>
    <col min="15367" max="15367" width="7.26953125" style="32" bestFit="1" customWidth="1"/>
    <col min="15368" max="15368" width="15.453125" style="32" bestFit="1" customWidth="1"/>
    <col min="15369" max="15369" width="7.26953125" style="32" bestFit="1" customWidth="1"/>
    <col min="15370" max="15370" width="19.7265625" style="32" bestFit="1" customWidth="1"/>
    <col min="15371" max="15371" width="7.26953125" style="32" bestFit="1" customWidth="1"/>
    <col min="15372" max="15372" width="26.81640625" style="32" bestFit="1" customWidth="1"/>
    <col min="15373" max="15373" width="19.81640625" style="32" bestFit="1" customWidth="1"/>
    <col min="15374" max="15608" width="11.453125" style="32"/>
    <col min="15609" max="15609" width="2.26953125" style="32" customWidth="1"/>
    <col min="15610" max="15610" width="49" style="32" customWidth="1"/>
    <col min="15611" max="15611" width="16.81640625" style="32" customWidth="1"/>
    <col min="15612" max="15612" width="1.1796875" style="32" customWidth="1"/>
    <col min="15613" max="15613" width="20.7265625" style="32" customWidth="1"/>
    <col min="15614" max="15614" width="17.7265625" style="32" customWidth="1"/>
    <col min="15615" max="15615" width="18.1796875" style="32" customWidth="1"/>
    <col min="15616" max="15616" width="17.1796875" style="32" customWidth="1"/>
    <col min="15617" max="15617" width="22.26953125" style="32" bestFit="1" customWidth="1"/>
    <col min="15618" max="15618" width="22.1796875" style="32" customWidth="1"/>
    <col min="15619" max="15619" width="17.81640625" style="32" customWidth="1"/>
    <col min="15620" max="15620" width="22.453125" style="32" customWidth="1"/>
    <col min="15621" max="15621" width="10.1796875" style="32" bestFit="1" customWidth="1"/>
    <col min="15622" max="15622" width="13.453125" style="32" customWidth="1"/>
    <col min="15623" max="15623" width="7.26953125" style="32" bestFit="1" customWidth="1"/>
    <col min="15624" max="15624" width="15.453125" style="32" bestFit="1" customWidth="1"/>
    <col min="15625" max="15625" width="7.26953125" style="32" bestFit="1" customWidth="1"/>
    <col min="15626" max="15626" width="19.7265625" style="32" bestFit="1" customWidth="1"/>
    <col min="15627" max="15627" width="7.26953125" style="32" bestFit="1" customWidth="1"/>
    <col min="15628" max="15628" width="26.81640625" style="32" bestFit="1" customWidth="1"/>
    <col min="15629" max="15629" width="19.81640625" style="32" bestFit="1" customWidth="1"/>
    <col min="15630" max="15864" width="11.453125" style="32"/>
    <col min="15865" max="15865" width="2.26953125" style="32" customWidth="1"/>
    <col min="15866" max="15866" width="49" style="32" customWidth="1"/>
    <col min="15867" max="15867" width="16.81640625" style="32" customWidth="1"/>
    <col min="15868" max="15868" width="1.1796875" style="32" customWidth="1"/>
    <col min="15869" max="15869" width="20.7265625" style="32" customWidth="1"/>
    <col min="15870" max="15870" width="17.7265625" style="32" customWidth="1"/>
    <col min="15871" max="15871" width="18.1796875" style="32" customWidth="1"/>
    <col min="15872" max="15872" width="17.1796875" style="32" customWidth="1"/>
    <col min="15873" max="15873" width="22.26953125" style="32" bestFit="1" customWidth="1"/>
    <col min="15874" max="15874" width="22.1796875" style="32" customWidth="1"/>
    <col min="15875" max="15875" width="17.81640625" style="32" customWidth="1"/>
    <col min="15876" max="15876" width="22.453125" style="32" customWidth="1"/>
    <col min="15877" max="15877" width="10.1796875" style="32" bestFit="1" customWidth="1"/>
    <col min="15878" max="15878" width="13.453125" style="32" customWidth="1"/>
    <col min="15879" max="15879" width="7.26953125" style="32" bestFit="1" customWidth="1"/>
    <col min="15880" max="15880" width="15.453125" style="32" bestFit="1" customWidth="1"/>
    <col min="15881" max="15881" width="7.26953125" style="32" bestFit="1" customWidth="1"/>
    <col min="15882" max="15882" width="19.7265625" style="32" bestFit="1" customWidth="1"/>
    <col min="15883" max="15883" width="7.26953125" style="32" bestFit="1" customWidth="1"/>
    <col min="15884" max="15884" width="26.81640625" style="32" bestFit="1" customWidth="1"/>
    <col min="15885" max="15885" width="19.81640625" style="32" bestFit="1" customWidth="1"/>
    <col min="15886" max="16120" width="11.453125" style="32"/>
    <col min="16121" max="16121" width="2.26953125" style="32" customWidth="1"/>
    <col min="16122" max="16122" width="49" style="32" customWidth="1"/>
    <col min="16123" max="16123" width="16.81640625" style="32" customWidth="1"/>
    <col min="16124" max="16124" width="1.1796875" style="32" customWidth="1"/>
    <col min="16125" max="16125" width="20.7265625" style="32" customWidth="1"/>
    <col min="16126" max="16126" width="17.7265625" style="32" customWidth="1"/>
    <col min="16127" max="16127" width="18.1796875" style="32" customWidth="1"/>
    <col min="16128" max="16128" width="17.1796875" style="32" customWidth="1"/>
    <col min="16129" max="16129" width="22.26953125" style="32" bestFit="1" customWidth="1"/>
    <col min="16130" max="16130" width="22.1796875" style="32" customWidth="1"/>
    <col min="16131" max="16131" width="17.81640625" style="32" customWidth="1"/>
    <col min="16132" max="16132" width="22.453125" style="32" customWidth="1"/>
    <col min="16133" max="16133" width="10.1796875" style="32" bestFit="1" customWidth="1"/>
    <col min="16134" max="16134" width="13.453125" style="32" customWidth="1"/>
    <col min="16135" max="16135" width="7.26953125" style="32" bestFit="1" customWidth="1"/>
    <col min="16136" max="16136" width="15.453125" style="32" bestFit="1" customWidth="1"/>
    <col min="16137" max="16137" width="7.26953125" style="32" bestFit="1" customWidth="1"/>
    <col min="16138" max="16138" width="19.7265625" style="32" bestFit="1" customWidth="1"/>
    <col min="16139" max="16139" width="7.26953125" style="32" bestFit="1" customWidth="1"/>
    <col min="16140" max="16140" width="26.81640625" style="32" bestFit="1" customWidth="1"/>
    <col min="16141" max="16141" width="19.81640625" style="32" bestFit="1" customWidth="1"/>
    <col min="16142" max="16384" width="11.453125" style="32"/>
  </cols>
  <sheetData>
    <row r="3" spans="3:15" s="33" customFormat="1" ht="13.5" customHeight="1" x14ac:dyDescent="0.25">
      <c r="C3" s="169"/>
      <c r="D3" s="169"/>
      <c r="E3" s="169"/>
      <c r="F3" s="169"/>
      <c r="G3" s="169"/>
      <c r="H3" s="169"/>
      <c r="I3" s="107" t="s">
        <v>4</v>
      </c>
      <c r="K3" s="107" t="e">
        <f>#REF!</f>
        <v>#REF!</v>
      </c>
      <c r="O3" s="214"/>
    </row>
    <row r="4" spans="3:15" s="33" customFormat="1" ht="13" x14ac:dyDescent="0.25">
      <c r="I4" s="107" t="s">
        <v>23</v>
      </c>
      <c r="K4" s="107" t="e">
        <f>EOMONTH(K3,-1)</f>
        <v>#REF!</v>
      </c>
      <c r="O4" s="214"/>
    </row>
    <row r="5" spans="3:15" s="33" customFormat="1" ht="13" x14ac:dyDescent="0.25">
      <c r="I5" s="107" t="s">
        <v>0</v>
      </c>
      <c r="K5" s="256" t="e">
        <f>'00 - Cover'!#REF!</f>
        <v>#REF!</v>
      </c>
      <c r="L5" s="257"/>
    </row>
    <row r="6" spans="3:15" s="33" customFormat="1" x14ac:dyDescent="0.25"/>
    <row r="7" spans="3:15" s="33" customFormat="1" ht="13.5" customHeight="1" x14ac:dyDescent="0.25"/>
    <row r="8" spans="3:15" ht="15.5" x14ac:dyDescent="0.25">
      <c r="C8" s="1031" t="s">
        <v>24</v>
      </c>
      <c r="D8" s="1032"/>
      <c r="E8" s="1032"/>
      <c r="F8" s="1032"/>
      <c r="G8" s="1032"/>
      <c r="H8" s="1032"/>
      <c r="I8" s="1032"/>
      <c r="J8" s="1032"/>
      <c r="K8" s="1032"/>
    </row>
    <row r="9" spans="3:15" ht="9.75" customHeight="1" x14ac:dyDescent="0.25">
      <c r="M9" s="41"/>
    </row>
    <row r="10" spans="3:15" s="44" customFormat="1" x14ac:dyDescent="0.25">
      <c r="C10" s="32"/>
      <c r="D10" s="32"/>
      <c r="E10" s="32"/>
      <c r="F10" s="32"/>
      <c r="G10" s="32"/>
      <c r="H10" s="32"/>
      <c r="I10" s="32"/>
      <c r="J10" s="32"/>
      <c r="K10" s="32"/>
    </row>
    <row r="11" spans="3:15" s="44" customFormat="1" ht="15.65" customHeight="1" x14ac:dyDescent="0.25">
      <c r="C11" s="258" t="s">
        <v>25</v>
      </c>
      <c r="D11" s="258" t="s">
        <v>26</v>
      </c>
      <c r="E11" s="259" t="s">
        <v>27</v>
      </c>
      <c r="F11" s="295" t="s">
        <v>85</v>
      </c>
      <c r="G11" s="258" t="s">
        <v>3</v>
      </c>
      <c r="H11" s="258" t="s">
        <v>28</v>
      </c>
      <c r="I11" s="258" t="s">
        <v>29</v>
      </c>
      <c r="J11" s="260"/>
      <c r="K11" s="260" t="s">
        <v>30</v>
      </c>
    </row>
    <row r="12" spans="3:15" ht="15.65" customHeight="1" x14ac:dyDescent="0.3">
      <c r="C12" s="262" t="e">
        <f>IF(D12="BQ",$K$5,$K$3)</f>
        <v>#REF!</v>
      </c>
      <c r="D12" s="263" t="s">
        <v>31</v>
      </c>
      <c r="E12" s="264" t="s">
        <v>32</v>
      </c>
      <c r="F12" s="264"/>
      <c r="G12" s="265" t="s">
        <v>33</v>
      </c>
      <c r="H12" s="266" t="e">
        <f>VLOOKUP($K$3,#REF!,#REF!,FALSE)</f>
        <v>#REF!</v>
      </c>
      <c r="I12" s="266"/>
      <c r="K12" s="199" t="e">
        <f>IF(H58=I58,"OK",H58-I58)</f>
        <v>#REF!</v>
      </c>
      <c r="M12" s="44"/>
    </row>
    <row r="13" spans="3:15" ht="15.65" customHeight="1" x14ac:dyDescent="0.3">
      <c r="C13" s="262" t="e">
        <f>IF(D13="BQ",$K$5,$K$3)</f>
        <v>#REF!</v>
      </c>
      <c r="D13" s="263" t="s">
        <v>31</v>
      </c>
      <c r="E13" s="264" t="s">
        <v>36</v>
      </c>
      <c r="F13" s="264"/>
      <c r="G13" s="265" t="s">
        <v>33</v>
      </c>
      <c r="H13" s="266"/>
      <c r="I13" s="266" t="e">
        <f>VLOOKUP($K$3,#REF!,#REF!,FALSE)</f>
        <v>#REF!</v>
      </c>
      <c r="K13" s="52"/>
      <c r="M13" s="44"/>
    </row>
    <row r="14" spans="3:15" ht="15.65" customHeight="1" x14ac:dyDescent="0.3">
      <c r="C14" s="272"/>
      <c r="D14" s="273"/>
      <c r="E14" s="274"/>
      <c r="F14" s="274"/>
      <c r="G14" s="275"/>
      <c r="H14" s="276"/>
      <c r="I14" s="276"/>
      <c r="K14" s="52"/>
      <c r="M14" s="44"/>
    </row>
    <row r="15" spans="3:15" ht="15.65" customHeight="1" x14ac:dyDescent="0.3">
      <c r="C15" s="262" t="e">
        <f t="shared" ref="C15" si="0">IF(D15="BQ",$K$5,$K$3)</f>
        <v>#REF!</v>
      </c>
      <c r="D15" s="263" t="s">
        <v>31</v>
      </c>
      <c r="E15" s="264" t="s">
        <v>34</v>
      </c>
      <c r="F15" s="264"/>
      <c r="G15" s="265" t="s">
        <v>35</v>
      </c>
      <c r="H15" s="266" t="e">
        <f>VLOOKUP($K$3,#REF!,#REF!,FALSE)</f>
        <v>#REF!</v>
      </c>
      <c r="I15" s="266"/>
      <c r="M15" s="44"/>
    </row>
    <row r="16" spans="3:15" ht="15.65" customHeight="1" x14ac:dyDescent="0.3">
      <c r="C16" s="262" t="e">
        <f>IF(D16="BQ",$K$5,$K$3)</f>
        <v>#REF!</v>
      </c>
      <c r="D16" s="263" t="s">
        <v>31</v>
      </c>
      <c r="E16" s="264" t="s">
        <v>38</v>
      </c>
      <c r="F16" s="264"/>
      <c r="G16" s="265" t="s">
        <v>35</v>
      </c>
      <c r="H16" s="266"/>
      <c r="I16" s="266" t="e">
        <f>VLOOKUP($K$3,#REF!,#REF!,FALSE)+VLOOKUP($K$3,#REF!,#REF!,FALSE)</f>
        <v>#REF!</v>
      </c>
      <c r="M16" s="44"/>
    </row>
    <row r="17" spans="3:13" ht="15.65" customHeight="1" x14ac:dyDescent="0.3">
      <c r="C17" s="272"/>
      <c r="D17" s="273"/>
      <c r="E17" s="274"/>
      <c r="F17" s="274"/>
      <c r="G17" s="275"/>
      <c r="H17" s="276"/>
      <c r="I17" s="276"/>
      <c r="M17" s="44"/>
    </row>
    <row r="18" spans="3:13" ht="15.65" customHeight="1" x14ac:dyDescent="0.3">
      <c r="C18" s="262" t="e">
        <f>IF(D18="BQ",$K$5,$K$3)</f>
        <v>#REF!</v>
      </c>
      <c r="D18" s="263" t="s">
        <v>31</v>
      </c>
      <c r="E18" s="264" t="s">
        <v>39</v>
      </c>
      <c r="F18" s="264"/>
      <c r="G18" s="265" t="s">
        <v>40</v>
      </c>
      <c r="H18" s="266"/>
      <c r="I18" s="266" t="e">
        <f>VLOOKUP($K$3,#REF!,#REF!,FALSE)</f>
        <v>#REF!</v>
      </c>
    </row>
    <row r="19" spans="3:13" ht="15.65" customHeight="1" x14ac:dyDescent="0.3">
      <c r="C19" s="262" t="e">
        <f>IF(D19="BQ",$K$5,$K$3)</f>
        <v>#REF!</v>
      </c>
      <c r="D19" s="263" t="s">
        <v>31</v>
      </c>
      <c r="E19" s="264" t="s">
        <v>72</v>
      </c>
      <c r="F19" s="264"/>
      <c r="G19" s="265" t="s">
        <v>73</v>
      </c>
      <c r="H19" s="266" t="e">
        <f>VLOOKUP($K$3,#REF!,#REF!,FALSE)</f>
        <v>#REF!</v>
      </c>
      <c r="I19" s="266"/>
    </row>
    <row r="20" spans="3:13" ht="15.65" customHeight="1" x14ac:dyDescent="0.3">
      <c r="C20" s="272"/>
      <c r="D20" s="273"/>
      <c r="E20" s="274"/>
      <c r="F20" s="274"/>
      <c r="G20" s="275"/>
      <c r="H20" s="276"/>
      <c r="I20" s="276"/>
    </row>
    <row r="21" spans="3:13" ht="15.65" customHeight="1" x14ac:dyDescent="0.3">
      <c r="C21" s="262" t="e">
        <f>IF(D21="BQ",$K$5,$K$3)</f>
        <v>#REF!</v>
      </c>
      <c r="D21" s="263" t="s">
        <v>31</v>
      </c>
      <c r="E21" s="264" t="s">
        <v>41</v>
      </c>
      <c r="F21" s="264"/>
      <c r="G21" s="265" t="s">
        <v>42</v>
      </c>
      <c r="H21" s="266"/>
      <c r="I21" s="266" t="e">
        <f>VLOOKUP($K$3,#REF!,#REF!,FALSE)</f>
        <v>#REF!</v>
      </c>
    </row>
    <row r="22" spans="3:13" ht="15.65" customHeight="1" x14ac:dyDescent="0.3">
      <c r="C22" s="262" t="e">
        <f>IF(D22="BQ",$K$5,$K$3)</f>
        <v>#REF!</v>
      </c>
      <c r="D22" s="263" t="s">
        <v>31</v>
      </c>
      <c r="E22" s="264" t="s">
        <v>76</v>
      </c>
      <c r="F22" s="264"/>
      <c r="G22" s="265" t="s">
        <v>77</v>
      </c>
      <c r="H22" s="266" t="e">
        <f>VLOOKUP($K$3,#REF!,#REF!,FALSE)</f>
        <v>#REF!</v>
      </c>
      <c r="I22" s="266"/>
    </row>
    <row r="23" spans="3:13" ht="15.65" customHeight="1" x14ac:dyDescent="0.3">
      <c r="C23" s="272"/>
      <c r="D23" s="273"/>
      <c r="E23" s="274"/>
      <c r="F23" s="274"/>
      <c r="G23" s="275"/>
      <c r="H23" s="276"/>
      <c r="I23" s="276"/>
    </row>
    <row r="24" spans="3:13" ht="15.65" customHeight="1" x14ac:dyDescent="0.3">
      <c r="C24" s="267" t="e">
        <f t="shared" ref="C24:C29" si="1">IF(D24="BQ",$K$5,$K$3)</f>
        <v>#REF!</v>
      </c>
      <c r="D24" s="268" t="s">
        <v>31</v>
      </c>
      <c r="E24" s="269" t="s">
        <v>53</v>
      </c>
      <c r="F24" s="269"/>
      <c r="G24" s="270" t="s">
        <v>54</v>
      </c>
      <c r="H24" s="271"/>
      <c r="I24" s="271" t="e">
        <f>VLOOKUP($K$3,#REF!,#REF!,FALSE)+VLOOKUP($K$3,#REF!,#REF!,FALSE)+VLOOKUP($K$3,#REF!,#REF!,FALSE)+VLOOKUP($K$3,#REF!,#REF!,FALSE)</f>
        <v>#REF!</v>
      </c>
    </row>
    <row r="25" spans="3:13" ht="15.65" customHeight="1" x14ac:dyDescent="0.3">
      <c r="C25" s="267" t="e">
        <f t="shared" si="1"/>
        <v>#REF!</v>
      </c>
      <c r="D25" s="268" t="s">
        <v>31</v>
      </c>
      <c r="E25" s="269" t="s">
        <v>61</v>
      </c>
      <c r="F25" s="269"/>
      <c r="G25" s="270" t="s">
        <v>62</v>
      </c>
      <c r="H25" s="271" t="e">
        <f>VLOOKUP($K$3,#REF!,#REF!,FALSE)</f>
        <v>#REF!</v>
      </c>
      <c r="I25" s="271"/>
    </row>
    <row r="26" spans="3:13" ht="15.65" customHeight="1" x14ac:dyDescent="0.3">
      <c r="C26" s="267" t="e">
        <f t="shared" si="1"/>
        <v>#REF!</v>
      </c>
      <c r="D26" s="268" t="s">
        <v>31</v>
      </c>
      <c r="E26" s="269" t="s">
        <v>63</v>
      </c>
      <c r="F26" s="269"/>
      <c r="G26" s="270" t="s">
        <v>64</v>
      </c>
      <c r="H26" s="271" t="e">
        <f>VLOOKUP($K$3,#REF!,#REF!,FALSE)</f>
        <v>#REF!</v>
      </c>
      <c r="I26" s="271"/>
    </row>
    <row r="27" spans="3:13" ht="15.65" customHeight="1" x14ac:dyDescent="0.3">
      <c r="C27" s="267" t="e">
        <f t="shared" si="1"/>
        <v>#REF!</v>
      </c>
      <c r="D27" s="268" t="s">
        <v>31</v>
      </c>
      <c r="E27" s="269" t="s">
        <v>65</v>
      </c>
      <c r="F27" s="269"/>
      <c r="G27" s="270" t="s">
        <v>66</v>
      </c>
      <c r="H27" s="271" t="e">
        <f>VLOOKUP($K$3,#REF!,#REF!,FALSE)</f>
        <v>#REF!</v>
      </c>
      <c r="I27" s="271"/>
    </row>
    <row r="28" spans="3:13" ht="15.65" customHeight="1" x14ac:dyDescent="0.3">
      <c r="C28" s="267" t="e">
        <f t="shared" si="1"/>
        <v>#REF!</v>
      </c>
      <c r="D28" s="268" t="s">
        <v>31</v>
      </c>
      <c r="E28" s="269" t="s">
        <v>70</v>
      </c>
      <c r="F28" s="269"/>
      <c r="G28" s="270" t="s">
        <v>71</v>
      </c>
      <c r="H28" s="271" t="e">
        <f>VLOOKUP($K$3,#REF!,#REF!,FALSE)</f>
        <v>#REF!</v>
      </c>
      <c r="I28" s="271"/>
    </row>
    <row r="29" spans="3:13" ht="15.65" customHeight="1" x14ac:dyDescent="0.3">
      <c r="C29" s="280" t="e">
        <f t="shared" si="1"/>
        <v>#REF!</v>
      </c>
      <c r="D29" s="281" t="s">
        <v>31</v>
      </c>
      <c r="E29" s="282" t="s">
        <v>67</v>
      </c>
      <c r="F29" s="282"/>
      <c r="G29" s="283" t="s">
        <v>68</v>
      </c>
      <c r="H29" s="284" t="e">
        <f>VLOOKUP($K$3,#REF!,#REF!,FALSE)</f>
        <v>#REF!</v>
      </c>
      <c r="I29" s="284"/>
      <c r="J29" s="285"/>
      <c r="K29" s="285" t="e">
        <f>SUM(H24:H29)</f>
        <v>#REF!</v>
      </c>
      <c r="L29" s="285" t="e">
        <f>SUM(I24:I29)</f>
        <v>#REF!</v>
      </c>
      <c r="M29" s="286" t="e">
        <f>L29=K29</f>
        <v>#REF!</v>
      </c>
    </row>
    <row r="30" spans="3:13" ht="15.65" customHeight="1" x14ac:dyDescent="0.3">
      <c r="C30" s="272"/>
      <c r="D30" s="273"/>
      <c r="E30" s="274"/>
      <c r="F30" s="274"/>
      <c r="G30" s="275"/>
      <c r="H30" s="276"/>
      <c r="I30" s="276"/>
      <c r="M30" s="279"/>
    </row>
    <row r="31" spans="3:13" ht="15.65" customHeight="1" x14ac:dyDescent="0.3">
      <c r="C31" s="262" t="e">
        <f>IF(D31="BQ",$K$5,$K$3)</f>
        <v>#REF!</v>
      </c>
      <c r="D31" s="263" t="s">
        <v>31</v>
      </c>
      <c r="E31" s="264" t="s">
        <v>51</v>
      </c>
      <c r="F31" s="264"/>
      <c r="G31" s="265" t="s">
        <v>52</v>
      </c>
      <c r="H31" s="266"/>
      <c r="I31" s="266" t="e">
        <f>VLOOKUP($K$3,#REF!,#REF!,FALSE)</f>
        <v>#REF!</v>
      </c>
    </row>
    <row r="32" spans="3:13" ht="15.65" customHeight="1" x14ac:dyDescent="0.3">
      <c r="C32" s="262" t="e">
        <f>IF(D32="BQ",$K$5,$K$3)</f>
        <v>#REF!</v>
      </c>
      <c r="D32" s="263" t="s">
        <v>31</v>
      </c>
      <c r="E32" s="264" t="s">
        <v>69</v>
      </c>
      <c r="F32" s="264"/>
      <c r="G32" s="265" t="s">
        <v>52</v>
      </c>
      <c r="H32" s="266" t="e">
        <f>VLOOKUP($K$3,#REF!,#REF!,FALSE)</f>
        <v>#REF!</v>
      </c>
      <c r="I32" s="266"/>
    </row>
    <row r="33" spans="3:14" ht="15.65" customHeight="1" x14ac:dyDescent="0.3">
      <c r="C33" s="272"/>
      <c r="D33" s="273"/>
      <c r="E33" s="274"/>
      <c r="F33" s="274"/>
      <c r="G33" s="275"/>
      <c r="H33" s="276"/>
      <c r="I33" s="276"/>
    </row>
    <row r="34" spans="3:14" ht="15.65" customHeight="1" x14ac:dyDescent="0.3">
      <c r="C34" s="262" t="e">
        <f>IF(D34="BQ",$K$5,$K$3)</f>
        <v>#REF!</v>
      </c>
      <c r="D34" s="263" t="s">
        <v>31</v>
      </c>
      <c r="E34" s="264" t="s">
        <v>78</v>
      </c>
      <c r="F34" s="264"/>
      <c r="G34" s="265" t="s">
        <v>50</v>
      </c>
      <c r="H34" s="266"/>
      <c r="I34" s="266" t="e">
        <f>VLOOKUP($K$3,#REF!,#REF!,FALSE)</f>
        <v>#REF!</v>
      </c>
    </row>
    <row r="35" spans="3:14" ht="15.65" customHeight="1" x14ac:dyDescent="0.3">
      <c r="C35" s="262" t="e">
        <f>IF(D35="BQ",$K$5,$K$3)</f>
        <v>#REF!</v>
      </c>
      <c r="D35" s="263" t="s">
        <v>31</v>
      </c>
      <c r="E35" s="264" t="s">
        <v>49</v>
      </c>
      <c r="F35" s="264"/>
      <c r="G35" s="265" t="s">
        <v>50</v>
      </c>
      <c r="H35" s="266" t="e">
        <f>VLOOKUP($K$3,#REF!,#REF!,FALSE)</f>
        <v>#REF!</v>
      </c>
      <c r="I35" s="266"/>
    </row>
    <row r="36" spans="3:14" ht="15.65" customHeight="1" x14ac:dyDescent="0.3">
      <c r="C36" s="272"/>
      <c r="D36" s="273"/>
      <c r="E36" s="274"/>
      <c r="F36" s="274"/>
      <c r="G36" s="275"/>
      <c r="H36" s="276"/>
      <c r="I36" s="276"/>
    </row>
    <row r="37" spans="3:14" ht="15.65" customHeight="1" x14ac:dyDescent="0.3">
      <c r="C37" s="267" t="e">
        <f t="shared" ref="C37:C44" si="2">IF(D37="BQ",$K$5,$K$3)</f>
        <v>#REF!</v>
      </c>
      <c r="D37" s="268" t="s">
        <v>31</v>
      </c>
      <c r="E37" s="269" t="s">
        <v>43</v>
      </c>
      <c r="F37" s="269"/>
      <c r="G37" s="270" t="s">
        <v>44</v>
      </c>
      <c r="H37" s="271"/>
      <c r="I37" s="277" t="e">
        <f>IF(K3&gt;=DATE(2021,4,30),VLOOKUP($K$3,#REF!,#REF!,FALSE)-VLOOKUP($K$3,#REF!,#REF!,FALSE),VLOOKUP($K$3,#REF!,#REF!,FALSE)+VLOOKUP($K$3,#REF!,#REF!,FALSE))</f>
        <v>#REF!</v>
      </c>
    </row>
    <row r="38" spans="3:14" ht="15.65" customHeight="1" x14ac:dyDescent="0.3">
      <c r="C38" s="267" t="e">
        <f t="shared" si="2"/>
        <v>#REF!</v>
      </c>
      <c r="D38" s="268" t="s">
        <v>31</v>
      </c>
      <c r="E38" s="269" t="s">
        <v>45</v>
      </c>
      <c r="F38" s="269"/>
      <c r="G38" s="270" t="s">
        <v>46</v>
      </c>
      <c r="H38" s="271"/>
      <c r="I38" s="277" t="e">
        <f>VLOOKUP($K$3,#REF!,#REF!,FALSE)</f>
        <v>#REF!</v>
      </c>
    </row>
    <row r="39" spans="3:14" ht="15.65" customHeight="1" x14ac:dyDescent="0.3">
      <c r="C39" s="267" t="e">
        <f t="shared" si="2"/>
        <v>#REF!</v>
      </c>
      <c r="D39" s="268" t="s">
        <v>31</v>
      </c>
      <c r="E39" s="269" t="s">
        <v>47</v>
      </c>
      <c r="F39" s="269"/>
      <c r="G39" s="270" t="s">
        <v>48</v>
      </c>
      <c r="H39" s="277"/>
      <c r="I39" s="277" t="e">
        <f>VLOOKUP($K$3,#REF!,#REF!,FALSE)+VLOOKUP($K$3,#REF!,#REF!,FALSE)+VLOOKUP($K$3,#REF!,#REF!,FALSE)</f>
        <v>#REF!</v>
      </c>
    </row>
    <row r="40" spans="3:14" ht="15.65" customHeight="1" x14ac:dyDescent="0.3">
      <c r="C40" s="267" t="e">
        <f t="shared" si="2"/>
        <v>#REF!</v>
      </c>
      <c r="D40" s="268" t="s">
        <v>31</v>
      </c>
      <c r="E40" s="269" t="s">
        <v>81</v>
      </c>
      <c r="F40" s="269"/>
      <c r="G40" s="270" t="s">
        <v>82</v>
      </c>
      <c r="H40" s="271"/>
      <c r="I40" s="277" t="e">
        <f>VLOOKUP($K$3,#REF!,#REF!,FALSE)</f>
        <v>#REF!</v>
      </c>
    </row>
    <row r="41" spans="3:14" ht="15.65" customHeight="1" x14ac:dyDescent="0.3">
      <c r="C41" s="267" t="e">
        <f t="shared" si="2"/>
        <v>#REF!</v>
      </c>
      <c r="D41" s="268" t="s">
        <v>31</v>
      </c>
      <c r="E41" s="269" t="s">
        <v>83</v>
      </c>
      <c r="F41" s="269"/>
      <c r="G41" s="270" t="s">
        <v>84</v>
      </c>
      <c r="H41" s="271"/>
      <c r="I41" s="271" t="e">
        <f>VLOOKUP($K$3,#REF!,#REF!,FALSE)</f>
        <v>#REF!</v>
      </c>
    </row>
    <row r="42" spans="3:14" ht="15.65" customHeight="1" x14ac:dyDescent="0.3">
      <c r="C42" s="267" t="e">
        <f t="shared" si="2"/>
        <v>#REF!</v>
      </c>
      <c r="D42" s="268" t="s">
        <v>31</v>
      </c>
      <c r="E42" s="269" t="s">
        <v>47</v>
      </c>
      <c r="F42" s="269"/>
      <c r="G42" s="270" t="s">
        <v>48</v>
      </c>
      <c r="H42" s="277" t="e">
        <f>VLOOKUP($K$3,#REF!,#REF!,FALSE)</f>
        <v>#REF!</v>
      </c>
      <c r="I42" s="277"/>
    </row>
    <row r="43" spans="3:14" ht="15.65" customHeight="1" x14ac:dyDescent="0.3">
      <c r="C43" s="267" t="e">
        <f t="shared" si="2"/>
        <v>#REF!</v>
      </c>
      <c r="D43" s="268" t="s">
        <v>31</v>
      </c>
      <c r="E43" s="269" t="s">
        <v>55</v>
      </c>
      <c r="F43" s="269"/>
      <c r="G43" s="270" t="s">
        <v>56</v>
      </c>
      <c r="H43" s="277" t="e">
        <f>VLOOKUP($K$3,#REF!,#REF!,FALSE)</f>
        <v>#REF!</v>
      </c>
      <c r="I43" s="277"/>
    </row>
    <row r="44" spans="3:14" ht="15.65" customHeight="1" x14ac:dyDescent="0.3">
      <c r="C44" s="280" t="e">
        <f t="shared" si="2"/>
        <v>#REF!</v>
      </c>
      <c r="D44" s="281" t="s">
        <v>31</v>
      </c>
      <c r="E44" s="282" t="s">
        <v>74</v>
      </c>
      <c r="F44" s="282"/>
      <c r="G44" s="283" t="s">
        <v>75</v>
      </c>
      <c r="H44" s="287" t="e">
        <f>VLOOKUP($K$3,#REF!,#REF!,FALSE)</f>
        <v>#REF!</v>
      </c>
      <c r="I44" s="287"/>
      <c r="J44" s="285"/>
      <c r="K44" s="285" t="e">
        <f>SUM(H37:H44)</f>
        <v>#REF!</v>
      </c>
      <c r="L44" s="285" t="e">
        <f>SUM(I37:I44)</f>
        <v>#REF!</v>
      </c>
      <c r="M44" s="286" t="e">
        <f>IF(ABS(L44-K44)&lt;0.01,"TRUE","NOT TRUE")</f>
        <v>#REF!</v>
      </c>
    </row>
    <row r="45" spans="3:14" ht="15.65" customHeight="1" x14ac:dyDescent="0.3">
      <c r="C45" s="272"/>
      <c r="D45" s="273"/>
      <c r="E45" s="274"/>
      <c r="F45" s="274"/>
      <c r="G45" s="275"/>
      <c r="H45" s="276"/>
      <c r="I45" s="276"/>
      <c r="M45" s="279"/>
    </row>
    <row r="46" spans="3:14" ht="15.65" customHeight="1" x14ac:dyDescent="0.3">
      <c r="C46" s="262" t="e">
        <f>IF(D46="BQ",$K$5,$K$3)</f>
        <v>#REF!</v>
      </c>
      <c r="D46" s="263" t="s">
        <v>31</v>
      </c>
      <c r="E46" s="264" t="s">
        <v>57</v>
      </c>
      <c r="F46" s="264"/>
      <c r="G46" s="265" t="s">
        <v>58</v>
      </c>
      <c r="H46" s="266" t="e">
        <f>VLOOKUP($K$3,#REF!,#REF!,FALSE)</f>
        <v>#REF!</v>
      </c>
      <c r="I46" s="278"/>
    </row>
    <row r="47" spans="3:14" ht="15.65" customHeight="1" x14ac:dyDescent="0.3">
      <c r="C47" s="262" t="e">
        <f>IF(D47="BQ",$K$5,$K$3)</f>
        <v>#REF!</v>
      </c>
      <c r="D47" s="263" t="s">
        <v>31</v>
      </c>
      <c r="E47" s="264" t="s">
        <v>79</v>
      </c>
      <c r="F47" s="264"/>
      <c r="G47" s="265" t="s">
        <v>80</v>
      </c>
      <c r="H47" s="266"/>
      <c r="I47" s="266" t="e">
        <f>VLOOKUP($K$3,#REF!,#REF!,FALSE)</f>
        <v>#REF!</v>
      </c>
      <c r="L47" s="102"/>
      <c r="M47" s="99"/>
      <c r="N47" s="106"/>
    </row>
    <row r="48" spans="3:14" ht="15.65" customHeight="1" x14ac:dyDescent="0.3">
      <c r="C48" s="272"/>
      <c r="D48" s="273"/>
      <c r="E48" s="274"/>
      <c r="F48" s="274"/>
      <c r="G48" s="275"/>
      <c r="H48" s="276"/>
      <c r="I48" s="276"/>
      <c r="L48" s="102"/>
      <c r="M48" s="99"/>
      <c r="N48" s="106"/>
    </row>
    <row r="49" spans="3:14" ht="15.65" customHeight="1" x14ac:dyDescent="0.3">
      <c r="C49" s="262" t="e">
        <f>IF(D49="BQ",$K$5,$K$3)</f>
        <v>#REF!</v>
      </c>
      <c r="D49" s="263" t="s">
        <v>37</v>
      </c>
      <c r="E49" s="264" t="s">
        <v>59</v>
      </c>
      <c r="F49" s="264"/>
      <c r="G49" s="265" t="s">
        <v>60</v>
      </c>
      <c r="H49" s="266" t="e">
        <f>VLOOKUP($K$4,#REF!,#REF!,FALSE)</f>
        <v>#REF!</v>
      </c>
      <c r="I49" s="278"/>
      <c r="L49" s="102"/>
      <c r="M49" s="99"/>
      <c r="N49" s="106"/>
    </row>
    <row r="50" spans="3:14" ht="15.65" customHeight="1" x14ac:dyDescent="0.3">
      <c r="C50" s="262" t="e">
        <f>IF(D50="BQ",$K$5,$K$3)</f>
        <v>#REF!</v>
      </c>
      <c r="D50" s="263" t="s">
        <v>37</v>
      </c>
      <c r="E50" s="264" t="s">
        <v>55</v>
      </c>
      <c r="F50" s="264"/>
      <c r="G50" s="265" t="s">
        <v>56</v>
      </c>
      <c r="H50" s="266"/>
      <c r="I50" s="266" t="e">
        <f>VLOOKUP($K$4,#REF!,#REF!,FALSE)</f>
        <v>#REF!</v>
      </c>
      <c r="L50" s="102"/>
      <c r="M50" s="99"/>
      <c r="N50" s="106"/>
    </row>
    <row r="51" spans="3:14" ht="15.65" customHeight="1" x14ac:dyDescent="0.3">
      <c r="C51" s="272"/>
      <c r="D51" s="273"/>
      <c r="E51" s="274"/>
      <c r="F51" s="274"/>
      <c r="G51" s="275"/>
      <c r="H51" s="276"/>
      <c r="I51" s="276"/>
      <c r="L51" s="102"/>
      <c r="M51" s="99"/>
      <c r="N51" s="106"/>
    </row>
    <row r="52" spans="3:14" ht="15.65" customHeight="1" x14ac:dyDescent="0.3">
      <c r="C52" s="267" t="e">
        <f>IF(D52="BQ",$K$5,$K$3)</f>
        <v>#REF!</v>
      </c>
      <c r="D52" s="268" t="s">
        <v>37</v>
      </c>
      <c r="E52" s="269" t="s">
        <v>36</v>
      </c>
      <c r="F52" s="269"/>
      <c r="G52" s="270" t="s">
        <v>33</v>
      </c>
      <c r="H52" s="271" t="e">
        <f>VLOOKUP($K$4,#REF!,#REF!,FALSE)</f>
        <v>#REF!</v>
      </c>
      <c r="I52" s="277"/>
      <c r="L52" s="102"/>
      <c r="M52" s="99"/>
      <c r="N52" s="106"/>
    </row>
    <row r="53" spans="3:14" ht="15.65" customHeight="1" x14ac:dyDescent="0.3">
      <c r="C53" s="267" t="e">
        <f>IF(D53="BQ",$K$5,$K$3)</f>
        <v>#REF!</v>
      </c>
      <c r="D53" s="268" t="s">
        <v>37</v>
      </c>
      <c r="E53" s="269" t="s">
        <v>38</v>
      </c>
      <c r="F53" s="269"/>
      <c r="G53" s="270" t="s">
        <v>35</v>
      </c>
      <c r="H53" s="271" t="e">
        <f>VLOOKUP($K$4,#REF!,#REF!,FALSE)+VLOOKUP($K$4,#REF!,#REF!,FALSE)</f>
        <v>#REF!</v>
      </c>
      <c r="I53" s="277"/>
      <c r="L53" s="102"/>
      <c r="M53" s="99"/>
      <c r="N53" s="106"/>
    </row>
    <row r="54" spans="3:14" ht="15.65" customHeight="1" x14ac:dyDescent="0.3">
      <c r="C54" s="267" t="e">
        <f>IF(D54="BQ",$K$5,$K$3)</f>
        <v>#REF!</v>
      </c>
      <c r="D54" s="268" t="s">
        <v>37</v>
      </c>
      <c r="E54" s="269" t="s">
        <v>39</v>
      </c>
      <c r="F54" s="269"/>
      <c r="G54" s="270" t="s">
        <v>40</v>
      </c>
      <c r="H54" s="277" t="e">
        <f>VLOOKUP($K$4,#REF!,#REF!,FALSE)</f>
        <v>#REF!</v>
      </c>
      <c r="I54" s="277"/>
      <c r="L54" s="102"/>
      <c r="M54" s="99"/>
      <c r="N54" s="106"/>
    </row>
    <row r="55" spans="3:14" ht="15.65" customHeight="1" x14ac:dyDescent="0.3">
      <c r="C55" s="267" t="e">
        <f>IF(D55="BQ",$K$5,$K$3)</f>
        <v>#REF!</v>
      </c>
      <c r="D55" s="268" t="s">
        <v>37</v>
      </c>
      <c r="E55" s="269" t="s">
        <v>41</v>
      </c>
      <c r="F55" s="269"/>
      <c r="G55" s="270" t="s">
        <v>42</v>
      </c>
      <c r="H55" s="277" t="e">
        <f>VLOOKUP($K$4,#REF!,#REF!,FALSE)</f>
        <v>#REF!</v>
      </c>
      <c r="I55" s="271"/>
      <c r="L55" s="102"/>
      <c r="M55" s="99"/>
      <c r="N55" s="106"/>
    </row>
    <row r="56" spans="3:14" ht="15.65" customHeight="1" x14ac:dyDescent="0.3">
      <c r="C56" s="267" t="e">
        <f>IF(D56="BQ",$K$5,$K$3)</f>
        <v>#REF!</v>
      </c>
      <c r="D56" s="268" t="s">
        <v>37</v>
      </c>
      <c r="E56" s="269" t="s">
        <v>53</v>
      </c>
      <c r="F56" s="269"/>
      <c r="G56" s="270" t="s">
        <v>54</v>
      </c>
      <c r="H56" s="277" t="e">
        <f>VLOOKUP($K$4,#REF!,#REF!,FALSE)+VLOOKUP($K$4,#REF!,#REF!,FALSE)+VLOOKUP($K$4,#REF!,#REF!,FALSE)+VLOOKUP($K$4,#REF!,#REF!,FALSE)+VLOOKUP($K$4,#REF!,#REF!,FALSE)</f>
        <v>#REF!</v>
      </c>
      <c r="I56" s="277"/>
      <c r="L56" s="102"/>
      <c r="M56" s="99"/>
      <c r="N56" s="106"/>
    </row>
    <row r="57" spans="3:14" ht="15.65" customHeight="1" x14ac:dyDescent="0.3">
      <c r="C57" s="280" t="e">
        <f t="shared" ref="C57" si="3">IF(D57="BQ",$K$5,$K$3)</f>
        <v>#REF!</v>
      </c>
      <c r="D57" s="281" t="s">
        <v>37</v>
      </c>
      <c r="E57" s="282" t="s">
        <v>59</v>
      </c>
      <c r="F57" s="282"/>
      <c r="G57" s="283" t="s">
        <v>60</v>
      </c>
      <c r="H57" s="284"/>
      <c r="I57" s="284" t="e">
        <f>VLOOKUP($K$4,#REF!,#REF!,FALSE)+VLOOKUP($K$3,#REF!,#REF!,FALSE)+VLOOKUP($K$4,#REF!,#REF!,FALSE)+VLOOKUP($K$4,#REF!,#REF!,FALSE)+VLOOKUP($K$4,#REF!,#REF!,FALSE)+VLOOKUP($K$4,#REF!,#REF!,FALSE)+VLOOKUP($K$4,#REF!,#REF!,FALSE)+VLOOKUP($K$4,#REF!,#REF!,FALSE)+VLOOKUP($K$4,#REF!,#REF!,FALSE)</f>
        <v>#REF!</v>
      </c>
      <c r="J57" s="285"/>
      <c r="K57" s="285" t="e">
        <f>SUM(H52:H57)</f>
        <v>#REF!</v>
      </c>
      <c r="L57" s="285" t="e">
        <f>SUM(I52:I57)</f>
        <v>#REF!</v>
      </c>
      <c r="M57" s="286" t="e">
        <f>L57=K57</f>
        <v>#REF!</v>
      </c>
      <c r="N57" s="106"/>
    </row>
    <row r="58" spans="3:14" ht="15.65" customHeight="1" x14ac:dyDescent="0.3">
      <c r="C58"/>
      <c r="D58"/>
      <c r="E58" s="261"/>
      <c r="F58" s="261"/>
      <c r="G58"/>
      <c r="H58" s="288" t="e">
        <f>SUM(H12:H57)</f>
        <v>#REF!</v>
      </c>
      <c r="I58" s="288" t="e">
        <f>SUM(I12:I57)</f>
        <v>#REF!</v>
      </c>
      <c r="M58" s="99"/>
      <c r="N58" s="106"/>
    </row>
    <row r="59" spans="3:14" ht="15.65" customHeight="1" x14ac:dyDescent="0.25">
      <c r="L59" s="102"/>
      <c r="M59" s="99"/>
      <c r="N59" s="106"/>
    </row>
    <row r="60" spans="3:14" ht="15.65" customHeight="1" x14ac:dyDescent="0.25">
      <c r="L60" s="102"/>
      <c r="M60" s="99"/>
      <c r="N60" s="106"/>
    </row>
    <row r="61" spans="3:14" x14ac:dyDescent="0.25">
      <c r="L61" s="102"/>
      <c r="M61" s="99"/>
      <c r="N61" s="106"/>
    </row>
    <row r="62" spans="3:14" x14ac:dyDescent="0.25">
      <c r="L62" s="102"/>
      <c r="M62" s="99"/>
      <c r="N62" s="106"/>
    </row>
    <row r="63" spans="3:14" x14ac:dyDescent="0.25">
      <c r="L63" s="102"/>
      <c r="M63" s="99"/>
      <c r="N63" s="106"/>
    </row>
    <row r="64" spans="3:14" x14ac:dyDescent="0.25">
      <c r="L64" s="102"/>
      <c r="M64" s="99"/>
      <c r="N64" s="106"/>
    </row>
    <row r="65" spans="3:14" x14ac:dyDescent="0.25">
      <c r="L65" s="102"/>
      <c r="M65" s="99"/>
      <c r="N65" s="106"/>
    </row>
    <row r="66" spans="3:14" x14ac:dyDescent="0.25">
      <c r="L66" s="102"/>
    </row>
    <row r="67" spans="3:14" x14ac:dyDescent="0.25">
      <c r="L67" s="102"/>
    </row>
    <row r="68" spans="3:14" x14ac:dyDescent="0.25">
      <c r="L68" s="102"/>
    </row>
    <row r="69" spans="3:14" x14ac:dyDescent="0.25">
      <c r="L69" s="102"/>
    </row>
    <row r="70" spans="3:14" x14ac:dyDescent="0.25">
      <c r="L70" s="102"/>
    </row>
    <row r="71" spans="3:14" x14ac:dyDescent="0.25">
      <c r="L71" s="102"/>
    </row>
    <row r="72" spans="3:14" x14ac:dyDescent="0.25">
      <c r="L72" s="102"/>
    </row>
    <row r="73" spans="3:14" x14ac:dyDescent="0.25">
      <c r="L73" s="102"/>
    </row>
    <row r="74" spans="3:14" x14ac:dyDescent="0.25">
      <c r="L74" s="102"/>
    </row>
    <row r="75" spans="3:14" x14ac:dyDescent="0.25">
      <c r="L75" s="102"/>
    </row>
    <row r="76" spans="3:14" x14ac:dyDescent="0.25">
      <c r="L76" s="102"/>
    </row>
    <row r="77" spans="3:14" ht="13" x14ac:dyDescent="0.3">
      <c r="C77" s="289"/>
      <c r="D77" s="255"/>
      <c r="E77" s="290"/>
      <c r="F77" s="290"/>
      <c r="G77" s="291"/>
      <c r="H77" s="292"/>
      <c r="I77" s="292"/>
    </row>
    <row r="78" spans="3:14" ht="13" x14ac:dyDescent="0.3">
      <c r="C78" s="289"/>
      <c r="D78" s="255"/>
      <c r="E78" s="290"/>
      <c r="F78" s="290"/>
      <c r="G78" s="291"/>
      <c r="H78" s="292"/>
      <c r="I78" s="292"/>
    </row>
    <row r="79" spans="3:14" ht="13" x14ac:dyDescent="0.3">
      <c r="C79" s="289"/>
      <c r="D79" s="255"/>
      <c r="E79" s="290"/>
      <c r="F79" s="290"/>
      <c r="G79" s="291"/>
      <c r="H79" s="292"/>
      <c r="I79" s="292"/>
    </row>
    <row r="80" spans="3:14" ht="13" x14ac:dyDescent="0.3">
      <c r="C80" s="289"/>
      <c r="D80" s="255"/>
      <c r="E80" s="290"/>
      <c r="F80" s="290"/>
      <c r="G80" s="291"/>
      <c r="H80" s="292"/>
      <c r="I80" s="292"/>
    </row>
    <row r="81" spans="3:12" ht="13" x14ac:dyDescent="0.3">
      <c r="C81" s="289"/>
      <c r="D81" s="255"/>
      <c r="E81" s="290"/>
      <c r="F81" s="290"/>
      <c r="G81" s="291"/>
      <c r="H81" s="292"/>
      <c r="I81" s="292"/>
    </row>
    <row r="82" spans="3:12" ht="13" x14ac:dyDescent="0.3">
      <c r="C82" s="289"/>
      <c r="D82" s="255"/>
      <c r="E82" s="290"/>
      <c r="F82" s="290"/>
      <c r="G82" s="291"/>
      <c r="H82" s="292"/>
      <c r="I82" s="292"/>
    </row>
    <row r="83" spans="3:12" ht="13" x14ac:dyDescent="0.3">
      <c r="C83" s="289"/>
      <c r="D83" s="255"/>
      <c r="E83" s="290"/>
      <c r="F83" s="290"/>
      <c r="G83" s="291"/>
      <c r="H83" s="292"/>
      <c r="I83" s="292"/>
    </row>
    <row r="84" spans="3:12" ht="13" x14ac:dyDescent="0.3">
      <c r="C84" s="289"/>
      <c r="D84" s="255"/>
      <c r="E84" s="290"/>
      <c r="F84" s="290"/>
      <c r="G84" s="291"/>
      <c r="H84" s="292"/>
    </row>
    <row r="85" spans="3:12" ht="13" x14ac:dyDescent="0.3">
      <c r="C85" s="289"/>
      <c r="D85" s="255"/>
      <c r="E85" s="290"/>
      <c r="F85" s="290"/>
      <c r="G85" s="291"/>
      <c r="H85" s="292"/>
      <c r="L85" s="293"/>
    </row>
    <row r="86" spans="3:12" ht="13" x14ac:dyDescent="0.3">
      <c r="C86" s="289"/>
      <c r="D86" s="255"/>
      <c r="E86" s="290"/>
      <c r="F86" s="290"/>
      <c r="G86" s="291"/>
      <c r="L86" s="293"/>
    </row>
    <row r="87" spans="3:12" ht="13" x14ac:dyDescent="0.3">
      <c r="C87" s="289"/>
      <c r="D87" s="255"/>
      <c r="E87" s="290"/>
      <c r="F87" s="290"/>
      <c r="G87" s="291"/>
      <c r="I87" s="292"/>
      <c r="L87" s="293"/>
    </row>
    <row r="88" spans="3:12" ht="13" x14ac:dyDescent="0.3">
      <c r="C88" s="289"/>
      <c r="D88" s="255"/>
      <c r="E88" s="290"/>
      <c r="F88" s="290"/>
      <c r="G88" s="291"/>
      <c r="H88" s="292"/>
      <c r="L88" s="293"/>
    </row>
    <row r="89" spans="3:12" ht="13" x14ac:dyDescent="0.3">
      <c r="C89" s="289"/>
      <c r="D89" s="255"/>
      <c r="E89" s="290"/>
      <c r="F89" s="290"/>
      <c r="G89" s="291"/>
      <c r="H89" s="292"/>
      <c r="I89" s="292"/>
      <c r="L89" s="294"/>
    </row>
    <row r="90" spans="3:12" ht="13" x14ac:dyDescent="0.3">
      <c r="C90" s="289"/>
      <c r="D90" s="255"/>
      <c r="E90" s="290"/>
      <c r="F90" s="290"/>
      <c r="G90" s="291"/>
      <c r="I90" s="292"/>
    </row>
    <row r="91" spans="3:12" ht="13" x14ac:dyDescent="0.3">
      <c r="C91" s="289"/>
      <c r="D91" s="255"/>
      <c r="E91" s="290"/>
      <c r="F91" s="290"/>
      <c r="G91" s="291"/>
      <c r="L91" s="293"/>
    </row>
    <row r="92" spans="3:12" ht="13" x14ac:dyDescent="0.3">
      <c r="C92" s="289"/>
      <c r="D92" s="255"/>
      <c r="E92" s="290"/>
      <c r="F92" s="290"/>
      <c r="G92" s="291"/>
      <c r="H92" s="292"/>
      <c r="L92" s="293"/>
    </row>
    <row r="93" spans="3:12" ht="13" x14ac:dyDescent="0.3">
      <c r="C93" s="289"/>
      <c r="D93" s="255"/>
      <c r="E93" s="290"/>
      <c r="F93" s="290"/>
      <c r="G93" s="291"/>
      <c r="I93" s="292"/>
      <c r="L93" s="293"/>
    </row>
    <row r="94" spans="3:12" ht="13" x14ac:dyDescent="0.3">
      <c r="C94" s="289"/>
      <c r="D94" s="255"/>
      <c r="E94" s="290"/>
      <c r="F94" s="290"/>
      <c r="G94" s="291"/>
      <c r="L94" s="294"/>
    </row>
    <row r="95" spans="3:12" ht="13" x14ac:dyDescent="0.3">
      <c r="C95" s="289"/>
      <c r="D95" s="255"/>
      <c r="E95" s="290"/>
      <c r="F95" s="290"/>
      <c r="G95" s="291"/>
      <c r="H95" s="292"/>
      <c r="I95" s="292"/>
      <c r="L95" s="293"/>
    </row>
    <row r="96" spans="3:12" ht="13" x14ac:dyDescent="0.3">
      <c r="C96" s="289"/>
      <c r="D96" s="255"/>
      <c r="E96" s="290"/>
      <c r="F96" s="290"/>
      <c r="G96" s="291"/>
      <c r="H96" s="292"/>
      <c r="I96" s="292"/>
      <c r="L96" s="293"/>
    </row>
    <row r="97" spans="3:12" ht="13" x14ac:dyDescent="0.3">
      <c r="C97" s="289"/>
      <c r="D97" s="255"/>
      <c r="E97" s="290"/>
      <c r="F97" s="290"/>
      <c r="G97" s="291"/>
      <c r="H97" s="292"/>
      <c r="I97" s="292"/>
      <c r="L97" s="293"/>
    </row>
    <row r="98" spans="3:12" ht="13" x14ac:dyDescent="0.3">
      <c r="C98" s="289"/>
      <c r="D98" s="255"/>
      <c r="E98" s="290"/>
      <c r="F98" s="290"/>
      <c r="G98" s="291"/>
      <c r="I98" s="292"/>
      <c r="L98" s="293"/>
    </row>
    <row r="99" spans="3:12" ht="13" x14ac:dyDescent="0.3">
      <c r="C99" s="289"/>
      <c r="D99" s="255"/>
      <c r="E99" s="290"/>
      <c r="F99" s="290"/>
      <c r="G99" s="291"/>
      <c r="I99" s="292"/>
      <c r="L99" s="293"/>
    </row>
    <row r="100" spans="3:12" ht="13" x14ac:dyDescent="0.3">
      <c r="C100" s="289"/>
      <c r="D100" s="255"/>
      <c r="E100" s="290"/>
      <c r="F100" s="290"/>
      <c r="G100" s="291"/>
      <c r="H100" s="292"/>
      <c r="I100" s="292"/>
      <c r="L100" s="293"/>
    </row>
    <row r="101" spans="3:12" ht="13" x14ac:dyDescent="0.3">
      <c r="C101" s="289"/>
      <c r="D101" s="255"/>
      <c r="E101" s="290"/>
      <c r="F101" s="290"/>
      <c r="G101" s="291"/>
      <c r="I101" s="292"/>
      <c r="L101" s="293"/>
    </row>
    <row r="102" spans="3:12" ht="13" x14ac:dyDescent="0.3">
      <c r="C102" s="289"/>
      <c r="D102" s="255"/>
      <c r="E102" s="290"/>
      <c r="F102" s="290"/>
      <c r="G102" s="291"/>
      <c r="I102" s="292"/>
      <c r="L102" s="293"/>
    </row>
    <row r="103" spans="3:12" ht="13" x14ac:dyDescent="0.3">
      <c r="C103" s="289"/>
      <c r="D103" s="255"/>
      <c r="E103" s="290"/>
      <c r="F103" s="290"/>
      <c r="G103" s="291"/>
      <c r="I103" s="292"/>
      <c r="L103" s="293"/>
    </row>
    <row r="104" spans="3:12" ht="13" x14ac:dyDescent="0.3">
      <c r="C104" s="289"/>
      <c r="D104" s="255"/>
      <c r="E104" s="290"/>
      <c r="F104" s="290"/>
      <c r="G104" s="291"/>
      <c r="H104" s="292"/>
      <c r="L104" s="293"/>
    </row>
    <row r="105" spans="3:12" ht="13" x14ac:dyDescent="0.3">
      <c r="C105" s="289"/>
      <c r="D105" s="255"/>
      <c r="E105" s="290"/>
      <c r="F105" s="290"/>
      <c r="G105" s="291"/>
      <c r="H105" s="292"/>
      <c r="I105" s="292"/>
      <c r="L105" s="293"/>
    </row>
    <row r="106" spans="3:12" ht="13" x14ac:dyDescent="0.3">
      <c r="C106" s="289"/>
      <c r="D106" s="255"/>
      <c r="E106" s="290"/>
      <c r="F106" s="290"/>
      <c r="G106" s="291"/>
      <c r="I106" s="292"/>
      <c r="L106" s="293"/>
    </row>
    <row r="107" spans="3:12" ht="13" x14ac:dyDescent="0.3">
      <c r="C107" s="289"/>
      <c r="D107" s="255"/>
      <c r="E107" s="290"/>
      <c r="F107" s="290"/>
      <c r="G107" s="291"/>
      <c r="I107" s="292"/>
      <c r="L107" s="293"/>
    </row>
    <row r="108" spans="3:12" ht="13" x14ac:dyDescent="0.3">
      <c r="C108"/>
      <c r="D108"/>
      <c r="E108" s="290"/>
      <c r="F108" s="290"/>
      <c r="G108" s="291"/>
      <c r="H108" s="292"/>
      <c r="I108" s="292"/>
      <c r="L108" s="293"/>
    </row>
    <row r="109" spans="3:12" ht="13" x14ac:dyDescent="0.3">
      <c r="E109" s="290"/>
      <c r="F109" s="290"/>
      <c r="G109" s="291"/>
      <c r="I109" s="292"/>
      <c r="L109" s="293"/>
    </row>
    <row r="110" spans="3:12" ht="13" x14ac:dyDescent="0.3">
      <c r="E110" s="290"/>
      <c r="F110" s="290"/>
      <c r="G110" s="291"/>
      <c r="I110" s="292"/>
    </row>
  </sheetData>
  <autoFilter ref="C11:I60" xr:uid="{28E58B19-721C-4A96-B85A-CC1384CE08CD}"/>
  <mergeCells count="1">
    <mergeCell ref="C8:K8"/>
  </mergeCells>
  <phoneticPr fontId="106" type="noConversion"/>
  <pageMargins left="0.7" right="0.7" top="0.75" bottom="0.75" header="0.3" footer="0.3"/>
  <pageSetup scale="31"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C38"/>
  <sheetViews>
    <sheetView showGridLines="0" view="pageBreakPreview" zoomScale="115" zoomScaleNormal="100" zoomScaleSheetLayoutView="115" workbookViewId="0">
      <selection activeCell="G31" sqref="G31"/>
    </sheetView>
  </sheetViews>
  <sheetFormatPr defaultColWidth="11.54296875" defaultRowHeight="12.5" x14ac:dyDescent="0.25"/>
  <cols>
    <col min="1" max="1" width="12.7265625" style="348" bestFit="1" customWidth="1"/>
    <col min="2" max="2" width="24" style="348" customWidth="1"/>
    <col min="3" max="3" width="17.26953125" style="348" bestFit="1" customWidth="1"/>
    <col min="4" max="4" width="17.81640625" style="348" bestFit="1" customWidth="1"/>
    <col min="5" max="5" width="16.54296875" style="360" bestFit="1" customWidth="1"/>
    <col min="6" max="6" width="18" style="348" bestFit="1" customWidth="1"/>
    <col min="7" max="7" width="60.26953125" style="348" customWidth="1"/>
    <col min="8" max="8" width="61.7265625" style="348" bestFit="1" customWidth="1"/>
    <col min="9" max="9" width="15.26953125" style="348" bestFit="1" customWidth="1"/>
    <col min="10" max="10" width="11.26953125" style="348" bestFit="1" customWidth="1"/>
    <col min="11" max="11" width="16.54296875" style="348" bestFit="1" customWidth="1"/>
    <col min="12" max="12" width="35.1796875" style="348" bestFit="1" customWidth="1"/>
    <col min="13" max="13" width="27.26953125" style="348" bestFit="1" customWidth="1"/>
    <col min="14" max="14" width="27.1796875" style="348" bestFit="1" customWidth="1"/>
    <col min="15" max="15" width="34.453125" style="348" bestFit="1" customWidth="1"/>
    <col min="16" max="16" width="36.54296875" style="348" bestFit="1" customWidth="1"/>
    <col min="17" max="17" width="20.81640625" style="348" bestFit="1" customWidth="1"/>
    <col min="18" max="18" width="30.7265625" style="348" bestFit="1" customWidth="1"/>
    <col min="19" max="20" width="19.54296875" style="348" bestFit="1" customWidth="1"/>
    <col min="21" max="21" width="39.1796875" style="348" bestFit="1" customWidth="1"/>
    <col min="22" max="22" width="36.54296875" style="348" bestFit="1" customWidth="1"/>
    <col min="23" max="23" width="28" style="348" bestFit="1" customWidth="1"/>
    <col min="24" max="24" width="38.7265625" style="348" bestFit="1" customWidth="1"/>
    <col min="25" max="25" width="16" style="348" bestFit="1" customWidth="1"/>
    <col min="26" max="26" width="14.54296875" style="348" bestFit="1" customWidth="1"/>
    <col min="27" max="27" width="8" style="348" bestFit="1" customWidth="1"/>
    <col min="28" max="28" width="14.54296875" style="348" bestFit="1" customWidth="1"/>
    <col min="29" max="29" width="40.1796875" style="348" bestFit="1" customWidth="1"/>
    <col min="30" max="257" width="11.54296875" style="348"/>
    <col min="258" max="258" width="18.453125" style="348" customWidth="1"/>
    <col min="259" max="259" width="47.453125" style="348" customWidth="1"/>
    <col min="260" max="260" width="15.54296875" style="348" customWidth="1"/>
    <col min="261" max="261" width="17" style="348" customWidth="1"/>
    <col min="262" max="262" width="22.453125" style="348" customWidth="1"/>
    <col min="263" max="264" width="15.54296875" style="348" customWidth="1"/>
    <col min="265" max="265" width="25.54296875" style="348" customWidth="1"/>
    <col min="266" max="513" width="11.54296875" style="348"/>
    <col min="514" max="514" width="18.453125" style="348" customWidth="1"/>
    <col min="515" max="515" width="47.453125" style="348" customWidth="1"/>
    <col min="516" max="516" width="15.54296875" style="348" customWidth="1"/>
    <col min="517" max="517" width="17" style="348" customWidth="1"/>
    <col min="518" max="518" width="22.453125" style="348" customWidth="1"/>
    <col min="519" max="520" width="15.54296875" style="348" customWidth="1"/>
    <col min="521" max="521" width="25.54296875" style="348" customWidth="1"/>
    <col min="522" max="769" width="11.54296875" style="348"/>
    <col min="770" max="770" width="18.453125" style="348" customWidth="1"/>
    <col min="771" max="771" width="47.453125" style="348" customWidth="1"/>
    <col min="772" max="772" width="15.54296875" style="348" customWidth="1"/>
    <col min="773" max="773" width="17" style="348" customWidth="1"/>
    <col min="774" max="774" width="22.453125" style="348" customWidth="1"/>
    <col min="775" max="776" width="15.54296875" style="348" customWidth="1"/>
    <col min="777" max="777" width="25.54296875" style="348" customWidth="1"/>
    <col min="778" max="1025" width="11.54296875" style="348"/>
    <col min="1026" max="1026" width="18.453125" style="348" customWidth="1"/>
    <col min="1027" max="1027" width="47.453125" style="348" customWidth="1"/>
    <col min="1028" max="1028" width="15.54296875" style="348" customWidth="1"/>
    <col min="1029" max="1029" width="17" style="348" customWidth="1"/>
    <col min="1030" max="1030" width="22.453125" style="348" customWidth="1"/>
    <col min="1031" max="1032" width="15.54296875" style="348" customWidth="1"/>
    <col min="1033" max="1033" width="25.54296875" style="348" customWidth="1"/>
    <col min="1034" max="1281" width="11.54296875" style="348"/>
    <col min="1282" max="1282" width="18.453125" style="348" customWidth="1"/>
    <col min="1283" max="1283" width="47.453125" style="348" customWidth="1"/>
    <col min="1284" max="1284" width="15.54296875" style="348" customWidth="1"/>
    <col min="1285" max="1285" width="17" style="348" customWidth="1"/>
    <col min="1286" max="1286" width="22.453125" style="348" customWidth="1"/>
    <col min="1287" max="1288" width="15.54296875" style="348" customWidth="1"/>
    <col min="1289" max="1289" width="25.54296875" style="348" customWidth="1"/>
    <col min="1290" max="1537" width="11.54296875" style="348"/>
    <col min="1538" max="1538" width="18.453125" style="348" customWidth="1"/>
    <col min="1539" max="1539" width="47.453125" style="348" customWidth="1"/>
    <col min="1540" max="1540" width="15.54296875" style="348" customWidth="1"/>
    <col min="1541" max="1541" width="17" style="348" customWidth="1"/>
    <col min="1542" max="1542" width="22.453125" style="348" customWidth="1"/>
    <col min="1543" max="1544" width="15.54296875" style="348" customWidth="1"/>
    <col min="1545" max="1545" width="25.54296875" style="348" customWidth="1"/>
    <col min="1546" max="1793" width="11.54296875" style="348"/>
    <col min="1794" max="1794" width="18.453125" style="348" customWidth="1"/>
    <col min="1795" max="1795" width="47.453125" style="348" customWidth="1"/>
    <col min="1796" max="1796" width="15.54296875" style="348" customWidth="1"/>
    <col min="1797" max="1797" width="17" style="348" customWidth="1"/>
    <col min="1798" max="1798" width="22.453125" style="348" customWidth="1"/>
    <col min="1799" max="1800" width="15.54296875" style="348" customWidth="1"/>
    <col min="1801" max="1801" width="25.54296875" style="348" customWidth="1"/>
    <col min="1802" max="2049" width="11.54296875" style="348"/>
    <col min="2050" max="2050" width="18.453125" style="348" customWidth="1"/>
    <col min="2051" max="2051" width="47.453125" style="348" customWidth="1"/>
    <col min="2052" max="2052" width="15.54296875" style="348" customWidth="1"/>
    <col min="2053" max="2053" width="17" style="348" customWidth="1"/>
    <col min="2054" max="2054" width="22.453125" style="348" customWidth="1"/>
    <col min="2055" max="2056" width="15.54296875" style="348" customWidth="1"/>
    <col min="2057" max="2057" width="25.54296875" style="348" customWidth="1"/>
    <col min="2058" max="2305" width="11.54296875" style="348"/>
    <col min="2306" max="2306" width="18.453125" style="348" customWidth="1"/>
    <col min="2307" max="2307" width="47.453125" style="348" customWidth="1"/>
    <col min="2308" max="2308" width="15.54296875" style="348" customWidth="1"/>
    <col min="2309" max="2309" width="17" style="348" customWidth="1"/>
    <col min="2310" max="2310" width="22.453125" style="348" customWidth="1"/>
    <col min="2311" max="2312" width="15.54296875" style="348" customWidth="1"/>
    <col min="2313" max="2313" width="25.54296875" style="348" customWidth="1"/>
    <col min="2314" max="2561" width="11.54296875" style="348"/>
    <col min="2562" max="2562" width="18.453125" style="348" customWidth="1"/>
    <col min="2563" max="2563" width="47.453125" style="348" customWidth="1"/>
    <col min="2564" max="2564" width="15.54296875" style="348" customWidth="1"/>
    <col min="2565" max="2565" width="17" style="348" customWidth="1"/>
    <col min="2566" max="2566" width="22.453125" style="348" customWidth="1"/>
    <col min="2567" max="2568" width="15.54296875" style="348" customWidth="1"/>
    <col min="2569" max="2569" width="25.54296875" style="348" customWidth="1"/>
    <col min="2570" max="2817" width="11.54296875" style="348"/>
    <col min="2818" max="2818" width="18.453125" style="348" customWidth="1"/>
    <col min="2819" max="2819" width="47.453125" style="348" customWidth="1"/>
    <col min="2820" max="2820" width="15.54296875" style="348" customWidth="1"/>
    <col min="2821" max="2821" width="17" style="348" customWidth="1"/>
    <col min="2822" max="2822" width="22.453125" style="348" customWidth="1"/>
    <col min="2823" max="2824" width="15.54296875" style="348" customWidth="1"/>
    <col min="2825" max="2825" width="25.54296875" style="348" customWidth="1"/>
    <col min="2826" max="3073" width="11.54296875" style="348"/>
    <col min="3074" max="3074" width="18.453125" style="348" customWidth="1"/>
    <col min="3075" max="3075" width="47.453125" style="348" customWidth="1"/>
    <col min="3076" max="3076" width="15.54296875" style="348" customWidth="1"/>
    <col min="3077" max="3077" width="17" style="348" customWidth="1"/>
    <col min="3078" max="3078" width="22.453125" style="348" customWidth="1"/>
    <col min="3079" max="3080" width="15.54296875" style="348" customWidth="1"/>
    <col min="3081" max="3081" width="25.54296875" style="348" customWidth="1"/>
    <col min="3082" max="3329" width="11.54296875" style="348"/>
    <col min="3330" max="3330" width="18.453125" style="348" customWidth="1"/>
    <col min="3331" max="3331" width="47.453125" style="348" customWidth="1"/>
    <col min="3332" max="3332" width="15.54296875" style="348" customWidth="1"/>
    <col min="3333" max="3333" width="17" style="348" customWidth="1"/>
    <col min="3334" max="3334" width="22.453125" style="348" customWidth="1"/>
    <col min="3335" max="3336" width="15.54296875" style="348" customWidth="1"/>
    <col min="3337" max="3337" width="25.54296875" style="348" customWidth="1"/>
    <col min="3338" max="3585" width="11.54296875" style="348"/>
    <col min="3586" max="3586" width="18.453125" style="348" customWidth="1"/>
    <col min="3587" max="3587" width="47.453125" style="348" customWidth="1"/>
    <col min="3588" max="3588" width="15.54296875" style="348" customWidth="1"/>
    <col min="3589" max="3589" width="17" style="348" customWidth="1"/>
    <col min="3590" max="3590" width="22.453125" style="348" customWidth="1"/>
    <col min="3591" max="3592" width="15.54296875" style="348" customWidth="1"/>
    <col min="3593" max="3593" width="25.54296875" style="348" customWidth="1"/>
    <col min="3594" max="3841" width="11.54296875" style="348"/>
    <col min="3842" max="3842" width="18.453125" style="348" customWidth="1"/>
    <col min="3843" max="3843" width="47.453125" style="348" customWidth="1"/>
    <col min="3844" max="3844" width="15.54296875" style="348" customWidth="1"/>
    <col min="3845" max="3845" width="17" style="348" customWidth="1"/>
    <col min="3846" max="3846" width="22.453125" style="348" customWidth="1"/>
    <col min="3847" max="3848" width="15.54296875" style="348" customWidth="1"/>
    <col min="3849" max="3849" width="25.54296875" style="348" customWidth="1"/>
    <col min="3850" max="4097" width="11.54296875" style="348"/>
    <col min="4098" max="4098" width="18.453125" style="348" customWidth="1"/>
    <col min="4099" max="4099" width="47.453125" style="348" customWidth="1"/>
    <col min="4100" max="4100" width="15.54296875" style="348" customWidth="1"/>
    <col min="4101" max="4101" width="17" style="348" customWidth="1"/>
    <col min="4102" max="4102" width="22.453125" style="348" customWidth="1"/>
    <col min="4103" max="4104" width="15.54296875" style="348" customWidth="1"/>
    <col min="4105" max="4105" width="25.54296875" style="348" customWidth="1"/>
    <col min="4106" max="4353" width="11.54296875" style="348"/>
    <col min="4354" max="4354" width="18.453125" style="348" customWidth="1"/>
    <col min="4355" max="4355" width="47.453125" style="348" customWidth="1"/>
    <col min="4356" max="4356" width="15.54296875" style="348" customWidth="1"/>
    <col min="4357" max="4357" width="17" style="348" customWidth="1"/>
    <col min="4358" max="4358" width="22.453125" style="348" customWidth="1"/>
    <col min="4359" max="4360" width="15.54296875" style="348" customWidth="1"/>
    <col min="4361" max="4361" width="25.54296875" style="348" customWidth="1"/>
    <col min="4362" max="4609" width="11.54296875" style="348"/>
    <col min="4610" max="4610" width="18.453125" style="348" customWidth="1"/>
    <col min="4611" max="4611" width="47.453125" style="348" customWidth="1"/>
    <col min="4612" max="4612" width="15.54296875" style="348" customWidth="1"/>
    <col min="4613" max="4613" width="17" style="348" customWidth="1"/>
    <col min="4614" max="4614" width="22.453125" style="348" customWidth="1"/>
    <col min="4615" max="4616" width="15.54296875" style="348" customWidth="1"/>
    <col min="4617" max="4617" width="25.54296875" style="348" customWidth="1"/>
    <col min="4618" max="4865" width="11.54296875" style="348"/>
    <col min="4866" max="4866" width="18.453125" style="348" customWidth="1"/>
    <col min="4867" max="4867" width="47.453125" style="348" customWidth="1"/>
    <col min="4868" max="4868" width="15.54296875" style="348" customWidth="1"/>
    <col min="4869" max="4869" width="17" style="348" customWidth="1"/>
    <col min="4870" max="4870" width="22.453125" style="348" customWidth="1"/>
    <col min="4871" max="4872" width="15.54296875" style="348" customWidth="1"/>
    <col min="4873" max="4873" width="25.54296875" style="348" customWidth="1"/>
    <col min="4874" max="5121" width="11.54296875" style="348"/>
    <col min="5122" max="5122" width="18.453125" style="348" customWidth="1"/>
    <col min="5123" max="5123" width="47.453125" style="348" customWidth="1"/>
    <col min="5124" max="5124" width="15.54296875" style="348" customWidth="1"/>
    <col min="5125" max="5125" width="17" style="348" customWidth="1"/>
    <col min="5126" max="5126" width="22.453125" style="348" customWidth="1"/>
    <col min="5127" max="5128" width="15.54296875" style="348" customWidth="1"/>
    <col min="5129" max="5129" width="25.54296875" style="348" customWidth="1"/>
    <col min="5130" max="5377" width="11.54296875" style="348"/>
    <col min="5378" max="5378" width="18.453125" style="348" customWidth="1"/>
    <col min="5379" max="5379" width="47.453125" style="348" customWidth="1"/>
    <col min="5380" max="5380" width="15.54296875" style="348" customWidth="1"/>
    <col min="5381" max="5381" width="17" style="348" customWidth="1"/>
    <col min="5382" max="5382" width="22.453125" style="348" customWidth="1"/>
    <col min="5383" max="5384" width="15.54296875" style="348" customWidth="1"/>
    <col min="5385" max="5385" width="25.54296875" style="348" customWidth="1"/>
    <col min="5386" max="5633" width="11.54296875" style="348"/>
    <col min="5634" max="5634" width="18.453125" style="348" customWidth="1"/>
    <col min="5635" max="5635" width="47.453125" style="348" customWidth="1"/>
    <col min="5636" max="5636" width="15.54296875" style="348" customWidth="1"/>
    <col min="5637" max="5637" width="17" style="348" customWidth="1"/>
    <col min="5638" max="5638" width="22.453125" style="348" customWidth="1"/>
    <col min="5639" max="5640" width="15.54296875" style="348" customWidth="1"/>
    <col min="5641" max="5641" width="25.54296875" style="348" customWidth="1"/>
    <col min="5642" max="5889" width="11.54296875" style="348"/>
    <col min="5890" max="5890" width="18.453125" style="348" customWidth="1"/>
    <col min="5891" max="5891" width="47.453125" style="348" customWidth="1"/>
    <col min="5892" max="5892" width="15.54296875" style="348" customWidth="1"/>
    <col min="5893" max="5893" width="17" style="348" customWidth="1"/>
    <col min="5894" max="5894" width="22.453125" style="348" customWidth="1"/>
    <col min="5895" max="5896" width="15.54296875" style="348" customWidth="1"/>
    <col min="5897" max="5897" width="25.54296875" style="348" customWidth="1"/>
    <col min="5898" max="6145" width="11.54296875" style="348"/>
    <col min="6146" max="6146" width="18.453125" style="348" customWidth="1"/>
    <col min="6147" max="6147" width="47.453125" style="348" customWidth="1"/>
    <col min="6148" max="6148" width="15.54296875" style="348" customWidth="1"/>
    <col min="6149" max="6149" width="17" style="348" customWidth="1"/>
    <col min="6150" max="6150" width="22.453125" style="348" customWidth="1"/>
    <col min="6151" max="6152" width="15.54296875" style="348" customWidth="1"/>
    <col min="6153" max="6153" width="25.54296875" style="348" customWidth="1"/>
    <col min="6154" max="6401" width="11.54296875" style="348"/>
    <col min="6402" max="6402" width="18.453125" style="348" customWidth="1"/>
    <col min="6403" max="6403" width="47.453125" style="348" customWidth="1"/>
    <col min="6404" max="6404" width="15.54296875" style="348" customWidth="1"/>
    <col min="6405" max="6405" width="17" style="348" customWidth="1"/>
    <col min="6406" max="6406" width="22.453125" style="348" customWidth="1"/>
    <col min="6407" max="6408" width="15.54296875" style="348" customWidth="1"/>
    <col min="6409" max="6409" width="25.54296875" style="348" customWidth="1"/>
    <col min="6410" max="6657" width="11.54296875" style="348"/>
    <col min="6658" max="6658" width="18.453125" style="348" customWidth="1"/>
    <col min="6659" max="6659" width="47.453125" style="348" customWidth="1"/>
    <col min="6660" max="6660" width="15.54296875" style="348" customWidth="1"/>
    <col min="6661" max="6661" width="17" style="348" customWidth="1"/>
    <col min="6662" max="6662" width="22.453125" style="348" customWidth="1"/>
    <col min="6663" max="6664" width="15.54296875" style="348" customWidth="1"/>
    <col min="6665" max="6665" width="25.54296875" style="348" customWidth="1"/>
    <col min="6666" max="6913" width="11.54296875" style="348"/>
    <col min="6914" max="6914" width="18.453125" style="348" customWidth="1"/>
    <col min="6915" max="6915" width="47.453125" style="348" customWidth="1"/>
    <col min="6916" max="6916" width="15.54296875" style="348" customWidth="1"/>
    <col min="6917" max="6917" width="17" style="348" customWidth="1"/>
    <col min="6918" max="6918" width="22.453125" style="348" customWidth="1"/>
    <col min="6919" max="6920" width="15.54296875" style="348" customWidth="1"/>
    <col min="6921" max="6921" width="25.54296875" style="348" customWidth="1"/>
    <col min="6922" max="7169" width="11.54296875" style="348"/>
    <col min="7170" max="7170" width="18.453125" style="348" customWidth="1"/>
    <col min="7171" max="7171" width="47.453125" style="348" customWidth="1"/>
    <col min="7172" max="7172" width="15.54296875" style="348" customWidth="1"/>
    <col min="7173" max="7173" width="17" style="348" customWidth="1"/>
    <col min="7174" max="7174" width="22.453125" style="348" customWidth="1"/>
    <col min="7175" max="7176" width="15.54296875" style="348" customWidth="1"/>
    <col min="7177" max="7177" width="25.54296875" style="348" customWidth="1"/>
    <col min="7178" max="7425" width="11.54296875" style="348"/>
    <col min="7426" max="7426" width="18.453125" style="348" customWidth="1"/>
    <col min="7427" max="7427" width="47.453125" style="348" customWidth="1"/>
    <col min="7428" max="7428" width="15.54296875" style="348" customWidth="1"/>
    <col min="7429" max="7429" width="17" style="348" customWidth="1"/>
    <col min="7430" max="7430" width="22.453125" style="348" customWidth="1"/>
    <col min="7431" max="7432" width="15.54296875" style="348" customWidth="1"/>
    <col min="7433" max="7433" width="25.54296875" style="348" customWidth="1"/>
    <col min="7434" max="7681" width="11.54296875" style="348"/>
    <col min="7682" max="7682" width="18.453125" style="348" customWidth="1"/>
    <col min="7683" max="7683" width="47.453125" style="348" customWidth="1"/>
    <col min="7684" max="7684" width="15.54296875" style="348" customWidth="1"/>
    <col min="7685" max="7685" width="17" style="348" customWidth="1"/>
    <col min="7686" max="7686" width="22.453125" style="348" customWidth="1"/>
    <col min="7687" max="7688" width="15.54296875" style="348" customWidth="1"/>
    <col min="7689" max="7689" width="25.54296875" style="348" customWidth="1"/>
    <col min="7690" max="7937" width="11.54296875" style="348"/>
    <col min="7938" max="7938" width="18.453125" style="348" customWidth="1"/>
    <col min="7939" max="7939" width="47.453125" style="348" customWidth="1"/>
    <col min="7940" max="7940" width="15.54296875" style="348" customWidth="1"/>
    <col min="7941" max="7941" width="17" style="348" customWidth="1"/>
    <col min="7942" max="7942" width="22.453125" style="348" customWidth="1"/>
    <col min="7943" max="7944" width="15.54296875" style="348" customWidth="1"/>
    <col min="7945" max="7945" width="25.54296875" style="348" customWidth="1"/>
    <col min="7946" max="8193" width="11.54296875" style="348"/>
    <col min="8194" max="8194" width="18.453125" style="348" customWidth="1"/>
    <col min="8195" max="8195" width="47.453125" style="348" customWidth="1"/>
    <col min="8196" max="8196" width="15.54296875" style="348" customWidth="1"/>
    <col min="8197" max="8197" width="17" style="348" customWidth="1"/>
    <col min="8198" max="8198" width="22.453125" style="348" customWidth="1"/>
    <col min="8199" max="8200" width="15.54296875" style="348" customWidth="1"/>
    <col min="8201" max="8201" width="25.54296875" style="348" customWidth="1"/>
    <col min="8202" max="8449" width="11.54296875" style="348"/>
    <col min="8450" max="8450" width="18.453125" style="348" customWidth="1"/>
    <col min="8451" max="8451" width="47.453125" style="348" customWidth="1"/>
    <col min="8452" max="8452" width="15.54296875" style="348" customWidth="1"/>
    <col min="8453" max="8453" width="17" style="348" customWidth="1"/>
    <col min="8454" max="8454" width="22.453125" style="348" customWidth="1"/>
    <col min="8455" max="8456" width="15.54296875" style="348" customWidth="1"/>
    <col min="8457" max="8457" width="25.54296875" style="348" customWidth="1"/>
    <col min="8458" max="8705" width="11.54296875" style="348"/>
    <col min="8706" max="8706" width="18.453125" style="348" customWidth="1"/>
    <col min="8707" max="8707" width="47.453125" style="348" customWidth="1"/>
    <col min="8708" max="8708" width="15.54296875" style="348" customWidth="1"/>
    <col min="8709" max="8709" width="17" style="348" customWidth="1"/>
    <col min="8710" max="8710" width="22.453125" style="348" customWidth="1"/>
    <col min="8711" max="8712" width="15.54296875" style="348" customWidth="1"/>
    <col min="8713" max="8713" width="25.54296875" style="348" customWidth="1"/>
    <col min="8714" max="8961" width="11.54296875" style="348"/>
    <col min="8962" max="8962" width="18.453125" style="348" customWidth="1"/>
    <col min="8963" max="8963" width="47.453125" style="348" customWidth="1"/>
    <col min="8964" max="8964" width="15.54296875" style="348" customWidth="1"/>
    <col min="8965" max="8965" width="17" style="348" customWidth="1"/>
    <col min="8966" max="8966" width="22.453125" style="348" customWidth="1"/>
    <col min="8967" max="8968" width="15.54296875" style="348" customWidth="1"/>
    <col min="8969" max="8969" width="25.54296875" style="348" customWidth="1"/>
    <col min="8970" max="9217" width="11.54296875" style="348"/>
    <col min="9218" max="9218" width="18.453125" style="348" customWidth="1"/>
    <col min="9219" max="9219" width="47.453125" style="348" customWidth="1"/>
    <col min="9220" max="9220" width="15.54296875" style="348" customWidth="1"/>
    <col min="9221" max="9221" width="17" style="348" customWidth="1"/>
    <col min="9222" max="9222" width="22.453125" style="348" customWidth="1"/>
    <col min="9223" max="9224" width="15.54296875" style="348" customWidth="1"/>
    <col min="9225" max="9225" width="25.54296875" style="348" customWidth="1"/>
    <col min="9226" max="9473" width="11.54296875" style="348"/>
    <col min="9474" max="9474" width="18.453125" style="348" customWidth="1"/>
    <col min="9475" max="9475" width="47.453125" style="348" customWidth="1"/>
    <col min="9476" max="9476" width="15.54296875" style="348" customWidth="1"/>
    <col min="9477" max="9477" width="17" style="348" customWidth="1"/>
    <col min="9478" max="9478" width="22.453125" style="348" customWidth="1"/>
    <col min="9479" max="9480" width="15.54296875" style="348" customWidth="1"/>
    <col min="9481" max="9481" width="25.54296875" style="348" customWidth="1"/>
    <col min="9482" max="9729" width="11.54296875" style="348"/>
    <col min="9730" max="9730" width="18.453125" style="348" customWidth="1"/>
    <col min="9731" max="9731" width="47.453125" style="348" customWidth="1"/>
    <col min="9732" max="9732" width="15.54296875" style="348" customWidth="1"/>
    <col min="9733" max="9733" width="17" style="348" customWidth="1"/>
    <col min="9734" max="9734" width="22.453125" style="348" customWidth="1"/>
    <col min="9735" max="9736" width="15.54296875" style="348" customWidth="1"/>
    <col min="9737" max="9737" width="25.54296875" style="348" customWidth="1"/>
    <col min="9738" max="9985" width="11.54296875" style="348"/>
    <col min="9986" max="9986" width="18.453125" style="348" customWidth="1"/>
    <col min="9987" max="9987" width="47.453125" style="348" customWidth="1"/>
    <col min="9988" max="9988" width="15.54296875" style="348" customWidth="1"/>
    <col min="9989" max="9989" width="17" style="348" customWidth="1"/>
    <col min="9990" max="9990" width="22.453125" style="348" customWidth="1"/>
    <col min="9991" max="9992" width="15.54296875" style="348" customWidth="1"/>
    <col min="9993" max="9993" width="25.54296875" style="348" customWidth="1"/>
    <col min="9994" max="10241" width="11.54296875" style="348"/>
    <col min="10242" max="10242" width="18.453125" style="348" customWidth="1"/>
    <col min="10243" max="10243" width="47.453125" style="348" customWidth="1"/>
    <col min="10244" max="10244" width="15.54296875" style="348" customWidth="1"/>
    <col min="10245" max="10245" width="17" style="348" customWidth="1"/>
    <col min="10246" max="10246" width="22.453125" style="348" customWidth="1"/>
    <col min="10247" max="10248" width="15.54296875" style="348" customWidth="1"/>
    <col min="10249" max="10249" width="25.54296875" style="348" customWidth="1"/>
    <col min="10250" max="10497" width="11.54296875" style="348"/>
    <col min="10498" max="10498" width="18.453125" style="348" customWidth="1"/>
    <col min="10499" max="10499" width="47.453125" style="348" customWidth="1"/>
    <col min="10500" max="10500" width="15.54296875" style="348" customWidth="1"/>
    <col min="10501" max="10501" width="17" style="348" customWidth="1"/>
    <col min="10502" max="10502" width="22.453125" style="348" customWidth="1"/>
    <col min="10503" max="10504" width="15.54296875" style="348" customWidth="1"/>
    <col min="10505" max="10505" width="25.54296875" style="348" customWidth="1"/>
    <col min="10506" max="10753" width="11.54296875" style="348"/>
    <col min="10754" max="10754" width="18.453125" style="348" customWidth="1"/>
    <col min="10755" max="10755" width="47.453125" style="348" customWidth="1"/>
    <col min="10756" max="10756" width="15.54296875" style="348" customWidth="1"/>
    <col min="10757" max="10757" width="17" style="348" customWidth="1"/>
    <col min="10758" max="10758" width="22.453125" style="348" customWidth="1"/>
    <col min="10759" max="10760" width="15.54296875" style="348" customWidth="1"/>
    <col min="10761" max="10761" width="25.54296875" style="348" customWidth="1"/>
    <col min="10762" max="11009" width="11.54296875" style="348"/>
    <col min="11010" max="11010" width="18.453125" style="348" customWidth="1"/>
    <col min="11011" max="11011" width="47.453125" style="348" customWidth="1"/>
    <col min="11012" max="11012" width="15.54296875" style="348" customWidth="1"/>
    <col min="11013" max="11013" width="17" style="348" customWidth="1"/>
    <col min="11014" max="11014" width="22.453125" style="348" customWidth="1"/>
    <col min="11015" max="11016" width="15.54296875" style="348" customWidth="1"/>
    <col min="11017" max="11017" width="25.54296875" style="348" customWidth="1"/>
    <col min="11018" max="11265" width="11.54296875" style="348"/>
    <col min="11266" max="11266" width="18.453125" style="348" customWidth="1"/>
    <col min="11267" max="11267" width="47.453125" style="348" customWidth="1"/>
    <col min="11268" max="11268" width="15.54296875" style="348" customWidth="1"/>
    <col min="11269" max="11269" width="17" style="348" customWidth="1"/>
    <col min="11270" max="11270" width="22.453125" style="348" customWidth="1"/>
    <col min="11271" max="11272" width="15.54296875" style="348" customWidth="1"/>
    <col min="11273" max="11273" width="25.54296875" style="348" customWidth="1"/>
    <col min="11274" max="11521" width="11.54296875" style="348"/>
    <col min="11522" max="11522" width="18.453125" style="348" customWidth="1"/>
    <col min="11523" max="11523" width="47.453125" style="348" customWidth="1"/>
    <col min="11524" max="11524" width="15.54296875" style="348" customWidth="1"/>
    <col min="11525" max="11525" width="17" style="348" customWidth="1"/>
    <col min="11526" max="11526" width="22.453125" style="348" customWidth="1"/>
    <col min="11527" max="11528" width="15.54296875" style="348" customWidth="1"/>
    <col min="11529" max="11529" width="25.54296875" style="348" customWidth="1"/>
    <col min="11530" max="11777" width="11.54296875" style="348"/>
    <col min="11778" max="11778" width="18.453125" style="348" customWidth="1"/>
    <col min="11779" max="11779" width="47.453125" style="348" customWidth="1"/>
    <col min="11780" max="11780" width="15.54296875" style="348" customWidth="1"/>
    <col min="11781" max="11781" width="17" style="348" customWidth="1"/>
    <col min="11782" max="11782" width="22.453125" style="348" customWidth="1"/>
    <col min="11783" max="11784" width="15.54296875" style="348" customWidth="1"/>
    <col min="11785" max="11785" width="25.54296875" style="348" customWidth="1"/>
    <col min="11786" max="12033" width="11.54296875" style="348"/>
    <col min="12034" max="12034" width="18.453125" style="348" customWidth="1"/>
    <col min="12035" max="12035" width="47.453125" style="348" customWidth="1"/>
    <col min="12036" max="12036" width="15.54296875" style="348" customWidth="1"/>
    <col min="12037" max="12037" width="17" style="348" customWidth="1"/>
    <col min="12038" max="12038" width="22.453125" style="348" customWidth="1"/>
    <col min="12039" max="12040" width="15.54296875" style="348" customWidth="1"/>
    <col min="12041" max="12041" width="25.54296875" style="348" customWidth="1"/>
    <col min="12042" max="12289" width="11.54296875" style="348"/>
    <col min="12290" max="12290" width="18.453125" style="348" customWidth="1"/>
    <col min="12291" max="12291" width="47.453125" style="348" customWidth="1"/>
    <col min="12292" max="12292" width="15.54296875" style="348" customWidth="1"/>
    <col min="12293" max="12293" width="17" style="348" customWidth="1"/>
    <col min="12294" max="12294" width="22.453125" style="348" customWidth="1"/>
    <col min="12295" max="12296" width="15.54296875" style="348" customWidth="1"/>
    <col min="12297" max="12297" width="25.54296875" style="348" customWidth="1"/>
    <col min="12298" max="12545" width="11.54296875" style="348"/>
    <col min="12546" max="12546" width="18.453125" style="348" customWidth="1"/>
    <col min="12547" max="12547" width="47.453125" style="348" customWidth="1"/>
    <col min="12548" max="12548" width="15.54296875" style="348" customWidth="1"/>
    <col min="12549" max="12549" width="17" style="348" customWidth="1"/>
    <col min="12550" max="12550" width="22.453125" style="348" customWidth="1"/>
    <col min="12551" max="12552" width="15.54296875" style="348" customWidth="1"/>
    <col min="12553" max="12553" width="25.54296875" style="348" customWidth="1"/>
    <col min="12554" max="12801" width="11.54296875" style="348"/>
    <col min="12802" max="12802" width="18.453125" style="348" customWidth="1"/>
    <col min="12803" max="12803" width="47.453125" style="348" customWidth="1"/>
    <col min="12804" max="12804" width="15.54296875" style="348" customWidth="1"/>
    <col min="12805" max="12805" width="17" style="348" customWidth="1"/>
    <col min="12806" max="12806" width="22.453125" style="348" customWidth="1"/>
    <col min="12807" max="12808" width="15.54296875" style="348" customWidth="1"/>
    <col min="12809" max="12809" width="25.54296875" style="348" customWidth="1"/>
    <col min="12810" max="13057" width="11.54296875" style="348"/>
    <col min="13058" max="13058" width="18.453125" style="348" customWidth="1"/>
    <col min="13059" max="13059" width="47.453125" style="348" customWidth="1"/>
    <col min="13060" max="13060" width="15.54296875" style="348" customWidth="1"/>
    <col min="13061" max="13061" width="17" style="348" customWidth="1"/>
    <col min="13062" max="13062" width="22.453125" style="348" customWidth="1"/>
    <col min="13063" max="13064" width="15.54296875" style="348" customWidth="1"/>
    <col min="13065" max="13065" width="25.54296875" style="348" customWidth="1"/>
    <col min="13066" max="13313" width="11.54296875" style="348"/>
    <col min="13314" max="13314" width="18.453125" style="348" customWidth="1"/>
    <col min="13315" max="13315" width="47.453125" style="348" customWidth="1"/>
    <col min="13316" max="13316" width="15.54296875" style="348" customWidth="1"/>
    <col min="13317" max="13317" width="17" style="348" customWidth="1"/>
    <col min="13318" max="13318" width="22.453125" style="348" customWidth="1"/>
    <col min="13319" max="13320" width="15.54296875" style="348" customWidth="1"/>
    <col min="13321" max="13321" width="25.54296875" style="348" customWidth="1"/>
    <col min="13322" max="13569" width="11.54296875" style="348"/>
    <col min="13570" max="13570" width="18.453125" style="348" customWidth="1"/>
    <col min="13571" max="13571" width="47.453125" style="348" customWidth="1"/>
    <col min="13572" max="13572" width="15.54296875" style="348" customWidth="1"/>
    <col min="13573" max="13573" width="17" style="348" customWidth="1"/>
    <col min="13574" max="13574" width="22.453125" style="348" customWidth="1"/>
    <col min="13575" max="13576" width="15.54296875" style="348" customWidth="1"/>
    <col min="13577" max="13577" width="25.54296875" style="348" customWidth="1"/>
    <col min="13578" max="13825" width="11.54296875" style="348"/>
    <col min="13826" max="13826" width="18.453125" style="348" customWidth="1"/>
    <col min="13827" max="13827" width="47.453125" style="348" customWidth="1"/>
    <col min="13828" max="13828" width="15.54296875" style="348" customWidth="1"/>
    <col min="13829" max="13829" width="17" style="348" customWidth="1"/>
    <col min="13830" max="13830" width="22.453125" style="348" customWidth="1"/>
    <col min="13831" max="13832" width="15.54296875" style="348" customWidth="1"/>
    <col min="13833" max="13833" width="25.54296875" style="348" customWidth="1"/>
    <col min="13834" max="14081" width="11.54296875" style="348"/>
    <col min="14082" max="14082" width="18.453125" style="348" customWidth="1"/>
    <col min="14083" max="14083" width="47.453125" style="348" customWidth="1"/>
    <col min="14084" max="14084" width="15.54296875" style="348" customWidth="1"/>
    <col min="14085" max="14085" width="17" style="348" customWidth="1"/>
    <col min="14086" max="14086" width="22.453125" style="348" customWidth="1"/>
    <col min="14087" max="14088" width="15.54296875" style="348" customWidth="1"/>
    <col min="14089" max="14089" width="25.54296875" style="348" customWidth="1"/>
    <col min="14090" max="14337" width="11.54296875" style="348"/>
    <col min="14338" max="14338" width="18.453125" style="348" customWidth="1"/>
    <col min="14339" max="14339" width="47.453125" style="348" customWidth="1"/>
    <col min="14340" max="14340" width="15.54296875" style="348" customWidth="1"/>
    <col min="14341" max="14341" width="17" style="348" customWidth="1"/>
    <col min="14342" max="14342" width="22.453125" style="348" customWidth="1"/>
    <col min="14343" max="14344" width="15.54296875" style="348" customWidth="1"/>
    <col min="14345" max="14345" width="25.54296875" style="348" customWidth="1"/>
    <col min="14346" max="14593" width="11.54296875" style="348"/>
    <col min="14594" max="14594" width="18.453125" style="348" customWidth="1"/>
    <col min="14595" max="14595" width="47.453125" style="348" customWidth="1"/>
    <col min="14596" max="14596" width="15.54296875" style="348" customWidth="1"/>
    <col min="14597" max="14597" width="17" style="348" customWidth="1"/>
    <col min="14598" max="14598" width="22.453125" style="348" customWidth="1"/>
    <col min="14599" max="14600" width="15.54296875" style="348" customWidth="1"/>
    <col min="14601" max="14601" width="25.54296875" style="348" customWidth="1"/>
    <col min="14602" max="14849" width="11.54296875" style="348"/>
    <col min="14850" max="14850" width="18.453125" style="348" customWidth="1"/>
    <col min="14851" max="14851" width="47.453125" style="348" customWidth="1"/>
    <col min="14852" max="14852" width="15.54296875" style="348" customWidth="1"/>
    <col min="14853" max="14853" width="17" style="348" customWidth="1"/>
    <col min="14854" max="14854" width="22.453125" style="348" customWidth="1"/>
    <col min="14855" max="14856" width="15.54296875" style="348" customWidth="1"/>
    <col min="14857" max="14857" width="25.54296875" style="348" customWidth="1"/>
    <col min="14858" max="15105" width="11.54296875" style="348"/>
    <col min="15106" max="15106" width="18.453125" style="348" customWidth="1"/>
    <col min="15107" max="15107" width="47.453125" style="348" customWidth="1"/>
    <col min="15108" max="15108" width="15.54296875" style="348" customWidth="1"/>
    <col min="15109" max="15109" width="17" style="348" customWidth="1"/>
    <col min="15110" max="15110" width="22.453125" style="348" customWidth="1"/>
    <col min="15111" max="15112" width="15.54296875" style="348" customWidth="1"/>
    <col min="15113" max="15113" width="25.54296875" style="348" customWidth="1"/>
    <col min="15114" max="15361" width="11.54296875" style="348"/>
    <col min="15362" max="15362" width="18.453125" style="348" customWidth="1"/>
    <col min="15363" max="15363" width="47.453125" style="348" customWidth="1"/>
    <col min="15364" max="15364" width="15.54296875" style="348" customWidth="1"/>
    <col min="15365" max="15365" width="17" style="348" customWidth="1"/>
    <col min="15366" max="15366" width="22.453125" style="348" customWidth="1"/>
    <col min="15367" max="15368" width="15.54296875" style="348" customWidth="1"/>
    <col min="15369" max="15369" width="25.54296875" style="348" customWidth="1"/>
    <col min="15370" max="15617" width="11.54296875" style="348"/>
    <col min="15618" max="15618" width="18.453125" style="348" customWidth="1"/>
    <col min="15619" max="15619" width="47.453125" style="348" customWidth="1"/>
    <col min="15620" max="15620" width="15.54296875" style="348" customWidth="1"/>
    <col min="15621" max="15621" width="17" style="348" customWidth="1"/>
    <col min="15622" max="15622" width="22.453125" style="348" customWidth="1"/>
    <col min="15623" max="15624" width="15.54296875" style="348" customWidth="1"/>
    <col min="15625" max="15625" width="25.54296875" style="348" customWidth="1"/>
    <col min="15626" max="15873" width="11.54296875" style="348"/>
    <col min="15874" max="15874" width="18.453125" style="348" customWidth="1"/>
    <col min="15875" max="15875" width="47.453125" style="348" customWidth="1"/>
    <col min="15876" max="15876" width="15.54296875" style="348" customWidth="1"/>
    <col min="15877" max="15877" width="17" style="348" customWidth="1"/>
    <col min="15878" max="15878" width="22.453125" style="348" customWidth="1"/>
    <col min="15879" max="15880" width="15.54296875" style="348" customWidth="1"/>
    <col min="15881" max="15881" width="25.54296875" style="348" customWidth="1"/>
    <col min="15882" max="16129" width="11.54296875" style="348"/>
    <col min="16130" max="16130" width="18.453125" style="348" customWidth="1"/>
    <col min="16131" max="16131" width="47.453125" style="348" customWidth="1"/>
    <col min="16132" max="16132" width="15.54296875" style="348" customWidth="1"/>
    <col min="16133" max="16133" width="17" style="348" customWidth="1"/>
    <col min="16134" max="16134" width="22.453125" style="348" customWidth="1"/>
    <col min="16135" max="16136" width="15.54296875" style="348" customWidth="1"/>
    <col min="16137" max="16137" width="25.54296875" style="348" customWidth="1"/>
    <col min="16138" max="16384" width="11.54296875" style="348"/>
  </cols>
  <sheetData>
    <row r="1" spans="1:29" x14ac:dyDescent="0.25">
      <c r="A1" s="342" t="s">
        <v>181</v>
      </c>
      <c r="B1" s="342" t="s">
        <v>182</v>
      </c>
      <c r="C1" s="342" t="s">
        <v>183</v>
      </c>
      <c r="D1" s="342" t="s">
        <v>184</v>
      </c>
      <c r="E1" s="343" t="s">
        <v>185</v>
      </c>
      <c r="F1" s="342" t="s">
        <v>186</v>
      </c>
      <c r="G1" s="342" t="s">
        <v>187</v>
      </c>
      <c r="H1" s="342" t="s">
        <v>188</v>
      </c>
      <c r="I1" s="344" t="s">
        <v>189</v>
      </c>
      <c r="J1" s="344" t="s">
        <v>190</v>
      </c>
      <c r="K1" s="345" t="s">
        <v>191</v>
      </c>
      <c r="L1" s="346" t="s">
        <v>192</v>
      </c>
      <c r="M1" s="346" t="s">
        <v>193</v>
      </c>
      <c r="N1" s="346" t="s">
        <v>194</v>
      </c>
      <c r="O1" s="346" t="s">
        <v>195</v>
      </c>
      <c r="P1" s="347" t="s">
        <v>196</v>
      </c>
      <c r="Q1" s="347" t="s">
        <v>197</v>
      </c>
      <c r="R1" s="347" t="s">
        <v>198</v>
      </c>
      <c r="S1" s="347" t="s">
        <v>199</v>
      </c>
      <c r="T1" s="347" t="s">
        <v>200</v>
      </c>
      <c r="U1" s="344" t="s">
        <v>201</v>
      </c>
      <c r="V1" s="344" t="s">
        <v>202</v>
      </c>
      <c r="W1" s="344" t="s">
        <v>203</v>
      </c>
      <c r="X1" s="344" t="s">
        <v>204</v>
      </c>
      <c r="Y1" s="521" t="s">
        <v>267</v>
      </c>
      <c r="Z1" s="521" t="s">
        <v>268</v>
      </c>
      <c r="AA1" s="521" t="s">
        <v>269</v>
      </c>
      <c r="AB1" s="521" t="s">
        <v>270</v>
      </c>
      <c r="AC1" s="521" t="s">
        <v>271</v>
      </c>
    </row>
    <row r="2" spans="1:29" x14ac:dyDescent="0.25">
      <c r="A2" s="500"/>
      <c r="B2" s="349"/>
      <c r="C2" s="349"/>
      <c r="D2" s="350"/>
      <c r="E2" s="450"/>
      <c r="F2" s="351" t="s">
        <v>1160</v>
      </c>
      <c r="G2" s="352"/>
      <c r="H2" s="352"/>
      <c r="I2" s="353"/>
      <c r="J2" s="353"/>
      <c r="K2" s="354"/>
      <c r="L2" s="349"/>
      <c r="M2" s="349"/>
      <c r="N2" s="349"/>
      <c r="O2" s="355"/>
      <c r="P2" s="349"/>
      <c r="Q2" s="349"/>
      <c r="R2" s="356"/>
      <c r="S2" s="350"/>
      <c r="T2" s="350"/>
      <c r="U2" s="349"/>
      <c r="V2" s="349"/>
      <c r="W2" s="349"/>
      <c r="X2" s="349"/>
      <c r="Y2" s="520"/>
      <c r="Z2" s="520"/>
      <c r="AA2" s="520"/>
      <c r="AB2" s="520"/>
      <c r="AC2" s="520"/>
    </row>
    <row r="3" spans="1:29" x14ac:dyDescent="0.25">
      <c r="A3" s="500"/>
      <c r="B3" s="349"/>
      <c r="C3" s="349"/>
      <c r="D3" s="350"/>
      <c r="E3" s="450"/>
      <c r="F3" s="351" t="s">
        <v>1160</v>
      </c>
      <c r="G3" s="352"/>
      <c r="H3" s="352"/>
      <c r="I3" s="353"/>
      <c r="J3" s="353"/>
      <c r="K3" s="354"/>
      <c r="L3" s="358"/>
      <c r="M3" s="349"/>
      <c r="N3" s="349"/>
      <c r="O3" s="355"/>
      <c r="P3" s="349"/>
      <c r="Q3" s="349"/>
      <c r="R3" s="356"/>
      <c r="S3" s="350"/>
      <c r="T3" s="350"/>
      <c r="U3" s="349"/>
      <c r="V3" s="349"/>
      <c r="W3" s="349"/>
      <c r="X3" s="349"/>
      <c r="Y3" s="520"/>
      <c r="Z3" s="520"/>
      <c r="AA3" s="520"/>
      <c r="AB3" s="520"/>
      <c r="AC3" s="520"/>
    </row>
    <row r="4" spans="1:29" x14ac:dyDescent="0.25">
      <c r="A4" s="500"/>
      <c r="B4" s="349"/>
      <c r="C4" s="349"/>
      <c r="D4" s="350"/>
      <c r="E4" s="450"/>
      <c r="F4" s="351" t="s">
        <v>1160</v>
      </c>
      <c r="G4" s="358"/>
      <c r="H4" s="352"/>
      <c r="I4" s="353"/>
      <c r="J4" s="353"/>
      <c r="K4" s="354"/>
      <c r="L4" s="358"/>
      <c r="M4" s="349"/>
      <c r="N4" s="349"/>
      <c r="O4" s="355"/>
      <c r="P4" s="357"/>
      <c r="Q4" s="349"/>
      <c r="R4" s="356"/>
      <c r="S4" s="350"/>
      <c r="T4" s="357"/>
      <c r="U4" s="349"/>
      <c r="V4" s="349"/>
      <c r="W4" s="349"/>
      <c r="X4" s="349"/>
      <c r="Y4" s="520"/>
      <c r="Z4" s="520"/>
      <c r="AA4" s="520"/>
      <c r="AB4" s="520"/>
      <c r="AC4" s="520"/>
    </row>
    <row r="5" spans="1:29" x14ac:dyDescent="0.25">
      <c r="A5" s="500"/>
      <c r="B5" s="349"/>
      <c r="C5" s="349"/>
      <c r="D5" s="350"/>
      <c r="E5" s="450"/>
      <c r="F5" s="351" t="s">
        <v>1160</v>
      </c>
      <c r="G5" s="358"/>
      <c r="H5" s="352"/>
      <c r="I5" s="353"/>
      <c r="J5" s="353"/>
      <c r="K5" s="354"/>
      <c r="L5" s="358"/>
      <c r="M5" s="349"/>
      <c r="N5" s="349"/>
      <c r="O5" s="355"/>
      <c r="P5" s="357"/>
      <c r="Q5" s="349"/>
      <c r="R5" s="356"/>
      <c r="S5" s="350"/>
      <c r="T5" s="357"/>
      <c r="U5" s="349"/>
      <c r="V5" s="349"/>
      <c r="W5" s="349"/>
      <c r="X5" s="349"/>
      <c r="Y5" s="520"/>
      <c r="Z5" s="520"/>
      <c r="AA5" s="520"/>
      <c r="AB5" s="520"/>
      <c r="AC5" s="520"/>
    </row>
    <row r="6" spans="1:29" x14ac:dyDescent="0.25">
      <c r="A6" s="500"/>
      <c r="B6" s="349"/>
      <c r="C6" s="349"/>
      <c r="D6" s="350"/>
      <c r="E6" s="450"/>
      <c r="F6" s="351" t="s">
        <v>1160</v>
      </c>
      <c r="G6" s="358"/>
      <c r="H6" s="352"/>
      <c r="I6" s="353"/>
      <c r="J6" s="353"/>
      <c r="K6" s="354"/>
      <c r="L6" s="358"/>
      <c r="M6" s="349"/>
      <c r="N6" s="349"/>
      <c r="O6" s="355"/>
      <c r="P6" s="357"/>
      <c r="Q6" s="349"/>
      <c r="R6" s="356"/>
      <c r="S6" s="350"/>
      <c r="T6" s="357"/>
      <c r="U6" s="349"/>
      <c r="V6" s="349"/>
      <c r="W6" s="349"/>
      <c r="X6" s="349"/>
      <c r="Y6" s="520"/>
      <c r="Z6" s="520"/>
      <c r="AA6" s="520"/>
      <c r="AB6" s="520"/>
      <c r="AC6" s="520"/>
    </row>
    <row r="7" spans="1:29" x14ac:dyDescent="0.25">
      <c r="A7" s="500"/>
      <c r="B7" s="349"/>
      <c r="C7" s="349"/>
      <c r="D7" s="350"/>
      <c r="E7" s="450"/>
      <c r="F7" s="351" t="s">
        <v>1160</v>
      </c>
      <c r="G7" s="358"/>
      <c r="H7" s="352"/>
      <c r="I7" s="353"/>
      <c r="J7" s="353"/>
      <c r="K7" s="354"/>
      <c r="L7" s="358"/>
      <c r="M7" s="349"/>
      <c r="N7" s="349"/>
      <c r="O7" s="355"/>
      <c r="P7" s="357"/>
      <c r="Q7" s="349"/>
      <c r="R7" s="356"/>
      <c r="S7" s="350"/>
      <c r="T7" s="357"/>
      <c r="U7" s="349"/>
      <c r="V7" s="349"/>
      <c r="W7" s="349"/>
      <c r="X7" s="349"/>
      <c r="Y7" s="520"/>
      <c r="Z7" s="520"/>
      <c r="AA7" s="520"/>
      <c r="AB7" s="520"/>
      <c r="AC7" s="520"/>
    </row>
    <row r="8" spans="1:29" x14ac:dyDescent="0.25">
      <c r="A8" s="500"/>
      <c r="B8" s="349"/>
      <c r="C8" s="349"/>
      <c r="D8" s="350"/>
      <c r="E8" s="450"/>
      <c r="F8" s="351" t="s">
        <v>1160</v>
      </c>
      <c r="G8" s="358"/>
      <c r="H8" s="352"/>
      <c r="I8" s="353"/>
      <c r="J8" s="353"/>
      <c r="K8" s="354"/>
      <c r="L8" s="358"/>
      <c r="M8" s="349"/>
      <c r="N8" s="349"/>
      <c r="O8" s="355"/>
      <c r="P8" s="357"/>
      <c r="Q8" s="349"/>
      <c r="R8" s="356"/>
      <c r="S8" s="350"/>
      <c r="T8" s="357"/>
      <c r="U8" s="349"/>
      <c r="V8" s="349"/>
      <c r="W8" s="349"/>
      <c r="X8" s="349"/>
      <c r="Y8" s="520"/>
      <c r="Z8" s="520"/>
      <c r="AA8" s="520"/>
      <c r="AB8" s="520"/>
      <c r="AC8" s="520"/>
    </row>
    <row r="9" spans="1:29" x14ac:dyDescent="0.25">
      <c r="A9" s="500"/>
      <c r="B9" s="349"/>
      <c r="C9" s="349"/>
      <c r="D9" s="350"/>
      <c r="E9" s="450"/>
      <c r="F9" s="351" t="s">
        <v>1160</v>
      </c>
      <c r="G9" s="358"/>
      <c r="H9" s="352"/>
      <c r="I9" s="353"/>
      <c r="J9" s="353"/>
      <c r="K9" s="354"/>
      <c r="L9" s="358"/>
      <c r="M9" s="349"/>
      <c r="N9" s="349"/>
      <c r="O9" s="355"/>
      <c r="P9" s="357"/>
      <c r="Q9" s="349"/>
      <c r="R9" s="356"/>
      <c r="S9" s="350"/>
      <c r="T9" s="357"/>
      <c r="U9" s="349"/>
      <c r="V9" s="349"/>
      <c r="W9" s="349"/>
      <c r="X9" s="349"/>
      <c r="Y9" s="520"/>
      <c r="Z9" s="520"/>
      <c r="AA9" s="520"/>
      <c r="AB9" s="520"/>
      <c r="AC9" s="520"/>
    </row>
    <row r="10" spans="1:29" x14ac:dyDescent="0.25">
      <c r="A10" s="500"/>
      <c r="B10" s="349"/>
      <c r="C10" s="349"/>
      <c r="D10" s="350"/>
      <c r="E10" s="450"/>
      <c r="F10" s="351" t="s">
        <v>1160</v>
      </c>
      <c r="G10" s="358"/>
      <c r="H10" s="352"/>
      <c r="I10" s="353"/>
      <c r="J10" s="353"/>
      <c r="K10" s="354"/>
      <c r="L10" s="358"/>
      <c r="M10" s="349"/>
      <c r="N10" s="349"/>
      <c r="O10" s="355"/>
      <c r="P10" s="357"/>
      <c r="Q10" s="349"/>
      <c r="R10" s="356"/>
      <c r="S10" s="350"/>
      <c r="T10" s="357"/>
      <c r="U10" s="349"/>
      <c r="V10" s="349"/>
      <c r="W10" s="349"/>
      <c r="X10" s="349"/>
      <c r="Y10" s="520"/>
      <c r="Z10" s="520"/>
      <c r="AA10" s="520"/>
      <c r="AB10" s="520"/>
      <c r="AC10" s="520"/>
    </row>
    <row r="11" spans="1:29" x14ac:dyDescent="0.25">
      <c r="A11" s="500"/>
      <c r="B11" s="349"/>
      <c r="C11" s="349"/>
      <c r="D11" s="350"/>
      <c r="E11" s="523"/>
      <c r="F11" s="351" t="s">
        <v>1160</v>
      </c>
      <c r="G11" s="524"/>
      <c r="H11" s="352"/>
      <c r="I11" s="353"/>
      <c r="J11" s="353"/>
      <c r="K11" s="354"/>
      <c r="L11" s="358"/>
      <c r="M11" s="349"/>
      <c r="N11" s="349"/>
      <c r="O11" s="355"/>
      <c r="P11" s="357"/>
      <c r="Q11" s="349"/>
      <c r="R11" s="356"/>
      <c r="S11" s="350"/>
      <c r="T11" s="357"/>
      <c r="U11" s="349"/>
      <c r="V11" s="349"/>
      <c r="W11" s="349"/>
      <c r="X11" s="349"/>
      <c r="Y11" s="520"/>
      <c r="Z11" s="520"/>
      <c r="AA11" s="520"/>
      <c r="AB11" s="520"/>
      <c r="AC11" s="520"/>
    </row>
    <row r="12" spans="1:29" x14ac:dyDescent="0.25">
      <c r="A12" s="500"/>
      <c r="B12" s="349"/>
      <c r="C12" s="349"/>
      <c r="D12" s="350"/>
      <c r="E12" s="523"/>
      <c r="F12" s="351" t="s">
        <v>1160</v>
      </c>
      <c r="G12" s="524"/>
      <c r="H12" s="352"/>
      <c r="I12" s="353"/>
      <c r="J12" s="353"/>
      <c r="K12" s="354"/>
      <c r="L12" s="358"/>
      <c r="M12" s="349"/>
      <c r="N12" s="349"/>
      <c r="O12" s="355"/>
      <c r="P12" s="357"/>
      <c r="Q12" s="349"/>
      <c r="R12" s="356"/>
      <c r="S12" s="350"/>
      <c r="T12" s="357"/>
      <c r="U12" s="349"/>
      <c r="V12" s="349"/>
      <c r="W12" s="349"/>
      <c r="X12" s="349"/>
      <c r="Y12" s="520"/>
      <c r="Z12" s="520"/>
      <c r="AA12" s="520"/>
      <c r="AB12" s="520"/>
      <c r="AC12" s="520"/>
    </row>
    <row r="13" spans="1:29" x14ac:dyDescent="0.25">
      <c r="A13" s="500"/>
      <c r="B13" s="349"/>
      <c r="C13" s="349"/>
      <c r="D13" s="350"/>
      <c r="E13" s="450"/>
      <c r="F13" s="351" t="s">
        <v>1160</v>
      </c>
      <c r="G13" s="358"/>
      <c r="H13" s="352"/>
      <c r="I13" s="353"/>
      <c r="J13" s="353"/>
      <c r="K13" s="354"/>
      <c r="L13" s="358"/>
      <c r="M13" s="349"/>
      <c r="N13" s="349"/>
      <c r="O13" s="355"/>
      <c r="P13" s="357"/>
      <c r="Q13" s="349"/>
      <c r="R13" s="356"/>
      <c r="S13" s="350"/>
      <c r="T13" s="357"/>
      <c r="U13" s="349"/>
      <c r="V13" s="349"/>
      <c r="W13" s="349"/>
      <c r="X13" s="349"/>
      <c r="Y13" s="520"/>
      <c r="Z13" s="520"/>
      <c r="AA13" s="520"/>
      <c r="AB13" s="520"/>
      <c r="AC13" s="520"/>
    </row>
    <row r="14" spans="1:29" ht="13" x14ac:dyDescent="0.3">
      <c r="C14" s="118"/>
    </row>
    <row r="15" spans="1:29" ht="13" x14ac:dyDescent="0.3">
      <c r="C15" s="118"/>
    </row>
    <row r="16" spans="1:29" x14ac:dyDescent="0.25">
      <c r="E16" s="348"/>
    </row>
    <row r="17" spans="3:8" ht="13" x14ac:dyDescent="0.3">
      <c r="C17" s="118"/>
      <c r="D17" s="360"/>
      <c r="G17" s="360"/>
    </row>
    <row r="18" spans="3:8" ht="13" x14ac:dyDescent="0.3">
      <c r="C18" s="118"/>
      <c r="G18" s="360"/>
    </row>
    <row r="19" spans="3:8" ht="13" x14ac:dyDescent="0.3">
      <c r="C19" s="118"/>
      <c r="G19" s="360"/>
    </row>
    <row r="20" spans="3:8" x14ac:dyDescent="0.25">
      <c r="E20" s="348"/>
      <c r="G20" s="360"/>
    </row>
    <row r="21" spans="3:8" ht="13" x14ac:dyDescent="0.3">
      <c r="C21" s="118"/>
      <c r="G21" s="360"/>
    </row>
    <row r="22" spans="3:8" ht="12" customHeight="1" x14ac:dyDescent="0.3">
      <c r="C22" s="118"/>
      <c r="G22" s="360"/>
      <c r="H22" s="360"/>
    </row>
    <row r="23" spans="3:8" ht="12" customHeight="1" x14ac:dyDescent="0.3">
      <c r="C23" s="118"/>
      <c r="G23" s="360"/>
      <c r="H23" s="360"/>
    </row>
    <row r="24" spans="3:8" ht="13" x14ac:dyDescent="0.3">
      <c r="C24" s="118"/>
      <c r="H24" s="360"/>
    </row>
    <row r="25" spans="3:8" ht="12.75" customHeight="1" x14ac:dyDescent="0.3">
      <c r="C25" s="118"/>
      <c r="H25" s="360"/>
    </row>
    <row r="26" spans="3:8" ht="14.25" customHeight="1" x14ac:dyDescent="0.3">
      <c r="C26" s="118"/>
      <c r="H26" s="360"/>
    </row>
    <row r="27" spans="3:8" ht="14.25" customHeight="1" x14ac:dyDescent="0.3">
      <c r="C27" s="118"/>
      <c r="H27" s="360"/>
    </row>
    <row r="28" spans="3:8" ht="14.25" customHeight="1" x14ac:dyDescent="0.3">
      <c r="C28" s="118"/>
      <c r="H28" s="360"/>
    </row>
    <row r="29" spans="3:8" ht="14.25" customHeight="1" x14ac:dyDescent="0.3">
      <c r="E29" s="451"/>
      <c r="F29" s="359"/>
    </row>
    <row r="30" spans="3:8" ht="12.75" customHeight="1" x14ac:dyDescent="0.25">
      <c r="D30" s="360"/>
    </row>
    <row r="31" spans="3:8" ht="15.75" customHeight="1" x14ac:dyDescent="0.25">
      <c r="D31" s="360"/>
    </row>
    <row r="32" spans="3:8" ht="15.75" customHeight="1" x14ac:dyDescent="0.25">
      <c r="D32" s="360"/>
    </row>
    <row r="33" spans="4:4" ht="15.75" customHeight="1" x14ac:dyDescent="0.25">
      <c r="D33" s="360"/>
    </row>
    <row r="34" spans="4:4" ht="15.75" customHeight="1" x14ac:dyDescent="0.25">
      <c r="D34" s="360"/>
    </row>
    <row r="35" spans="4:4" x14ac:dyDescent="0.25">
      <c r="D35" s="360"/>
    </row>
    <row r="38" spans="4:4" x14ac:dyDescent="0.25">
      <c r="D38" s="360"/>
    </row>
  </sheetData>
  <phoneticPr fontId="106" type="noConversion"/>
  <pageMargins left="0.7" right="0.7" top="0.75" bottom="0.75" header="0.3" footer="0.3"/>
  <pageSetup paperSize="9" scale="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showGridLines="0" view="pageBreakPreview" topLeftCell="A9" zoomScale="90" zoomScaleNormal="100" zoomScaleSheetLayoutView="90" workbookViewId="0">
      <selection activeCell="E23" sqref="E23"/>
    </sheetView>
  </sheetViews>
  <sheetFormatPr defaultColWidth="11.453125" defaultRowHeight="12.5" x14ac:dyDescent="0.25"/>
  <cols>
    <col min="1" max="1" width="3.54296875" style="32" customWidth="1"/>
    <col min="2" max="2" width="2.26953125" style="32" customWidth="1"/>
    <col min="3" max="3" width="66.81640625" style="32" customWidth="1"/>
    <col min="4" max="4" width="5" style="32" customWidth="1"/>
    <col min="5" max="5" width="5.1796875" style="32" customWidth="1"/>
    <col min="6" max="6" width="29.7265625" style="32" customWidth="1"/>
    <col min="7" max="7" width="1.26953125" style="32" customWidth="1"/>
    <col min="8" max="8" width="31.453125" style="32" customWidth="1"/>
    <col min="9" max="9" width="4.81640625" style="32" customWidth="1"/>
    <col min="10" max="10" width="4.54296875" style="32" customWidth="1"/>
    <col min="11" max="11" width="12.453125" style="32" bestFit="1" customWidth="1"/>
    <col min="12" max="12" width="13.453125" style="32" customWidth="1"/>
    <col min="13" max="13" width="7.26953125" style="32" bestFit="1" customWidth="1"/>
    <col min="14" max="14" width="19.81640625" style="32" bestFit="1" customWidth="1"/>
    <col min="15" max="249" width="11.453125" style="32"/>
    <col min="250" max="250" width="2.26953125" style="32" customWidth="1"/>
    <col min="251" max="251" width="49" style="32" customWidth="1"/>
    <col min="252" max="252" width="16.81640625" style="32" customWidth="1"/>
    <col min="253" max="253" width="1.1796875" style="32" customWidth="1"/>
    <col min="254" max="254" width="20.7265625" style="32" customWidth="1"/>
    <col min="255" max="255" width="17.7265625" style="32" customWidth="1"/>
    <col min="256" max="256" width="18.1796875" style="32" customWidth="1"/>
    <col min="257" max="257" width="17.1796875" style="32" customWidth="1"/>
    <col min="258" max="258" width="22.26953125" style="32" bestFit="1" customWidth="1"/>
    <col min="259" max="259" width="22.1796875" style="32" customWidth="1"/>
    <col min="260" max="260" width="17.81640625" style="32" customWidth="1"/>
    <col min="261" max="261" width="22.453125" style="32" customWidth="1"/>
    <col min="262" max="262" width="10.1796875" style="32" bestFit="1" customWidth="1"/>
    <col min="263" max="263" width="13.453125" style="32" customWidth="1"/>
    <col min="264" max="264" width="7.26953125" style="32" bestFit="1" customWidth="1"/>
    <col min="265" max="265" width="15.453125" style="32" bestFit="1" customWidth="1"/>
    <col min="266" max="266" width="7.26953125" style="32" bestFit="1" customWidth="1"/>
    <col min="267" max="267" width="19.7265625" style="32" bestFit="1" customWidth="1"/>
    <col min="268" max="268" width="7.26953125" style="32" bestFit="1" customWidth="1"/>
    <col min="269" max="269" width="26.81640625" style="32" bestFit="1" customWidth="1"/>
    <col min="270" max="270" width="19.81640625" style="32" bestFit="1" customWidth="1"/>
    <col min="271" max="505" width="11.453125" style="32"/>
    <col min="506" max="506" width="2.26953125" style="32" customWidth="1"/>
    <col min="507" max="507" width="49" style="32" customWidth="1"/>
    <col min="508" max="508" width="16.81640625" style="32" customWidth="1"/>
    <col min="509" max="509" width="1.1796875" style="32" customWidth="1"/>
    <col min="510" max="510" width="20.7265625" style="32" customWidth="1"/>
    <col min="511" max="511" width="17.7265625" style="32" customWidth="1"/>
    <col min="512" max="512" width="18.1796875" style="32" customWidth="1"/>
    <col min="513" max="513" width="17.1796875" style="32" customWidth="1"/>
    <col min="514" max="514" width="22.26953125" style="32" bestFit="1" customWidth="1"/>
    <col min="515" max="515" width="22.1796875" style="32" customWidth="1"/>
    <col min="516" max="516" width="17.81640625" style="32" customWidth="1"/>
    <col min="517" max="517" width="22.453125" style="32" customWidth="1"/>
    <col min="518" max="518" width="10.1796875" style="32" bestFit="1" customWidth="1"/>
    <col min="519" max="519" width="13.453125" style="32" customWidth="1"/>
    <col min="520" max="520" width="7.26953125" style="32" bestFit="1" customWidth="1"/>
    <col min="521" max="521" width="15.453125" style="32" bestFit="1" customWidth="1"/>
    <col min="522" max="522" width="7.26953125" style="32" bestFit="1" customWidth="1"/>
    <col min="523" max="523" width="19.7265625" style="32" bestFit="1" customWidth="1"/>
    <col min="524" max="524" width="7.26953125" style="32" bestFit="1" customWidth="1"/>
    <col min="525" max="525" width="26.81640625" style="32" bestFit="1" customWidth="1"/>
    <col min="526" max="526" width="19.81640625" style="32" bestFit="1" customWidth="1"/>
    <col min="527" max="761" width="11.453125" style="32"/>
    <col min="762" max="762" width="2.26953125" style="32" customWidth="1"/>
    <col min="763" max="763" width="49" style="32" customWidth="1"/>
    <col min="764" max="764" width="16.81640625" style="32" customWidth="1"/>
    <col min="765" max="765" width="1.1796875" style="32" customWidth="1"/>
    <col min="766" max="766" width="20.7265625" style="32" customWidth="1"/>
    <col min="767" max="767" width="17.7265625" style="32" customWidth="1"/>
    <col min="768" max="768" width="18.1796875" style="32" customWidth="1"/>
    <col min="769" max="769" width="17.1796875" style="32" customWidth="1"/>
    <col min="770" max="770" width="22.26953125" style="32" bestFit="1" customWidth="1"/>
    <col min="771" max="771" width="22.1796875" style="32" customWidth="1"/>
    <col min="772" max="772" width="17.81640625" style="32" customWidth="1"/>
    <col min="773" max="773" width="22.453125" style="32" customWidth="1"/>
    <col min="774" max="774" width="10.1796875" style="32" bestFit="1" customWidth="1"/>
    <col min="775" max="775" width="13.453125" style="32" customWidth="1"/>
    <col min="776" max="776" width="7.26953125" style="32" bestFit="1" customWidth="1"/>
    <col min="777" max="777" width="15.453125" style="32" bestFit="1" customWidth="1"/>
    <col min="778" max="778" width="7.26953125" style="32" bestFit="1" customWidth="1"/>
    <col min="779" max="779" width="19.7265625" style="32" bestFit="1" customWidth="1"/>
    <col min="780" max="780" width="7.26953125" style="32" bestFit="1" customWidth="1"/>
    <col min="781" max="781" width="26.81640625" style="32" bestFit="1" customWidth="1"/>
    <col min="782" max="782" width="19.81640625" style="32" bestFit="1" customWidth="1"/>
    <col min="783" max="1017" width="11.453125" style="32"/>
    <col min="1018" max="1018" width="2.26953125" style="32" customWidth="1"/>
    <col min="1019" max="1019" width="49" style="32" customWidth="1"/>
    <col min="1020" max="1020" width="16.81640625" style="32" customWidth="1"/>
    <col min="1021" max="1021" width="1.1796875" style="32" customWidth="1"/>
    <col min="1022" max="1022" width="20.7265625" style="32" customWidth="1"/>
    <col min="1023" max="1023" width="17.7265625" style="32" customWidth="1"/>
    <col min="1024" max="1024" width="18.1796875" style="32" customWidth="1"/>
    <col min="1025" max="1025" width="17.1796875" style="32" customWidth="1"/>
    <col min="1026" max="1026" width="22.26953125" style="32" bestFit="1" customWidth="1"/>
    <col min="1027" max="1027" width="22.1796875" style="32" customWidth="1"/>
    <col min="1028" max="1028" width="17.81640625" style="32" customWidth="1"/>
    <col min="1029" max="1029" width="22.453125" style="32" customWidth="1"/>
    <col min="1030" max="1030" width="10.1796875" style="32" bestFit="1" customWidth="1"/>
    <col min="1031" max="1031" width="13.453125" style="32" customWidth="1"/>
    <col min="1032" max="1032" width="7.26953125" style="32" bestFit="1" customWidth="1"/>
    <col min="1033" max="1033" width="15.453125" style="32" bestFit="1" customWidth="1"/>
    <col min="1034" max="1034" width="7.26953125" style="32" bestFit="1" customWidth="1"/>
    <col min="1035" max="1035" width="19.7265625" style="32" bestFit="1" customWidth="1"/>
    <col min="1036" max="1036" width="7.26953125" style="32" bestFit="1" customWidth="1"/>
    <col min="1037" max="1037" width="26.81640625" style="32" bestFit="1" customWidth="1"/>
    <col min="1038" max="1038" width="19.81640625" style="32" bestFit="1" customWidth="1"/>
    <col min="1039" max="1273" width="11.453125" style="32"/>
    <col min="1274" max="1274" width="2.26953125" style="32" customWidth="1"/>
    <col min="1275" max="1275" width="49" style="32" customWidth="1"/>
    <col min="1276" max="1276" width="16.81640625" style="32" customWidth="1"/>
    <col min="1277" max="1277" width="1.1796875" style="32" customWidth="1"/>
    <col min="1278" max="1278" width="20.7265625" style="32" customWidth="1"/>
    <col min="1279" max="1279" width="17.7265625" style="32" customWidth="1"/>
    <col min="1280" max="1280" width="18.1796875" style="32" customWidth="1"/>
    <col min="1281" max="1281" width="17.1796875" style="32" customWidth="1"/>
    <col min="1282" max="1282" width="22.26953125" style="32" bestFit="1" customWidth="1"/>
    <col min="1283" max="1283" width="22.1796875" style="32" customWidth="1"/>
    <col min="1284" max="1284" width="17.81640625" style="32" customWidth="1"/>
    <col min="1285" max="1285" width="22.453125" style="32" customWidth="1"/>
    <col min="1286" max="1286" width="10.1796875" style="32" bestFit="1" customWidth="1"/>
    <col min="1287" max="1287" width="13.453125" style="32" customWidth="1"/>
    <col min="1288" max="1288" width="7.26953125" style="32" bestFit="1" customWidth="1"/>
    <col min="1289" max="1289" width="15.453125" style="32" bestFit="1" customWidth="1"/>
    <col min="1290" max="1290" width="7.26953125" style="32" bestFit="1" customWidth="1"/>
    <col min="1291" max="1291" width="19.7265625" style="32" bestFit="1" customWidth="1"/>
    <col min="1292" max="1292" width="7.26953125" style="32" bestFit="1" customWidth="1"/>
    <col min="1293" max="1293" width="26.81640625" style="32" bestFit="1" customWidth="1"/>
    <col min="1294" max="1294" width="19.81640625" style="32" bestFit="1" customWidth="1"/>
    <col min="1295" max="1529" width="11.453125" style="32"/>
    <col min="1530" max="1530" width="2.26953125" style="32" customWidth="1"/>
    <col min="1531" max="1531" width="49" style="32" customWidth="1"/>
    <col min="1532" max="1532" width="16.81640625" style="32" customWidth="1"/>
    <col min="1533" max="1533" width="1.1796875" style="32" customWidth="1"/>
    <col min="1534" max="1534" width="20.7265625" style="32" customWidth="1"/>
    <col min="1535" max="1535" width="17.7265625" style="32" customWidth="1"/>
    <col min="1536" max="1536" width="18.1796875" style="32" customWidth="1"/>
    <col min="1537" max="1537" width="17.1796875" style="32" customWidth="1"/>
    <col min="1538" max="1538" width="22.26953125" style="32" bestFit="1" customWidth="1"/>
    <col min="1539" max="1539" width="22.1796875" style="32" customWidth="1"/>
    <col min="1540" max="1540" width="17.81640625" style="32" customWidth="1"/>
    <col min="1541" max="1541" width="22.453125" style="32" customWidth="1"/>
    <col min="1542" max="1542" width="10.1796875" style="32" bestFit="1" customWidth="1"/>
    <col min="1543" max="1543" width="13.453125" style="32" customWidth="1"/>
    <col min="1544" max="1544" width="7.26953125" style="32" bestFit="1" customWidth="1"/>
    <col min="1545" max="1545" width="15.453125" style="32" bestFit="1" customWidth="1"/>
    <col min="1546" max="1546" width="7.26953125" style="32" bestFit="1" customWidth="1"/>
    <col min="1547" max="1547" width="19.7265625" style="32" bestFit="1" customWidth="1"/>
    <col min="1548" max="1548" width="7.26953125" style="32" bestFit="1" customWidth="1"/>
    <col min="1549" max="1549" width="26.81640625" style="32" bestFit="1" customWidth="1"/>
    <col min="1550" max="1550" width="19.81640625" style="32" bestFit="1" customWidth="1"/>
    <col min="1551" max="1785" width="11.453125" style="32"/>
    <col min="1786" max="1786" width="2.26953125" style="32" customWidth="1"/>
    <col min="1787" max="1787" width="49" style="32" customWidth="1"/>
    <col min="1788" max="1788" width="16.81640625" style="32" customWidth="1"/>
    <col min="1789" max="1789" width="1.1796875" style="32" customWidth="1"/>
    <col min="1790" max="1790" width="20.7265625" style="32" customWidth="1"/>
    <col min="1791" max="1791" width="17.7265625" style="32" customWidth="1"/>
    <col min="1792" max="1792" width="18.1796875" style="32" customWidth="1"/>
    <col min="1793" max="1793" width="17.1796875" style="32" customWidth="1"/>
    <col min="1794" max="1794" width="22.26953125" style="32" bestFit="1" customWidth="1"/>
    <col min="1795" max="1795" width="22.1796875" style="32" customWidth="1"/>
    <col min="1796" max="1796" width="17.81640625" style="32" customWidth="1"/>
    <col min="1797" max="1797" width="22.453125" style="32" customWidth="1"/>
    <col min="1798" max="1798" width="10.1796875" style="32" bestFit="1" customWidth="1"/>
    <col min="1799" max="1799" width="13.453125" style="32" customWidth="1"/>
    <col min="1800" max="1800" width="7.26953125" style="32" bestFit="1" customWidth="1"/>
    <col min="1801" max="1801" width="15.453125" style="32" bestFit="1" customWidth="1"/>
    <col min="1802" max="1802" width="7.26953125" style="32" bestFit="1" customWidth="1"/>
    <col min="1803" max="1803" width="19.7265625" style="32" bestFit="1" customWidth="1"/>
    <col min="1804" max="1804" width="7.26953125" style="32" bestFit="1" customWidth="1"/>
    <col min="1805" max="1805" width="26.81640625" style="32" bestFit="1" customWidth="1"/>
    <col min="1806" max="1806" width="19.81640625" style="32" bestFit="1" customWidth="1"/>
    <col min="1807" max="2041" width="11.453125" style="32"/>
    <col min="2042" max="2042" width="2.26953125" style="32" customWidth="1"/>
    <col min="2043" max="2043" width="49" style="32" customWidth="1"/>
    <col min="2044" max="2044" width="16.81640625" style="32" customWidth="1"/>
    <col min="2045" max="2045" width="1.1796875" style="32" customWidth="1"/>
    <col min="2046" max="2046" width="20.7265625" style="32" customWidth="1"/>
    <col min="2047" max="2047" width="17.7265625" style="32" customWidth="1"/>
    <col min="2048" max="2048" width="18.1796875" style="32" customWidth="1"/>
    <col min="2049" max="2049" width="17.1796875" style="32" customWidth="1"/>
    <col min="2050" max="2050" width="22.26953125" style="32" bestFit="1" customWidth="1"/>
    <col min="2051" max="2051" width="22.1796875" style="32" customWidth="1"/>
    <col min="2052" max="2052" width="17.81640625" style="32" customWidth="1"/>
    <col min="2053" max="2053" width="22.453125" style="32" customWidth="1"/>
    <col min="2054" max="2054" width="10.1796875" style="32" bestFit="1" customWidth="1"/>
    <col min="2055" max="2055" width="13.453125" style="32" customWidth="1"/>
    <col min="2056" max="2056" width="7.26953125" style="32" bestFit="1" customWidth="1"/>
    <col min="2057" max="2057" width="15.453125" style="32" bestFit="1" customWidth="1"/>
    <col min="2058" max="2058" width="7.26953125" style="32" bestFit="1" customWidth="1"/>
    <col min="2059" max="2059" width="19.7265625" style="32" bestFit="1" customWidth="1"/>
    <col min="2060" max="2060" width="7.26953125" style="32" bestFit="1" customWidth="1"/>
    <col min="2061" max="2061" width="26.81640625" style="32" bestFit="1" customWidth="1"/>
    <col min="2062" max="2062" width="19.81640625" style="32" bestFit="1" customWidth="1"/>
    <col min="2063" max="2297" width="11.453125" style="32"/>
    <col min="2298" max="2298" width="2.26953125" style="32" customWidth="1"/>
    <col min="2299" max="2299" width="49" style="32" customWidth="1"/>
    <col min="2300" max="2300" width="16.81640625" style="32" customWidth="1"/>
    <col min="2301" max="2301" width="1.1796875" style="32" customWidth="1"/>
    <col min="2302" max="2302" width="20.7265625" style="32" customWidth="1"/>
    <col min="2303" max="2303" width="17.7265625" style="32" customWidth="1"/>
    <col min="2304" max="2304" width="18.1796875" style="32" customWidth="1"/>
    <col min="2305" max="2305" width="17.1796875" style="32" customWidth="1"/>
    <col min="2306" max="2306" width="22.26953125" style="32" bestFit="1" customWidth="1"/>
    <col min="2307" max="2307" width="22.1796875" style="32" customWidth="1"/>
    <col min="2308" max="2308" width="17.81640625" style="32" customWidth="1"/>
    <col min="2309" max="2309" width="22.453125" style="32" customWidth="1"/>
    <col min="2310" max="2310" width="10.1796875" style="32" bestFit="1" customWidth="1"/>
    <col min="2311" max="2311" width="13.453125" style="32" customWidth="1"/>
    <col min="2312" max="2312" width="7.26953125" style="32" bestFit="1" customWidth="1"/>
    <col min="2313" max="2313" width="15.453125" style="32" bestFit="1" customWidth="1"/>
    <col min="2314" max="2314" width="7.26953125" style="32" bestFit="1" customWidth="1"/>
    <col min="2315" max="2315" width="19.7265625" style="32" bestFit="1" customWidth="1"/>
    <col min="2316" max="2316" width="7.26953125" style="32" bestFit="1" customWidth="1"/>
    <col min="2317" max="2317" width="26.81640625" style="32" bestFit="1" customWidth="1"/>
    <col min="2318" max="2318" width="19.81640625" style="32" bestFit="1" customWidth="1"/>
    <col min="2319" max="2553" width="11.453125" style="32"/>
    <col min="2554" max="2554" width="2.26953125" style="32" customWidth="1"/>
    <col min="2555" max="2555" width="49" style="32" customWidth="1"/>
    <col min="2556" max="2556" width="16.81640625" style="32" customWidth="1"/>
    <col min="2557" max="2557" width="1.1796875" style="32" customWidth="1"/>
    <col min="2558" max="2558" width="20.7265625" style="32" customWidth="1"/>
    <col min="2559" max="2559" width="17.7265625" style="32" customWidth="1"/>
    <col min="2560" max="2560" width="18.1796875" style="32" customWidth="1"/>
    <col min="2561" max="2561" width="17.1796875" style="32" customWidth="1"/>
    <col min="2562" max="2562" width="22.26953125" style="32" bestFit="1" customWidth="1"/>
    <col min="2563" max="2563" width="22.1796875" style="32" customWidth="1"/>
    <col min="2564" max="2564" width="17.81640625" style="32" customWidth="1"/>
    <col min="2565" max="2565" width="22.453125" style="32" customWidth="1"/>
    <col min="2566" max="2566" width="10.1796875" style="32" bestFit="1" customWidth="1"/>
    <col min="2567" max="2567" width="13.453125" style="32" customWidth="1"/>
    <col min="2568" max="2568" width="7.26953125" style="32" bestFit="1" customWidth="1"/>
    <col min="2569" max="2569" width="15.453125" style="32" bestFit="1" customWidth="1"/>
    <col min="2570" max="2570" width="7.26953125" style="32" bestFit="1" customWidth="1"/>
    <col min="2571" max="2571" width="19.7265625" style="32" bestFit="1" customWidth="1"/>
    <col min="2572" max="2572" width="7.26953125" style="32" bestFit="1" customWidth="1"/>
    <col min="2573" max="2573" width="26.81640625" style="32" bestFit="1" customWidth="1"/>
    <col min="2574" max="2574" width="19.81640625" style="32" bestFit="1" customWidth="1"/>
    <col min="2575" max="2809" width="11.453125" style="32"/>
    <col min="2810" max="2810" width="2.26953125" style="32" customWidth="1"/>
    <col min="2811" max="2811" width="49" style="32" customWidth="1"/>
    <col min="2812" max="2812" width="16.81640625" style="32" customWidth="1"/>
    <col min="2813" max="2813" width="1.1796875" style="32" customWidth="1"/>
    <col min="2814" max="2814" width="20.7265625" style="32" customWidth="1"/>
    <col min="2815" max="2815" width="17.7265625" style="32" customWidth="1"/>
    <col min="2816" max="2816" width="18.1796875" style="32" customWidth="1"/>
    <col min="2817" max="2817" width="17.1796875" style="32" customWidth="1"/>
    <col min="2818" max="2818" width="22.26953125" style="32" bestFit="1" customWidth="1"/>
    <col min="2819" max="2819" width="22.1796875" style="32" customWidth="1"/>
    <col min="2820" max="2820" width="17.81640625" style="32" customWidth="1"/>
    <col min="2821" max="2821" width="22.453125" style="32" customWidth="1"/>
    <col min="2822" max="2822" width="10.1796875" style="32" bestFit="1" customWidth="1"/>
    <col min="2823" max="2823" width="13.453125" style="32" customWidth="1"/>
    <col min="2824" max="2824" width="7.26953125" style="32" bestFit="1" customWidth="1"/>
    <col min="2825" max="2825" width="15.453125" style="32" bestFit="1" customWidth="1"/>
    <col min="2826" max="2826" width="7.26953125" style="32" bestFit="1" customWidth="1"/>
    <col min="2827" max="2827" width="19.7265625" style="32" bestFit="1" customWidth="1"/>
    <col min="2828" max="2828" width="7.26953125" style="32" bestFit="1" customWidth="1"/>
    <col min="2829" max="2829" width="26.81640625" style="32" bestFit="1" customWidth="1"/>
    <col min="2830" max="2830" width="19.81640625" style="32" bestFit="1" customWidth="1"/>
    <col min="2831" max="3065" width="11.453125" style="32"/>
    <col min="3066" max="3066" width="2.26953125" style="32" customWidth="1"/>
    <col min="3067" max="3067" width="49" style="32" customWidth="1"/>
    <col min="3068" max="3068" width="16.81640625" style="32" customWidth="1"/>
    <col min="3069" max="3069" width="1.1796875" style="32" customWidth="1"/>
    <col min="3070" max="3070" width="20.7265625" style="32" customWidth="1"/>
    <col min="3071" max="3071" width="17.7265625" style="32" customWidth="1"/>
    <col min="3072" max="3072" width="18.1796875" style="32" customWidth="1"/>
    <col min="3073" max="3073" width="17.1796875" style="32" customWidth="1"/>
    <col min="3074" max="3074" width="22.26953125" style="32" bestFit="1" customWidth="1"/>
    <col min="3075" max="3075" width="22.1796875" style="32" customWidth="1"/>
    <col min="3076" max="3076" width="17.81640625" style="32" customWidth="1"/>
    <col min="3077" max="3077" width="22.453125" style="32" customWidth="1"/>
    <col min="3078" max="3078" width="10.1796875" style="32" bestFit="1" customWidth="1"/>
    <col min="3079" max="3079" width="13.453125" style="32" customWidth="1"/>
    <col min="3080" max="3080" width="7.26953125" style="32" bestFit="1" customWidth="1"/>
    <col min="3081" max="3081" width="15.453125" style="32" bestFit="1" customWidth="1"/>
    <col min="3082" max="3082" width="7.26953125" style="32" bestFit="1" customWidth="1"/>
    <col min="3083" max="3083" width="19.7265625" style="32" bestFit="1" customWidth="1"/>
    <col min="3084" max="3084" width="7.26953125" style="32" bestFit="1" customWidth="1"/>
    <col min="3085" max="3085" width="26.81640625" style="32" bestFit="1" customWidth="1"/>
    <col min="3086" max="3086" width="19.81640625" style="32" bestFit="1" customWidth="1"/>
    <col min="3087" max="3321" width="11.453125" style="32"/>
    <col min="3322" max="3322" width="2.26953125" style="32" customWidth="1"/>
    <col min="3323" max="3323" width="49" style="32" customWidth="1"/>
    <col min="3324" max="3324" width="16.81640625" style="32" customWidth="1"/>
    <col min="3325" max="3325" width="1.1796875" style="32" customWidth="1"/>
    <col min="3326" max="3326" width="20.7265625" style="32" customWidth="1"/>
    <col min="3327" max="3327" width="17.7265625" style="32" customWidth="1"/>
    <col min="3328" max="3328" width="18.1796875" style="32" customWidth="1"/>
    <col min="3329" max="3329" width="17.1796875" style="32" customWidth="1"/>
    <col min="3330" max="3330" width="22.26953125" style="32" bestFit="1" customWidth="1"/>
    <col min="3331" max="3331" width="22.1796875" style="32" customWidth="1"/>
    <col min="3332" max="3332" width="17.81640625" style="32" customWidth="1"/>
    <col min="3333" max="3333" width="22.453125" style="32" customWidth="1"/>
    <col min="3334" max="3334" width="10.1796875" style="32" bestFit="1" customWidth="1"/>
    <col min="3335" max="3335" width="13.453125" style="32" customWidth="1"/>
    <col min="3336" max="3336" width="7.26953125" style="32" bestFit="1" customWidth="1"/>
    <col min="3337" max="3337" width="15.453125" style="32" bestFit="1" customWidth="1"/>
    <col min="3338" max="3338" width="7.26953125" style="32" bestFit="1" customWidth="1"/>
    <col min="3339" max="3339" width="19.7265625" style="32" bestFit="1" customWidth="1"/>
    <col min="3340" max="3340" width="7.26953125" style="32" bestFit="1" customWidth="1"/>
    <col min="3341" max="3341" width="26.81640625" style="32" bestFit="1" customWidth="1"/>
    <col min="3342" max="3342" width="19.81640625" style="32" bestFit="1" customWidth="1"/>
    <col min="3343" max="3577" width="11.453125" style="32"/>
    <col min="3578" max="3578" width="2.26953125" style="32" customWidth="1"/>
    <col min="3579" max="3579" width="49" style="32" customWidth="1"/>
    <col min="3580" max="3580" width="16.81640625" style="32" customWidth="1"/>
    <col min="3581" max="3581" width="1.1796875" style="32" customWidth="1"/>
    <col min="3582" max="3582" width="20.7265625" style="32" customWidth="1"/>
    <col min="3583" max="3583" width="17.7265625" style="32" customWidth="1"/>
    <col min="3584" max="3584" width="18.1796875" style="32" customWidth="1"/>
    <col min="3585" max="3585" width="17.1796875" style="32" customWidth="1"/>
    <col min="3586" max="3586" width="22.26953125" style="32" bestFit="1" customWidth="1"/>
    <col min="3587" max="3587" width="22.1796875" style="32" customWidth="1"/>
    <col min="3588" max="3588" width="17.81640625" style="32" customWidth="1"/>
    <col min="3589" max="3589" width="22.453125" style="32" customWidth="1"/>
    <col min="3590" max="3590" width="10.1796875" style="32" bestFit="1" customWidth="1"/>
    <col min="3591" max="3591" width="13.453125" style="32" customWidth="1"/>
    <col min="3592" max="3592" width="7.26953125" style="32" bestFit="1" customWidth="1"/>
    <col min="3593" max="3593" width="15.453125" style="32" bestFit="1" customWidth="1"/>
    <col min="3594" max="3594" width="7.26953125" style="32" bestFit="1" customWidth="1"/>
    <col min="3595" max="3595" width="19.7265625" style="32" bestFit="1" customWidth="1"/>
    <col min="3596" max="3596" width="7.26953125" style="32" bestFit="1" customWidth="1"/>
    <col min="3597" max="3597" width="26.81640625" style="32" bestFit="1" customWidth="1"/>
    <col min="3598" max="3598" width="19.81640625" style="32" bestFit="1" customWidth="1"/>
    <col min="3599" max="3833" width="11.453125" style="32"/>
    <col min="3834" max="3834" width="2.26953125" style="32" customWidth="1"/>
    <col min="3835" max="3835" width="49" style="32" customWidth="1"/>
    <col min="3836" max="3836" width="16.81640625" style="32" customWidth="1"/>
    <col min="3837" max="3837" width="1.1796875" style="32" customWidth="1"/>
    <col min="3838" max="3838" width="20.7265625" style="32" customWidth="1"/>
    <col min="3839" max="3839" width="17.7265625" style="32" customWidth="1"/>
    <col min="3840" max="3840" width="18.1796875" style="32" customWidth="1"/>
    <col min="3841" max="3841" width="17.1796875" style="32" customWidth="1"/>
    <col min="3842" max="3842" width="22.26953125" style="32" bestFit="1" customWidth="1"/>
    <col min="3843" max="3843" width="22.1796875" style="32" customWidth="1"/>
    <col min="3844" max="3844" width="17.81640625" style="32" customWidth="1"/>
    <col min="3845" max="3845" width="22.453125" style="32" customWidth="1"/>
    <col min="3846" max="3846" width="10.1796875" style="32" bestFit="1" customWidth="1"/>
    <col min="3847" max="3847" width="13.453125" style="32" customWidth="1"/>
    <col min="3848" max="3848" width="7.26953125" style="32" bestFit="1" customWidth="1"/>
    <col min="3849" max="3849" width="15.453125" style="32" bestFit="1" customWidth="1"/>
    <col min="3850" max="3850" width="7.26953125" style="32" bestFit="1" customWidth="1"/>
    <col min="3851" max="3851" width="19.7265625" style="32" bestFit="1" customWidth="1"/>
    <col min="3852" max="3852" width="7.26953125" style="32" bestFit="1" customWidth="1"/>
    <col min="3853" max="3853" width="26.81640625" style="32" bestFit="1" customWidth="1"/>
    <col min="3854" max="3854" width="19.81640625" style="32" bestFit="1" customWidth="1"/>
    <col min="3855" max="4089" width="11.453125" style="32"/>
    <col min="4090" max="4090" width="2.26953125" style="32" customWidth="1"/>
    <col min="4091" max="4091" width="49" style="32" customWidth="1"/>
    <col min="4092" max="4092" width="16.81640625" style="32" customWidth="1"/>
    <col min="4093" max="4093" width="1.1796875" style="32" customWidth="1"/>
    <col min="4094" max="4094" width="20.7265625" style="32" customWidth="1"/>
    <col min="4095" max="4095" width="17.7265625" style="32" customWidth="1"/>
    <col min="4096" max="4096" width="18.1796875" style="32" customWidth="1"/>
    <col min="4097" max="4097" width="17.1796875" style="32" customWidth="1"/>
    <col min="4098" max="4098" width="22.26953125" style="32" bestFit="1" customWidth="1"/>
    <col min="4099" max="4099" width="22.1796875" style="32" customWidth="1"/>
    <col min="4100" max="4100" width="17.81640625" style="32" customWidth="1"/>
    <col min="4101" max="4101" width="22.453125" style="32" customWidth="1"/>
    <col min="4102" max="4102" width="10.1796875" style="32" bestFit="1" customWidth="1"/>
    <col min="4103" max="4103" width="13.453125" style="32" customWidth="1"/>
    <col min="4104" max="4104" width="7.26953125" style="32" bestFit="1" customWidth="1"/>
    <col min="4105" max="4105" width="15.453125" style="32" bestFit="1" customWidth="1"/>
    <col min="4106" max="4106" width="7.26953125" style="32" bestFit="1" customWidth="1"/>
    <col min="4107" max="4107" width="19.7265625" style="32" bestFit="1" customWidth="1"/>
    <col min="4108" max="4108" width="7.26953125" style="32" bestFit="1" customWidth="1"/>
    <col min="4109" max="4109" width="26.81640625" style="32" bestFit="1" customWidth="1"/>
    <col min="4110" max="4110" width="19.81640625" style="32" bestFit="1" customWidth="1"/>
    <col min="4111" max="4345" width="11.453125" style="32"/>
    <col min="4346" max="4346" width="2.26953125" style="32" customWidth="1"/>
    <col min="4347" max="4347" width="49" style="32" customWidth="1"/>
    <col min="4348" max="4348" width="16.81640625" style="32" customWidth="1"/>
    <col min="4349" max="4349" width="1.1796875" style="32" customWidth="1"/>
    <col min="4350" max="4350" width="20.7265625" style="32" customWidth="1"/>
    <col min="4351" max="4351" width="17.7265625" style="32" customWidth="1"/>
    <col min="4352" max="4352" width="18.1796875" style="32" customWidth="1"/>
    <col min="4353" max="4353" width="17.1796875" style="32" customWidth="1"/>
    <col min="4354" max="4354" width="22.26953125" style="32" bestFit="1" customWidth="1"/>
    <col min="4355" max="4355" width="22.1796875" style="32" customWidth="1"/>
    <col min="4356" max="4356" width="17.81640625" style="32" customWidth="1"/>
    <col min="4357" max="4357" width="22.453125" style="32" customWidth="1"/>
    <col min="4358" max="4358" width="10.1796875" style="32" bestFit="1" customWidth="1"/>
    <col min="4359" max="4359" width="13.453125" style="32" customWidth="1"/>
    <col min="4360" max="4360" width="7.26953125" style="32" bestFit="1" customWidth="1"/>
    <col min="4361" max="4361" width="15.453125" style="32" bestFit="1" customWidth="1"/>
    <col min="4362" max="4362" width="7.26953125" style="32" bestFit="1" customWidth="1"/>
    <col min="4363" max="4363" width="19.7265625" style="32" bestFit="1" customWidth="1"/>
    <col min="4364" max="4364" width="7.26953125" style="32" bestFit="1" customWidth="1"/>
    <col min="4365" max="4365" width="26.81640625" style="32" bestFit="1" customWidth="1"/>
    <col min="4366" max="4366" width="19.81640625" style="32" bestFit="1" customWidth="1"/>
    <col min="4367" max="4601" width="11.453125" style="32"/>
    <col min="4602" max="4602" width="2.26953125" style="32" customWidth="1"/>
    <col min="4603" max="4603" width="49" style="32" customWidth="1"/>
    <col min="4604" max="4604" width="16.81640625" style="32" customWidth="1"/>
    <col min="4605" max="4605" width="1.1796875" style="32" customWidth="1"/>
    <col min="4606" max="4606" width="20.7265625" style="32" customWidth="1"/>
    <col min="4607" max="4607" width="17.7265625" style="32" customWidth="1"/>
    <col min="4608" max="4608" width="18.1796875" style="32" customWidth="1"/>
    <col min="4609" max="4609" width="17.1796875" style="32" customWidth="1"/>
    <col min="4610" max="4610" width="22.26953125" style="32" bestFit="1" customWidth="1"/>
    <col min="4611" max="4611" width="22.1796875" style="32" customWidth="1"/>
    <col min="4612" max="4612" width="17.81640625" style="32" customWidth="1"/>
    <col min="4613" max="4613" width="22.453125" style="32" customWidth="1"/>
    <col min="4614" max="4614" width="10.1796875" style="32" bestFit="1" customWidth="1"/>
    <col min="4615" max="4615" width="13.453125" style="32" customWidth="1"/>
    <col min="4616" max="4616" width="7.26953125" style="32" bestFit="1" customWidth="1"/>
    <col min="4617" max="4617" width="15.453125" style="32" bestFit="1" customWidth="1"/>
    <col min="4618" max="4618" width="7.26953125" style="32" bestFit="1" customWidth="1"/>
    <col min="4619" max="4619" width="19.7265625" style="32" bestFit="1" customWidth="1"/>
    <col min="4620" max="4620" width="7.26953125" style="32" bestFit="1" customWidth="1"/>
    <col min="4621" max="4621" width="26.81640625" style="32" bestFit="1" customWidth="1"/>
    <col min="4622" max="4622" width="19.81640625" style="32" bestFit="1" customWidth="1"/>
    <col min="4623" max="4857" width="11.453125" style="32"/>
    <col min="4858" max="4858" width="2.26953125" style="32" customWidth="1"/>
    <col min="4859" max="4859" width="49" style="32" customWidth="1"/>
    <col min="4860" max="4860" width="16.81640625" style="32" customWidth="1"/>
    <col min="4861" max="4861" width="1.1796875" style="32" customWidth="1"/>
    <col min="4862" max="4862" width="20.7265625" style="32" customWidth="1"/>
    <col min="4863" max="4863" width="17.7265625" style="32" customWidth="1"/>
    <col min="4864" max="4864" width="18.1796875" style="32" customWidth="1"/>
    <col min="4865" max="4865" width="17.1796875" style="32" customWidth="1"/>
    <col min="4866" max="4866" width="22.26953125" style="32" bestFit="1" customWidth="1"/>
    <col min="4867" max="4867" width="22.1796875" style="32" customWidth="1"/>
    <col min="4868" max="4868" width="17.81640625" style="32" customWidth="1"/>
    <col min="4869" max="4869" width="22.453125" style="32" customWidth="1"/>
    <col min="4870" max="4870" width="10.1796875" style="32" bestFit="1" customWidth="1"/>
    <col min="4871" max="4871" width="13.453125" style="32" customWidth="1"/>
    <col min="4872" max="4872" width="7.26953125" style="32" bestFit="1" customWidth="1"/>
    <col min="4873" max="4873" width="15.453125" style="32" bestFit="1" customWidth="1"/>
    <col min="4874" max="4874" width="7.26953125" style="32" bestFit="1" customWidth="1"/>
    <col min="4875" max="4875" width="19.7265625" style="32" bestFit="1" customWidth="1"/>
    <col min="4876" max="4876" width="7.26953125" style="32" bestFit="1" customWidth="1"/>
    <col min="4877" max="4877" width="26.81640625" style="32" bestFit="1" customWidth="1"/>
    <col min="4878" max="4878" width="19.81640625" style="32" bestFit="1" customWidth="1"/>
    <col min="4879" max="5113" width="11.453125" style="32"/>
    <col min="5114" max="5114" width="2.26953125" style="32" customWidth="1"/>
    <col min="5115" max="5115" width="49" style="32" customWidth="1"/>
    <col min="5116" max="5116" width="16.81640625" style="32" customWidth="1"/>
    <col min="5117" max="5117" width="1.1796875" style="32" customWidth="1"/>
    <col min="5118" max="5118" width="20.7265625" style="32" customWidth="1"/>
    <col min="5119" max="5119" width="17.7265625" style="32" customWidth="1"/>
    <col min="5120" max="5120" width="18.1796875" style="32" customWidth="1"/>
    <col min="5121" max="5121" width="17.1796875" style="32" customWidth="1"/>
    <col min="5122" max="5122" width="22.26953125" style="32" bestFit="1" customWidth="1"/>
    <col min="5123" max="5123" width="22.1796875" style="32" customWidth="1"/>
    <col min="5124" max="5124" width="17.81640625" style="32" customWidth="1"/>
    <col min="5125" max="5125" width="22.453125" style="32" customWidth="1"/>
    <col min="5126" max="5126" width="10.1796875" style="32" bestFit="1" customWidth="1"/>
    <col min="5127" max="5127" width="13.453125" style="32" customWidth="1"/>
    <col min="5128" max="5128" width="7.26953125" style="32" bestFit="1" customWidth="1"/>
    <col min="5129" max="5129" width="15.453125" style="32" bestFit="1" customWidth="1"/>
    <col min="5130" max="5130" width="7.26953125" style="32" bestFit="1" customWidth="1"/>
    <col min="5131" max="5131" width="19.7265625" style="32" bestFit="1" customWidth="1"/>
    <col min="5132" max="5132" width="7.26953125" style="32" bestFit="1" customWidth="1"/>
    <col min="5133" max="5133" width="26.81640625" style="32" bestFit="1" customWidth="1"/>
    <col min="5134" max="5134" width="19.81640625" style="32" bestFit="1" customWidth="1"/>
    <col min="5135" max="5369" width="11.453125" style="32"/>
    <col min="5370" max="5370" width="2.26953125" style="32" customWidth="1"/>
    <col min="5371" max="5371" width="49" style="32" customWidth="1"/>
    <col min="5372" max="5372" width="16.81640625" style="32" customWidth="1"/>
    <col min="5373" max="5373" width="1.1796875" style="32" customWidth="1"/>
    <col min="5374" max="5374" width="20.7265625" style="32" customWidth="1"/>
    <col min="5375" max="5375" width="17.7265625" style="32" customWidth="1"/>
    <col min="5376" max="5376" width="18.1796875" style="32" customWidth="1"/>
    <col min="5377" max="5377" width="17.1796875" style="32" customWidth="1"/>
    <col min="5378" max="5378" width="22.26953125" style="32" bestFit="1" customWidth="1"/>
    <col min="5379" max="5379" width="22.1796875" style="32" customWidth="1"/>
    <col min="5380" max="5380" width="17.81640625" style="32" customWidth="1"/>
    <col min="5381" max="5381" width="22.453125" style="32" customWidth="1"/>
    <col min="5382" max="5382" width="10.1796875" style="32" bestFit="1" customWidth="1"/>
    <col min="5383" max="5383" width="13.453125" style="32" customWidth="1"/>
    <col min="5384" max="5384" width="7.26953125" style="32" bestFit="1" customWidth="1"/>
    <col min="5385" max="5385" width="15.453125" style="32" bestFit="1" customWidth="1"/>
    <col min="5386" max="5386" width="7.26953125" style="32" bestFit="1" customWidth="1"/>
    <col min="5387" max="5387" width="19.7265625" style="32" bestFit="1" customWidth="1"/>
    <col min="5388" max="5388" width="7.26953125" style="32" bestFit="1" customWidth="1"/>
    <col min="5389" max="5389" width="26.81640625" style="32" bestFit="1" customWidth="1"/>
    <col min="5390" max="5390" width="19.81640625" style="32" bestFit="1" customWidth="1"/>
    <col min="5391" max="5625" width="11.453125" style="32"/>
    <col min="5626" max="5626" width="2.26953125" style="32" customWidth="1"/>
    <col min="5627" max="5627" width="49" style="32" customWidth="1"/>
    <col min="5628" max="5628" width="16.81640625" style="32" customWidth="1"/>
    <col min="5629" max="5629" width="1.1796875" style="32" customWidth="1"/>
    <col min="5630" max="5630" width="20.7265625" style="32" customWidth="1"/>
    <col min="5631" max="5631" width="17.7265625" style="32" customWidth="1"/>
    <col min="5632" max="5632" width="18.1796875" style="32" customWidth="1"/>
    <col min="5633" max="5633" width="17.1796875" style="32" customWidth="1"/>
    <col min="5634" max="5634" width="22.26953125" style="32" bestFit="1" customWidth="1"/>
    <col min="5635" max="5635" width="22.1796875" style="32" customWidth="1"/>
    <col min="5636" max="5636" width="17.81640625" style="32" customWidth="1"/>
    <col min="5637" max="5637" width="22.453125" style="32" customWidth="1"/>
    <col min="5638" max="5638" width="10.1796875" style="32" bestFit="1" customWidth="1"/>
    <col min="5639" max="5639" width="13.453125" style="32" customWidth="1"/>
    <col min="5640" max="5640" width="7.26953125" style="32" bestFit="1" customWidth="1"/>
    <col min="5641" max="5641" width="15.453125" style="32" bestFit="1" customWidth="1"/>
    <col min="5642" max="5642" width="7.26953125" style="32" bestFit="1" customWidth="1"/>
    <col min="5643" max="5643" width="19.7265625" style="32" bestFit="1" customWidth="1"/>
    <col min="5644" max="5644" width="7.26953125" style="32" bestFit="1" customWidth="1"/>
    <col min="5645" max="5645" width="26.81640625" style="32" bestFit="1" customWidth="1"/>
    <col min="5646" max="5646" width="19.81640625" style="32" bestFit="1" customWidth="1"/>
    <col min="5647" max="5881" width="11.453125" style="32"/>
    <col min="5882" max="5882" width="2.26953125" style="32" customWidth="1"/>
    <col min="5883" max="5883" width="49" style="32" customWidth="1"/>
    <col min="5884" max="5884" width="16.81640625" style="32" customWidth="1"/>
    <col min="5885" max="5885" width="1.1796875" style="32" customWidth="1"/>
    <col min="5886" max="5886" width="20.7265625" style="32" customWidth="1"/>
    <col min="5887" max="5887" width="17.7265625" style="32" customWidth="1"/>
    <col min="5888" max="5888" width="18.1796875" style="32" customWidth="1"/>
    <col min="5889" max="5889" width="17.1796875" style="32" customWidth="1"/>
    <col min="5890" max="5890" width="22.26953125" style="32" bestFit="1" customWidth="1"/>
    <col min="5891" max="5891" width="22.1796875" style="32" customWidth="1"/>
    <col min="5892" max="5892" width="17.81640625" style="32" customWidth="1"/>
    <col min="5893" max="5893" width="22.453125" style="32" customWidth="1"/>
    <col min="5894" max="5894" width="10.1796875" style="32" bestFit="1" customWidth="1"/>
    <col min="5895" max="5895" width="13.453125" style="32" customWidth="1"/>
    <col min="5896" max="5896" width="7.26953125" style="32" bestFit="1" customWidth="1"/>
    <col min="5897" max="5897" width="15.453125" style="32" bestFit="1" customWidth="1"/>
    <col min="5898" max="5898" width="7.26953125" style="32" bestFit="1" customWidth="1"/>
    <col min="5899" max="5899" width="19.7265625" style="32" bestFit="1" customWidth="1"/>
    <col min="5900" max="5900" width="7.26953125" style="32" bestFit="1" customWidth="1"/>
    <col min="5901" max="5901" width="26.81640625" style="32" bestFit="1" customWidth="1"/>
    <col min="5902" max="5902" width="19.81640625" style="32" bestFit="1" customWidth="1"/>
    <col min="5903" max="6137" width="11.453125" style="32"/>
    <col min="6138" max="6138" width="2.26953125" style="32" customWidth="1"/>
    <col min="6139" max="6139" width="49" style="32" customWidth="1"/>
    <col min="6140" max="6140" width="16.81640625" style="32" customWidth="1"/>
    <col min="6141" max="6141" width="1.1796875" style="32" customWidth="1"/>
    <col min="6142" max="6142" width="20.7265625" style="32" customWidth="1"/>
    <col min="6143" max="6143" width="17.7265625" style="32" customWidth="1"/>
    <col min="6144" max="6144" width="18.1796875" style="32" customWidth="1"/>
    <col min="6145" max="6145" width="17.1796875" style="32" customWidth="1"/>
    <col min="6146" max="6146" width="22.26953125" style="32" bestFit="1" customWidth="1"/>
    <col min="6147" max="6147" width="22.1796875" style="32" customWidth="1"/>
    <col min="6148" max="6148" width="17.81640625" style="32" customWidth="1"/>
    <col min="6149" max="6149" width="22.453125" style="32" customWidth="1"/>
    <col min="6150" max="6150" width="10.1796875" style="32" bestFit="1" customWidth="1"/>
    <col min="6151" max="6151" width="13.453125" style="32" customWidth="1"/>
    <col min="6152" max="6152" width="7.26953125" style="32" bestFit="1" customWidth="1"/>
    <col min="6153" max="6153" width="15.453125" style="32" bestFit="1" customWidth="1"/>
    <col min="6154" max="6154" width="7.26953125" style="32" bestFit="1" customWidth="1"/>
    <col min="6155" max="6155" width="19.7265625" style="32" bestFit="1" customWidth="1"/>
    <col min="6156" max="6156" width="7.26953125" style="32" bestFit="1" customWidth="1"/>
    <col min="6157" max="6157" width="26.81640625" style="32" bestFit="1" customWidth="1"/>
    <col min="6158" max="6158" width="19.81640625" style="32" bestFit="1" customWidth="1"/>
    <col min="6159" max="6393" width="11.453125" style="32"/>
    <col min="6394" max="6394" width="2.26953125" style="32" customWidth="1"/>
    <col min="6395" max="6395" width="49" style="32" customWidth="1"/>
    <col min="6396" max="6396" width="16.81640625" style="32" customWidth="1"/>
    <col min="6397" max="6397" width="1.1796875" style="32" customWidth="1"/>
    <col min="6398" max="6398" width="20.7265625" style="32" customWidth="1"/>
    <col min="6399" max="6399" width="17.7265625" style="32" customWidth="1"/>
    <col min="6400" max="6400" width="18.1796875" style="32" customWidth="1"/>
    <col min="6401" max="6401" width="17.1796875" style="32" customWidth="1"/>
    <col min="6402" max="6402" width="22.26953125" style="32" bestFit="1" customWidth="1"/>
    <col min="6403" max="6403" width="22.1796875" style="32" customWidth="1"/>
    <col min="6404" max="6404" width="17.81640625" style="32" customWidth="1"/>
    <col min="6405" max="6405" width="22.453125" style="32" customWidth="1"/>
    <col min="6406" max="6406" width="10.1796875" style="32" bestFit="1" customWidth="1"/>
    <col min="6407" max="6407" width="13.453125" style="32" customWidth="1"/>
    <col min="6408" max="6408" width="7.26953125" style="32" bestFit="1" customWidth="1"/>
    <col min="6409" max="6409" width="15.453125" style="32" bestFit="1" customWidth="1"/>
    <col min="6410" max="6410" width="7.26953125" style="32" bestFit="1" customWidth="1"/>
    <col min="6411" max="6411" width="19.7265625" style="32" bestFit="1" customWidth="1"/>
    <col min="6412" max="6412" width="7.26953125" style="32" bestFit="1" customWidth="1"/>
    <col min="6413" max="6413" width="26.81640625" style="32" bestFit="1" customWidth="1"/>
    <col min="6414" max="6414" width="19.81640625" style="32" bestFit="1" customWidth="1"/>
    <col min="6415" max="6649" width="11.453125" style="32"/>
    <col min="6650" max="6650" width="2.26953125" style="32" customWidth="1"/>
    <col min="6651" max="6651" width="49" style="32" customWidth="1"/>
    <col min="6652" max="6652" width="16.81640625" style="32" customWidth="1"/>
    <col min="6653" max="6653" width="1.1796875" style="32" customWidth="1"/>
    <col min="6654" max="6654" width="20.7265625" style="32" customWidth="1"/>
    <col min="6655" max="6655" width="17.7265625" style="32" customWidth="1"/>
    <col min="6656" max="6656" width="18.1796875" style="32" customWidth="1"/>
    <col min="6657" max="6657" width="17.1796875" style="32" customWidth="1"/>
    <col min="6658" max="6658" width="22.26953125" style="32" bestFit="1" customWidth="1"/>
    <col min="6659" max="6659" width="22.1796875" style="32" customWidth="1"/>
    <col min="6660" max="6660" width="17.81640625" style="32" customWidth="1"/>
    <col min="6661" max="6661" width="22.453125" style="32" customWidth="1"/>
    <col min="6662" max="6662" width="10.1796875" style="32" bestFit="1" customWidth="1"/>
    <col min="6663" max="6663" width="13.453125" style="32" customWidth="1"/>
    <col min="6664" max="6664" width="7.26953125" style="32" bestFit="1" customWidth="1"/>
    <col min="6665" max="6665" width="15.453125" style="32" bestFit="1" customWidth="1"/>
    <col min="6666" max="6666" width="7.26953125" style="32" bestFit="1" customWidth="1"/>
    <col min="6667" max="6667" width="19.7265625" style="32" bestFit="1" customWidth="1"/>
    <col min="6668" max="6668" width="7.26953125" style="32" bestFit="1" customWidth="1"/>
    <col min="6669" max="6669" width="26.81640625" style="32" bestFit="1" customWidth="1"/>
    <col min="6670" max="6670" width="19.81640625" style="32" bestFit="1" customWidth="1"/>
    <col min="6671" max="6905" width="11.453125" style="32"/>
    <col min="6906" max="6906" width="2.26953125" style="32" customWidth="1"/>
    <col min="6907" max="6907" width="49" style="32" customWidth="1"/>
    <col min="6908" max="6908" width="16.81640625" style="32" customWidth="1"/>
    <col min="6909" max="6909" width="1.1796875" style="32" customWidth="1"/>
    <col min="6910" max="6910" width="20.7265625" style="32" customWidth="1"/>
    <col min="6911" max="6911" width="17.7265625" style="32" customWidth="1"/>
    <col min="6912" max="6912" width="18.1796875" style="32" customWidth="1"/>
    <col min="6913" max="6913" width="17.1796875" style="32" customWidth="1"/>
    <col min="6914" max="6914" width="22.26953125" style="32" bestFit="1" customWidth="1"/>
    <col min="6915" max="6915" width="22.1796875" style="32" customWidth="1"/>
    <col min="6916" max="6916" width="17.81640625" style="32" customWidth="1"/>
    <col min="6917" max="6917" width="22.453125" style="32" customWidth="1"/>
    <col min="6918" max="6918" width="10.1796875" style="32" bestFit="1" customWidth="1"/>
    <col min="6919" max="6919" width="13.453125" style="32" customWidth="1"/>
    <col min="6920" max="6920" width="7.26953125" style="32" bestFit="1" customWidth="1"/>
    <col min="6921" max="6921" width="15.453125" style="32" bestFit="1" customWidth="1"/>
    <col min="6922" max="6922" width="7.26953125" style="32" bestFit="1" customWidth="1"/>
    <col min="6923" max="6923" width="19.7265625" style="32" bestFit="1" customWidth="1"/>
    <col min="6924" max="6924" width="7.26953125" style="32" bestFit="1" customWidth="1"/>
    <col min="6925" max="6925" width="26.81640625" style="32" bestFit="1" customWidth="1"/>
    <col min="6926" max="6926" width="19.81640625" style="32" bestFit="1" customWidth="1"/>
    <col min="6927" max="7161" width="11.453125" style="32"/>
    <col min="7162" max="7162" width="2.26953125" style="32" customWidth="1"/>
    <col min="7163" max="7163" width="49" style="32" customWidth="1"/>
    <col min="7164" max="7164" width="16.81640625" style="32" customWidth="1"/>
    <col min="7165" max="7165" width="1.1796875" style="32" customWidth="1"/>
    <col min="7166" max="7166" width="20.7265625" style="32" customWidth="1"/>
    <col min="7167" max="7167" width="17.7265625" style="32" customWidth="1"/>
    <col min="7168" max="7168" width="18.1796875" style="32" customWidth="1"/>
    <col min="7169" max="7169" width="17.1796875" style="32" customWidth="1"/>
    <col min="7170" max="7170" width="22.26953125" style="32" bestFit="1" customWidth="1"/>
    <col min="7171" max="7171" width="22.1796875" style="32" customWidth="1"/>
    <col min="7172" max="7172" width="17.81640625" style="32" customWidth="1"/>
    <col min="7173" max="7173" width="22.453125" style="32" customWidth="1"/>
    <col min="7174" max="7174" width="10.1796875" style="32" bestFit="1" customWidth="1"/>
    <col min="7175" max="7175" width="13.453125" style="32" customWidth="1"/>
    <col min="7176" max="7176" width="7.26953125" style="32" bestFit="1" customWidth="1"/>
    <col min="7177" max="7177" width="15.453125" style="32" bestFit="1" customWidth="1"/>
    <col min="7178" max="7178" width="7.26953125" style="32" bestFit="1" customWidth="1"/>
    <col min="7179" max="7179" width="19.7265625" style="32" bestFit="1" customWidth="1"/>
    <col min="7180" max="7180" width="7.26953125" style="32" bestFit="1" customWidth="1"/>
    <col min="7181" max="7181" width="26.81640625" style="32" bestFit="1" customWidth="1"/>
    <col min="7182" max="7182" width="19.81640625" style="32" bestFit="1" customWidth="1"/>
    <col min="7183" max="7417" width="11.453125" style="32"/>
    <col min="7418" max="7418" width="2.26953125" style="32" customWidth="1"/>
    <col min="7419" max="7419" width="49" style="32" customWidth="1"/>
    <col min="7420" max="7420" width="16.81640625" style="32" customWidth="1"/>
    <col min="7421" max="7421" width="1.1796875" style="32" customWidth="1"/>
    <col min="7422" max="7422" width="20.7265625" style="32" customWidth="1"/>
    <col min="7423" max="7423" width="17.7265625" style="32" customWidth="1"/>
    <col min="7424" max="7424" width="18.1796875" style="32" customWidth="1"/>
    <col min="7425" max="7425" width="17.1796875" style="32" customWidth="1"/>
    <col min="7426" max="7426" width="22.26953125" style="32" bestFit="1" customWidth="1"/>
    <col min="7427" max="7427" width="22.1796875" style="32" customWidth="1"/>
    <col min="7428" max="7428" width="17.81640625" style="32" customWidth="1"/>
    <col min="7429" max="7429" width="22.453125" style="32" customWidth="1"/>
    <col min="7430" max="7430" width="10.1796875" style="32" bestFit="1" customWidth="1"/>
    <col min="7431" max="7431" width="13.453125" style="32" customWidth="1"/>
    <col min="7432" max="7432" width="7.26953125" style="32" bestFit="1" customWidth="1"/>
    <col min="7433" max="7433" width="15.453125" style="32" bestFit="1" customWidth="1"/>
    <col min="7434" max="7434" width="7.26953125" style="32" bestFit="1" customWidth="1"/>
    <col min="7435" max="7435" width="19.7265625" style="32" bestFit="1" customWidth="1"/>
    <col min="7436" max="7436" width="7.26953125" style="32" bestFit="1" customWidth="1"/>
    <col min="7437" max="7437" width="26.81640625" style="32" bestFit="1" customWidth="1"/>
    <col min="7438" max="7438" width="19.81640625" style="32" bestFit="1" customWidth="1"/>
    <col min="7439" max="7673" width="11.453125" style="32"/>
    <col min="7674" max="7674" width="2.26953125" style="32" customWidth="1"/>
    <col min="7675" max="7675" width="49" style="32" customWidth="1"/>
    <col min="7676" max="7676" width="16.81640625" style="32" customWidth="1"/>
    <col min="7677" max="7677" width="1.1796875" style="32" customWidth="1"/>
    <col min="7678" max="7678" width="20.7265625" style="32" customWidth="1"/>
    <col min="7679" max="7679" width="17.7265625" style="32" customWidth="1"/>
    <col min="7680" max="7680" width="18.1796875" style="32" customWidth="1"/>
    <col min="7681" max="7681" width="17.1796875" style="32" customWidth="1"/>
    <col min="7682" max="7682" width="22.26953125" style="32" bestFit="1" customWidth="1"/>
    <col min="7683" max="7683" width="22.1796875" style="32" customWidth="1"/>
    <col min="7684" max="7684" width="17.81640625" style="32" customWidth="1"/>
    <col min="7685" max="7685" width="22.453125" style="32" customWidth="1"/>
    <col min="7686" max="7686" width="10.1796875" style="32" bestFit="1" customWidth="1"/>
    <col min="7687" max="7687" width="13.453125" style="32" customWidth="1"/>
    <col min="7688" max="7688" width="7.26953125" style="32" bestFit="1" customWidth="1"/>
    <col min="7689" max="7689" width="15.453125" style="32" bestFit="1" customWidth="1"/>
    <col min="7690" max="7690" width="7.26953125" style="32" bestFit="1" customWidth="1"/>
    <col min="7691" max="7691" width="19.7265625" style="32" bestFit="1" customWidth="1"/>
    <col min="7692" max="7692" width="7.26953125" style="32" bestFit="1" customWidth="1"/>
    <col min="7693" max="7693" width="26.81640625" style="32" bestFit="1" customWidth="1"/>
    <col min="7694" max="7694" width="19.81640625" style="32" bestFit="1" customWidth="1"/>
    <col min="7695" max="7929" width="11.453125" style="32"/>
    <col min="7930" max="7930" width="2.26953125" style="32" customWidth="1"/>
    <col min="7931" max="7931" width="49" style="32" customWidth="1"/>
    <col min="7932" max="7932" width="16.81640625" style="32" customWidth="1"/>
    <col min="7933" max="7933" width="1.1796875" style="32" customWidth="1"/>
    <col min="7934" max="7934" width="20.7265625" style="32" customWidth="1"/>
    <col min="7935" max="7935" width="17.7265625" style="32" customWidth="1"/>
    <col min="7936" max="7936" width="18.1796875" style="32" customWidth="1"/>
    <col min="7937" max="7937" width="17.1796875" style="32" customWidth="1"/>
    <col min="7938" max="7938" width="22.26953125" style="32" bestFit="1" customWidth="1"/>
    <col min="7939" max="7939" width="22.1796875" style="32" customWidth="1"/>
    <col min="7940" max="7940" width="17.81640625" style="32" customWidth="1"/>
    <col min="7941" max="7941" width="22.453125" style="32" customWidth="1"/>
    <col min="7942" max="7942" width="10.1796875" style="32" bestFit="1" customWidth="1"/>
    <col min="7943" max="7943" width="13.453125" style="32" customWidth="1"/>
    <col min="7944" max="7944" width="7.26953125" style="32" bestFit="1" customWidth="1"/>
    <col min="7945" max="7945" width="15.453125" style="32" bestFit="1" customWidth="1"/>
    <col min="7946" max="7946" width="7.26953125" style="32" bestFit="1" customWidth="1"/>
    <col min="7947" max="7947" width="19.7265625" style="32" bestFit="1" customWidth="1"/>
    <col min="7948" max="7948" width="7.26953125" style="32" bestFit="1" customWidth="1"/>
    <col min="7949" max="7949" width="26.81640625" style="32" bestFit="1" customWidth="1"/>
    <col min="7950" max="7950" width="19.81640625" style="32" bestFit="1" customWidth="1"/>
    <col min="7951" max="8185" width="11.453125" style="32"/>
    <col min="8186" max="8186" width="2.26953125" style="32" customWidth="1"/>
    <col min="8187" max="8187" width="49" style="32" customWidth="1"/>
    <col min="8188" max="8188" width="16.81640625" style="32" customWidth="1"/>
    <col min="8189" max="8189" width="1.1796875" style="32" customWidth="1"/>
    <col min="8190" max="8190" width="20.7265625" style="32" customWidth="1"/>
    <col min="8191" max="8191" width="17.7265625" style="32" customWidth="1"/>
    <col min="8192" max="8192" width="18.1796875" style="32" customWidth="1"/>
    <col min="8193" max="8193" width="17.1796875" style="32" customWidth="1"/>
    <col min="8194" max="8194" width="22.26953125" style="32" bestFit="1" customWidth="1"/>
    <col min="8195" max="8195" width="22.1796875" style="32" customWidth="1"/>
    <col min="8196" max="8196" width="17.81640625" style="32" customWidth="1"/>
    <col min="8197" max="8197" width="22.453125" style="32" customWidth="1"/>
    <col min="8198" max="8198" width="10.1796875" style="32" bestFit="1" customWidth="1"/>
    <col min="8199" max="8199" width="13.453125" style="32" customWidth="1"/>
    <col min="8200" max="8200" width="7.26953125" style="32" bestFit="1" customWidth="1"/>
    <col min="8201" max="8201" width="15.453125" style="32" bestFit="1" customWidth="1"/>
    <col min="8202" max="8202" width="7.26953125" style="32" bestFit="1" customWidth="1"/>
    <col min="8203" max="8203" width="19.7265625" style="32" bestFit="1" customWidth="1"/>
    <col min="8204" max="8204" width="7.26953125" style="32" bestFit="1" customWidth="1"/>
    <col min="8205" max="8205" width="26.81640625" style="32" bestFit="1" customWidth="1"/>
    <col min="8206" max="8206" width="19.81640625" style="32" bestFit="1" customWidth="1"/>
    <col min="8207" max="8441" width="11.453125" style="32"/>
    <col min="8442" max="8442" width="2.26953125" style="32" customWidth="1"/>
    <col min="8443" max="8443" width="49" style="32" customWidth="1"/>
    <col min="8444" max="8444" width="16.81640625" style="32" customWidth="1"/>
    <col min="8445" max="8445" width="1.1796875" style="32" customWidth="1"/>
    <col min="8446" max="8446" width="20.7265625" style="32" customWidth="1"/>
    <col min="8447" max="8447" width="17.7265625" style="32" customWidth="1"/>
    <col min="8448" max="8448" width="18.1796875" style="32" customWidth="1"/>
    <col min="8449" max="8449" width="17.1796875" style="32" customWidth="1"/>
    <col min="8450" max="8450" width="22.26953125" style="32" bestFit="1" customWidth="1"/>
    <col min="8451" max="8451" width="22.1796875" style="32" customWidth="1"/>
    <col min="8452" max="8452" width="17.81640625" style="32" customWidth="1"/>
    <col min="8453" max="8453" width="22.453125" style="32" customWidth="1"/>
    <col min="8454" max="8454" width="10.1796875" style="32" bestFit="1" customWidth="1"/>
    <col min="8455" max="8455" width="13.453125" style="32" customWidth="1"/>
    <col min="8456" max="8456" width="7.26953125" style="32" bestFit="1" customWidth="1"/>
    <col min="8457" max="8457" width="15.453125" style="32" bestFit="1" customWidth="1"/>
    <col min="8458" max="8458" width="7.26953125" style="32" bestFit="1" customWidth="1"/>
    <col min="8459" max="8459" width="19.7265625" style="32" bestFit="1" customWidth="1"/>
    <col min="8460" max="8460" width="7.26953125" style="32" bestFit="1" customWidth="1"/>
    <col min="8461" max="8461" width="26.81640625" style="32" bestFit="1" customWidth="1"/>
    <col min="8462" max="8462" width="19.81640625" style="32" bestFit="1" customWidth="1"/>
    <col min="8463" max="8697" width="11.453125" style="32"/>
    <col min="8698" max="8698" width="2.26953125" style="32" customWidth="1"/>
    <col min="8699" max="8699" width="49" style="32" customWidth="1"/>
    <col min="8700" max="8700" width="16.81640625" style="32" customWidth="1"/>
    <col min="8701" max="8701" width="1.1796875" style="32" customWidth="1"/>
    <col min="8702" max="8702" width="20.7265625" style="32" customWidth="1"/>
    <col min="8703" max="8703" width="17.7265625" style="32" customWidth="1"/>
    <col min="8704" max="8704" width="18.1796875" style="32" customWidth="1"/>
    <col min="8705" max="8705" width="17.1796875" style="32" customWidth="1"/>
    <col min="8706" max="8706" width="22.26953125" style="32" bestFit="1" customWidth="1"/>
    <col min="8707" max="8707" width="22.1796875" style="32" customWidth="1"/>
    <col min="8708" max="8708" width="17.81640625" style="32" customWidth="1"/>
    <col min="8709" max="8709" width="22.453125" style="32" customWidth="1"/>
    <col min="8710" max="8710" width="10.1796875" style="32" bestFit="1" customWidth="1"/>
    <col min="8711" max="8711" width="13.453125" style="32" customWidth="1"/>
    <col min="8712" max="8712" width="7.26953125" style="32" bestFit="1" customWidth="1"/>
    <col min="8713" max="8713" width="15.453125" style="32" bestFit="1" customWidth="1"/>
    <col min="8714" max="8714" width="7.26953125" style="32" bestFit="1" customWidth="1"/>
    <col min="8715" max="8715" width="19.7265625" style="32" bestFit="1" customWidth="1"/>
    <col min="8716" max="8716" width="7.26953125" style="32" bestFit="1" customWidth="1"/>
    <col min="8717" max="8717" width="26.81640625" style="32" bestFit="1" customWidth="1"/>
    <col min="8718" max="8718" width="19.81640625" style="32" bestFit="1" customWidth="1"/>
    <col min="8719" max="8953" width="11.453125" style="32"/>
    <col min="8954" max="8954" width="2.26953125" style="32" customWidth="1"/>
    <col min="8955" max="8955" width="49" style="32" customWidth="1"/>
    <col min="8956" max="8956" width="16.81640625" style="32" customWidth="1"/>
    <col min="8957" max="8957" width="1.1796875" style="32" customWidth="1"/>
    <col min="8958" max="8958" width="20.7265625" style="32" customWidth="1"/>
    <col min="8959" max="8959" width="17.7265625" style="32" customWidth="1"/>
    <col min="8960" max="8960" width="18.1796875" style="32" customWidth="1"/>
    <col min="8961" max="8961" width="17.1796875" style="32" customWidth="1"/>
    <col min="8962" max="8962" width="22.26953125" style="32" bestFit="1" customWidth="1"/>
    <col min="8963" max="8963" width="22.1796875" style="32" customWidth="1"/>
    <col min="8964" max="8964" width="17.81640625" style="32" customWidth="1"/>
    <col min="8965" max="8965" width="22.453125" style="32" customWidth="1"/>
    <col min="8966" max="8966" width="10.1796875" style="32" bestFit="1" customWidth="1"/>
    <col min="8967" max="8967" width="13.453125" style="32" customWidth="1"/>
    <col min="8968" max="8968" width="7.26953125" style="32" bestFit="1" customWidth="1"/>
    <col min="8969" max="8969" width="15.453125" style="32" bestFit="1" customWidth="1"/>
    <col min="8970" max="8970" width="7.26953125" style="32" bestFit="1" customWidth="1"/>
    <col min="8971" max="8971" width="19.7265625" style="32" bestFit="1" customWidth="1"/>
    <col min="8972" max="8972" width="7.26953125" style="32" bestFit="1" customWidth="1"/>
    <col min="8973" max="8973" width="26.81640625" style="32" bestFit="1" customWidth="1"/>
    <col min="8974" max="8974" width="19.81640625" style="32" bestFit="1" customWidth="1"/>
    <col min="8975" max="9209" width="11.453125" style="32"/>
    <col min="9210" max="9210" width="2.26953125" style="32" customWidth="1"/>
    <col min="9211" max="9211" width="49" style="32" customWidth="1"/>
    <col min="9212" max="9212" width="16.81640625" style="32" customWidth="1"/>
    <col min="9213" max="9213" width="1.1796875" style="32" customWidth="1"/>
    <col min="9214" max="9214" width="20.7265625" style="32" customWidth="1"/>
    <col min="9215" max="9215" width="17.7265625" style="32" customWidth="1"/>
    <col min="9216" max="9216" width="18.1796875" style="32" customWidth="1"/>
    <col min="9217" max="9217" width="17.1796875" style="32" customWidth="1"/>
    <col min="9218" max="9218" width="22.26953125" style="32" bestFit="1" customWidth="1"/>
    <col min="9219" max="9219" width="22.1796875" style="32" customWidth="1"/>
    <col min="9220" max="9220" width="17.81640625" style="32" customWidth="1"/>
    <col min="9221" max="9221" width="22.453125" style="32" customWidth="1"/>
    <col min="9222" max="9222" width="10.1796875" style="32" bestFit="1" customWidth="1"/>
    <col min="9223" max="9223" width="13.453125" style="32" customWidth="1"/>
    <col min="9224" max="9224" width="7.26953125" style="32" bestFit="1" customWidth="1"/>
    <col min="9225" max="9225" width="15.453125" style="32" bestFit="1" customWidth="1"/>
    <col min="9226" max="9226" width="7.26953125" style="32" bestFit="1" customWidth="1"/>
    <col min="9227" max="9227" width="19.7265625" style="32" bestFit="1" customWidth="1"/>
    <col min="9228" max="9228" width="7.26953125" style="32" bestFit="1" customWidth="1"/>
    <col min="9229" max="9229" width="26.81640625" style="32" bestFit="1" customWidth="1"/>
    <col min="9230" max="9230" width="19.81640625" style="32" bestFit="1" customWidth="1"/>
    <col min="9231" max="9465" width="11.453125" style="32"/>
    <col min="9466" max="9466" width="2.26953125" style="32" customWidth="1"/>
    <col min="9467" max="9467" width="49" style="32" customWidth="1"/>
    <col min="9468" max="9468" width="16.81640625" style="32" customWidth="1"/>
    <col min="9469" max="9469" width="1.1796875" style="32" customWidth="1"/>
    <col min="9470" max="9470" width="20.7265625" style="32" customWidth="1"/>
    <col min="9471" max="9471" width="17.7265625" style="32" customWidth="1"/>
    <col min="9472" max="9472" width="18.1796875" style="32" customWidth="1"/>
    <col min="9473" max="9473" width="17.1796875" style="32" customWidth="1"/>
    <col min="9474" max="9474" width="22.26953125" style="32" bestFit="1" customWidth="1"/>
    <col min="9475" max="9475" width="22.1796875" style="32" customWidth="1"/>
    <col min="9476" max="9476" width="17.81640625" style="32" customWidth="1"/>
    <col min="9477" max="9477" width="22.453125" style="32" customWidth="1"/>
    <col min="9478" max="9478" width="10.1796875" style="32" bestFit="1" customWidth="1"/>
    <col min="9479" max="9479" width="13.453125" style="32" customWidth="1"/>
    <col min="9480" max="9480" width="7.26953125" style="32" bestFit="1" customWidth="1"/>
    <col min="9481" max="9481" width="15.453125" style="32" bestFit="1" customWidth="1"/>
    <col min="9482" max="9482" width="7.26953125" style="32" bestFit="1" customWidth="1"/>
    <col min="9483" max="9483" width="19.7265625" style="32" bestFit="1" customWidth="1"/>
    <col min="9484" max="9484" width="7.26953125" style="32" bestFit="1" customWidth="1"/>
    <col min="9485" max="9485" width="26.81640625" style="32" bestFit="1" customWidth="1"/>
    <col min="9486" max="9486" width="19.81640625" style="32" bestFit="1" customWidth="1"/>
    <col min="9487" max="9721" width="11.453125" style="32"/>
    <col min="9722" max="9722" width="2.26953125" style="32" customWidth="1"/>
    <col min="9723" max="9723" width="49" style="32" customWidth="1"/>
    <col min="9724" max="9724" width="16.81640625" style="32" customWidth="1"/>
    <col min="9725" max="9725" width="1.1796875" style="32" customWidth="1"/>
    <col min="9726" max="9726" width="20.7265625" style="32" customWidth="1"/>
    <col min="9727" max="9727" width="17.7265625" style="32" customWidth="1"/>
    <col min="9728" max="9728" width="18.1796875" style="32" customWidth="1"/>
    <col min="9729" max="9729" width="17.1796875" style="32" customWidth="1"/>
    <col min="9730" max="9730" width="22.26953125" style="32" bestFit="1" customWidth="1"/>
    <col min="9731" max="9731" width="22.1796875" style="32" customWidth="1"/>
    <col min="9732" max="9732" width="17.81640625" style="32" customWidth="1"/>
    <col min="9733" max="9733" width="22.453125" style="32" customWidth="1"/>
    <col min="9734" max="9734" width="10.1796875" style="32" bestFit="1" customWidth="1"/>
    <col min="9735" max="9735" width="13.453125" style="32" customWidth="1"/>
    <col min="9736" max="9736" width="7.26953125" style="32" bestFit="1" customWidth="1"/>
    <col min="9737" max="9737" width="15.453125" style="32" bestFit="1" customWidth="1"/>
    <col min="9738" max="9738" width="7.26953125" style="32" bestFit="1" customWidth="1"/>
    <col min="9739" max="9739" width="19.7265625" style="32" bestFit="1" customWidth="1"/>
    <col min="9740" max="9740" width="7.26953125" style="32" bestFit="1" customWidth="1"/>
    <col min="9741" max="9741" width="26.81640625" style="32" bestFit="1" customWidth="1"/>
    <col min="9742" max="9742" width="19.81640625" style="32" bestFit="1" customWidth="1"/>
    <col min="9743" max="9977" width="11.453125" style="32"/>
    <col min="9978" max="9978" width="2.26953125" style="32" customWidth="1"/>
    <col min="9979" max="9979" width="49" style="32" customWidth="1"/>
    <col min="9980" max="9980" width="16.81640625" style="32" customWidth="1"/>
    <col min="9981" max="9981" width="1.1796875" style="32" customWidth="1"/>
    <col min="9982" max="9982" width="20.7265625" style="32" customWidth="1"/>
    <col min="9983" max="9983" width="17.7265625" style="32" customWidth="1"/>
    <col min="9984" max="9984" width="18.1796875" style="32" customWidth="1"/>
    <col min="9985" max="9985" width="17.1796875" style="32" customWidth="1"/>
    <col min="9986" max="9986" width="22.26953125" style="32" bestFit="1" customWidth="1"/>
    <col min="9987" max="9987" width="22.1796875" style="32" customWidth="1"/>
    <col min="9988" max="9988" width="17.81640625" style="32" customWidth="1"/>
    <col min="9989" max="9989" width="22.453125" style="32" customWidth="1"/>
    <col min="9990" max="9990" width="10.1796875" style="32" bestFit="1" customWidth="1"/>
    <col min="9991" max="9991" width="13.453125" style="32" customWidth="1"/>
    <col min="9992" max="9992" width="7.26953125" style="32" bestFit="1" customWidth="1"/>
    <col min="9993" max="9993" width="15.453125" style="32" bestFit="1" customWidth="1"/>
    <col min="9994" max="9994" width="7.26953125" style="32" bestFit="1" customWidth="1"/>
    <col min="9995" max="9995" width="19.7265625" style="32" bestFit="1" customWidth="1"/>
    <col min="9996" max="9996" width="7.26953125" style="32" bestFit="1" customWidth="1"/>
    <col min="9997" max="9997" width="26.81640625" style="32" bestFit="1" customWidth="1"/>
    <col min="9998" max="9998" width="19.81640625" style="32" bestFit="1" customWidth="1"/>
    <col min="9999" max="10233" width="11.453125" style="32"/>
    <col min="10234" max="10234" width="2.26953125" style="32" customWidth="1"/>
    <col min="10235" max="10235" width="49" style="32" customWidth="1"/>
    <col min="10236" max="10236" width="16.81640625" style="32" customWidth="1"/>
    <col min="10237" max="10237" width="1.1796875" style="32" customWidth="1"/>
    <col min="10238" max="10238" width="20.7265625" style="32" customWidth="1"/>
    <col min="10239" max="10239" width="17.7265625" style="32" customWidth="1"/>
    <col min="10240" max="10240" width="18.1796875" style="32" customWidth="1"/>
    <col min="10241" max="10241" width="17.1796875" style="32" customWidth="1"/>
    <col min="10242" max="10242" width="22.26953125" style="32" bestFit="1" customWidth="1"/>
    <col min="10243" max="10243" width="22.1796875" style="32" customWidth="1"/>
    <col min="10244" max="10244" width="17.81640625" style="32" customWidth="1"/>
    <col min="10245" max="10245" width="22.453125" style="32" customWidth="1"/>
    <col min="10246" max="10246" width="10.1796875" style="32" bestFit="1" customWidth="1"/>
    <col min="10247" max="10247" width="13.453125" style="32" customWidth="1"/>
    <col min="10248" max="10248" width="7.26953125" style="32" bestFit="1" customWidth="1"/>
    <col min="10249" max="10249" width="15.453125" style="32" bestFit="1" customWidth="1"/>
    <col min="10250" max="10250" width="7.26953125" style="32" bestFit="1" customWidth="1"/>
    <col min="10251" max="10251" width="19.7265625" style="32" bestFit="1" customWidth="1"/>
    <col min="10252" max="10252" width="7.26953125" style="32" bestFit="1" customWidth="1"/>
    <col min="10253" max="10253" width="26.81640625" style="32" bestFit="1" customWidth="1"/>
    <col min="10254" max="10254" width="19.81640625" style="32" bestFit="1" customWidth="1"/>
    <col min="10255" max="10489" width="11.453125" style="32"/>
    <col min="10490" max="10490" width="2.26953125" style="32" customWidth="1"/>
    <col min="10491" max="10491" width="49" style="32" customWidth="1"/>
    <col min="10492" max="10492" width="16.81640625" style="32" customWidth="1"/>
    <col min="10493" max="10493" width="1.1796875" style="32" customWidth="1"/>
    <col min="10494" max="10494" width="20.7265625" style="32" customWidth="1"/>
    <col min="10495" max="10495" width="17.7265625" style="32" customWidth="1"/>
    <col min="10496" max="10496" width="18.1796875" style="32" customWidth="1"/>
    <col min="10497" max="10497" width="17.1796875" style="32" customWidth="1"/>
    <col min="10498" max="10498" width="22.26953125" style="32" bestFit="1" customWidth="1"/>
    <col min="10499" max="10499" width="22.1796875" style="32" customWidth="1"/>
    <col min="10500" max="10500" width="17.81640625" style="32" customWidth="1"/>
    <col min="10501" max="10501" width="22.453125" style="32" customWidth="1"/>
    <col min="10502" max="10502" width="10.1796875" style="32" bestFit="1" customWidth="1"/>
    <col min="10503" max="10503" width="13.453125" style="32" customWidth="1"/>
    <col min="10504" max="10504" width="7.26953125" style="32" bestFit="1" customWidth="1"/>
    <col min="10505" max="10505" width="15.453125" style="32" bestFit="1" customWidth="1"/>
    <col min="10506" max="10506" width="7.26953125" style="32" bestFit="1" customWidth="1"/>
    <col min="10507" max="10507" width="19.7265625" style="32" bestFit="1" customWidth="1"/>
    <col min="10508" max="10508" width="7.26953125" style="32" bestFit="1" customWidth="1"/>
    <col min="10509" max="10509" width="26.81640625" style="32" bestFit="1" customWidth="1"/>
    <col min="10510" max="10510" width="19.81640625" style="32" bestFit="1" customWidth="1"/>
    <col min="10511" max="10745" width="11.453125" style="32"/>
    <col min="10746" max="10746" width="2.26953125" style="32" customWidth="1"/>
    <col min="10747" max="10747" width="49" style="32" customWidth="1"/>
    <col min="10748" max="10748" width="16.81640625" style="32" customWidth="1"/>
    <col min="10749" max="10749" width="1.1796875" style="32" customWidth="1"/>
    <col min="10750" max="10750" width="20.7265625" style="32" customWidth="1"/>
    <col min="10751" max="10751" width="17.7265625" style="32" customWidth="1"/>
    <col min="10752" max="10752" width="18.1796875" style="32" customWidth="1"/>
    <col min="10753" max="10753" width="17.1796875" style="32" customWidth="1"/>
    <col min="10754" max="10754" width="22.26953125" style="32" bestFit="1" customWidth="1"/>
    <col min="10755" max="10755" width="22.1796875" style="32" customWidth="1"/>
    <col min="10756" max="10756" width="17.81640625" style="32" customWidth="1"/>
    <col min="10757" max="10757" width="22.453125" style="32" customWidth="1"/>
    <col min="10758" max="10758" width="10.1796875" style="32" bestFit="1" customWidth="1"/>
    <col min="10759" max="10759" width="13.453125" style="32" customWidth="1"/>
    <col min="10760" max="10760" width="7.26953125" style="32" bestFit="1" customWidth="1"/>
    <col min="10761" max="10761" width="15.453125" style="32" bestFit="1" customWidth="1"/>
    <col min="10762" max="10762" width="7.26953125" style="32" bestFit="1" customWidth="1"/>
    <col min="10763" max="10763" width="19.7265625" style="32" bestFit="1" customWidth="1"/>
    <col min="10764" max="10764" width="7.26953125" style="32" bestFit="1" customWidth="1"/>
    <col min="10765" max="10765" width="26.81640625" style="32" bestFit="1" customWidth="1"/>
    <col min="10766" max="10766" width="19.81640625" style="32" bestFit="1" customWidth="1"/>
    <col min="10767" max="11001" width="11.453125" style="32"/>
    <col min="11002" max="11002" width="2.26953125" style="32" customWidth="1"/>
    <col min="11003" max="11003" width="49" style="32" customWidth="1"/>
    <col min="11004" max="11004" width="16.81640625" style="32" customWidth="1"/>
    <col min="11005" max="11005" width="1.1796875" style="32" customWidth="1"/>
    <col min="11006" max="11006" width="20.7265625" style="32" customWidth="1"/>
    <col min="11007" max="11007" width="17.7265625" style="32" customWidth="1"/>
    <col min="11008" max="11008" width="18.1796875" style="32" customWidth="1"/>
    <col min="11009" max="11009" width="17.1796875" style="32" customWidth="1"/>
    <col min="11010" max="11010" width="22.26953125" style="32" bestFit="1" customWidth="1"/>
    <col min="11011" max="11011" width="22.1796875" style="32" customWidth="1"/>
    <col min="11012" max="11012" width="17.81640625" style="32" customWidth="1"/>
    <col min="11013" max="11013" width="22.453125" style="32" customWidth="1"/>
    <col min="11014" max="11014" width="10.1796875" style="32" bestFit="1" customWidth="1"/>
    <col min="11015" max="11015" width="13.453125" style="32" customWidth="1"/>
    <col min="11016" max="11016" width="7.26953125" style="32" bestFit="1" customWidth="1"/>
    <col min="11017" max="11017" width="15.453125" style="32" bestFit="1" customWidth="1"/>
    <col min="11018" max="11018" width="7.26953125" style="32" bestFit="1" customWidth="1"/>
    <col min="11019" max="11019" width="19.7265625" style="32" bestFit="1" customWidth="1"/>
    <col min="11020" max="11020" width="7.26953125" style="32" bestFit="1" customWidth="1"/>
    <col min="11021" max="11021" width="26.81640625" style="32" bestFit="1" customWidth="1"/>
    <col min="11022" max="11022" width="19.81640625" style="32" bestFit="1" customWidth="1"/>
    <col min="11023" max="11257" width="11.453125" style="32"/>
    <col min="11258" max="11258" width="2.26953125" style="32" customWidth="1"/>
    <col min="11259" max="11259" width="49" style="32" customWidth="1"/>
    <col min="11260" max="11260" width="16.81640625" style="32" customWidth="1"/>
    <col min="11261" max="11261" width="1.1796875" style="32" customWidth="1"/>
    <col min="11262" max="11262" width="20.7265625" style="32" customWidth="1"/>
    <col min="11263" max="11263" width="17.7265625" style="32" customWidth="1"/>
    <col min="11264" max="11264" width="18.1796875" style="32" customWidth="1"/>
    <col min="11265" max="11265" width="17.1796875" style="32" customWidth="1"/>
    <col min="11266" max="11266" width="22.26953125" style="32" bestFit="1" customWidth="1"/>
    <col min="11267" max="11267" width="22.1796875" style="32" customWidth="1"/>
    <col min="11268" max="11268" width="17.81640625" style="32" customWidth="1"/>
    <col min="11269" max="11269" width="22.453125" style="32" customWidth="1"/>
    <col min="11270" max="11270" width="10.1796875" style="32" bestFit="1" customWidth="1"/>
    <col min="11271" max="11271" width="13.453125" style="32" customWidth="1"/>
    <col min="11272" max="11272" width="7.26953125" style="32" bestFit="1" customWidth="1"/>
    <col min="11273" max="11273" width="15.453125" style="32" bestFit="1" customWidth="1"/>
    <col min="11274" max="11274" width="7.26953125" style="32" bestFit="1" customWidth="1"/>
    <col min="11275" max="11275" width="19.7265625" style="32" bestFit="1" customWidth="1"/>
    <col min="11276" max="11276" width="7.26953125" style="32" bestFit="1" customWidth="1"/>
    <col min="11277" max="11277" width="26.81640625" style="32" bestFit="1" customWidth="1"/>
    <col min="11278" max="11278" width="19.81640625" style="32" bestFit="1" customWidth="1"/>
    <col min="11279" max="11513" width="11.453125" style="32"/>
    <col min="11514" max="11514" width="2.26953125" style="32" customWidth="1"/>
    <col min="11515" max="11515" width="49" style="32" customWidth="1"/>
    <col min="11516" max="11516" width="16.81640625" style="32" customWidth="1"/>
    <col min="11517" max="11517" width="1.1796875" style="32" customWidth="1"/>
    <col min="11518" max="11518" width="20.7265625" style="32" customWidth="1"/>
    <col min="11519" max="11519" width="17.7265625" style="32" customWidth="1"/>
    <col min="11520" max="11520" width="18.1796875" style="32" customWidth="1"/>
    <col min="11521" max="11521" width="17.1796875" style="32" customWidth="1"/>
    <col min="11522" max="11522" width="22.26953125" style="32" bestFit="1" customWidth="1"/>
    <col min="11523" max="11523" width="22.1796875" style="32" customWidth="1"/>
    <col min="11524" max="11524" width="17.81640625" style="32" customWidth="1"/>
    <col min="11525" max="11525" width="22.453125" style="32" customWidth="1"/>
    <col min="11526" max="11526" width="10.1796875" style="32" bestFit="1" customWidth="1"/>
    <col min="11527" max="11527" width="13.453125" style="32" customWidth="1"/>
    <col min="11528" max="11528" width="7.26953125" style="32" bestFit="1" customWidth="1"/>
    <col min="11529" max="11529" width="15.453125" style="32" bestFit="1" customWidth="1"/>
    <col min="11530" max="11530" width="7.26953125" style="32" bestFit="1" customWidth="1"/>
    <col min="11531" max="11531" width="19.7265625" style="32" bestFit="1" customWidth="1"/>
    <col min="11532" max="11532" width="7.26953125" style="32" bestFit="1" customWidth="1"/>
    <col min="11533" max="11533" width="26.81640625" style="32" bestFit="1" customWidth="1"/>
    <col min="11534" max="11534" width="19.81640625" style="32" bestFit="1" customWidth="1"/>
    <col min="11535" max="11769" width="11.453125" style="32"/>
    <col min="11770" max="11770" width="2.26953125" style="32" customWidth="1"/>
    <col min="11771" max="11771" width="49" style="32" customWidth="1"/>
    <col min="11772" max="11772" width="16.81640625" style="32" customWidth="1"/>
    <col min="11773" max="11773" width="1.1796875" style="32" customWidth="1"/>
    <col min="11774" max="11774" width="20.7265625" style="32" customWidth="1"/>
    <col min="11775" max="11775" width="17.7265625" style="32" customWidth="1"/>
    <col min="11776" max="11776" width="18.1796875" style="32" customWidth="1"/>
    <col min="11777" max="11777" width="17.1796875" style="32" customWidth="1"/>
    <col min="11778" max="11778" width="22.26953125" style="32" bestFit="1" customWidth="1"/>
    <col min="11779" max="11779" width="22.1796875" style="32" customWidth="1"/>
    <col min="11780" max="11780" width="17.81640625" style="32" customWidth="1"/>
    <col min="11781" max="11781" width="22.453125" style="32" customWidth="1"/>
    <col min="11782" max="11782" width="10.1796875" style="32" bestFit="1" customWidth="1"/>
    <col min="11783" max="11783" width="13.453125" style="32" customWidth="1"/>
    <col min="11784" max="11784" width="7.26953125" style="32" bestFit="1" customWidth="1"/>
    <col min="11785" max="11785" width="15.453125" style="32" bestFit="1" customWidth="1"/>
    <col min="11786" max="11786" width="7.26953125" style="32" bestFit="1" customWidth="1"/>
    <col min="11787" max="11787" width="19.7265625" style="32" bestFit="1" customWidth="1"/>
    <col min="11788" max="11788" width="7.26953125" style="32" bestFit="1" customWidth="1"/>
    <col min="11789" max="11789" width="26.81640625" style="32" bestFit="1" customWidth="1"/>
    <col min="11790" max="11790" width="19.81640625" style="32" bestFit="1" customWidth="1"/>
    <col min="11791" max="12025" width="11.453125" style="32"/>
    <col min="12026" max="12026" width="2.26953125" style="32" customWidth="1"/>
    <col min="12027" max="12027" width="49" style="32" customWidth="1"/>
    <col min="12028" max="12028" width="16.81640625" style="32" customWidth="1"/>
    <col min="12029" max="12029" width="1.1796875" style="32" customWidth="1"/>
    <col min="12030" max="12030" width="20.7265625" style="32" customWidth="1"/>
    <col min="12031" max="12031" width="17.7265625" style="32" customWidth="1"/>
    <col min="12032" max="12032" width="18.1796875" style="32" customWidth="1"/>
    <col min="12033" max="12033" width="17.1796875" style="32" customWidth="1"/>
    <col min="12034" max="12034" width="22.26953125" style="32" bestFit="1" customWidth="1"/>
    <col min="12035" max="12035" width="22.1796875" style="32" customWidth="1"/>
    <col min="12036" max="12036" width="17.81640625" style="32" customWidth="1"/>
    <col min="12037" max="12037" width="22.453125" style="32" customWidth="1"/>
    <col min="12038" max="12038" width="10.1796875" style="32" bestFit="1" customWidth="1"/>
    <col min="12039" max="12039" width="13.453125" style="32" customWidth="1"/>
    <col min="12040" max="12040" width="7.26953125" style="32" bestFit="1" customWidth="1"/>
    <col min="12041" max="12041" width="15.453125" style="32" bestFit="1" customWidth="1"/>
    <col min="12042" max="12042" width="7.26953125" style="32" bestFit="1" customWidth="1"/>
    <col min="12043" max="12043" width="19.7265625" style="32" bestFit="1" customWidth="1"/>
    <col min="12044" max="12044" width="7.26953125" style="32" bestFit="1" customWidth="1"/>
    <col min="12045" max="12045" width="26.81640625" style="32" bestFit="1" customWidth="1"/>
    <col min="12046" max="12046" width="19.81640625" style="32" bestFit="1" customWidth="1"/>
    <col min="12047" max="12281" width="11.453125" style="32"/>
    <col min="12282" max="12282" width="2.26953125" style="32" customWidth="1"/>
    <col min="12283" max="12283" width="49" style="32" customWidth="1"/>
    <col min="12284" max="12284" width="16.81640625" style="32" customWidth="1"/>
    <col min="12285" max="12285" width="1.1796875" style="32" customWidth="1"/>
    <col min="12286" max="12286" width="20.7265625" style="32" customWidth="1"/>
    <col min="12287" max="12287" width="17.7265625" style="32" customWidth="1"/>
    <col min="12288" max="12288" width="18.1796875" style="32" customWidth="1"/>
    <col min="12289" max="12289" width="17.1796875" style="32" customWidth="1"/>
    <col min="12290" max="12290" width="22.26953125" style="32" bestFit="1" customWidth="1"/>
    <col min="12291" max="12291" width="22.1796875" style="32" customWidth="1"/>
    <col min="12292" max="12292" width="17.81640625" style="32" customWidth="1"/>
    <col min="12293" max="12293" width="22.453125" style="32" customWidth="1"/>
    <col min="12294" max="12294" width="10.1796875" style="32" bestFit="1" customWidth="1"/>
    <col min="12295" max="12295" width="13.453125" style="32" customWidth="1"/>
    <col min="12296" max="12296" width="7.26953125" style="32" bestFit="1" customWidth="1"/>
    <col min="12297" max="12297" width="15.453125" style="32" bestFit="1" customWidth="1"/>
    <col min="12298" max="12298" width="7.26953125" style="32" bestFit="1" customWidth="1"/>
    <col min="12299" max="12299" width="19.7265625" style="32" bestFit="1" customWidth="1"/>
    <col min="12300" max="12300" width="7.26953125" style="32" bestFit="1" customWidth="1"/>
    <col min="12301" max="12301" width="26.81640625" style="32" bestFit="1" customWidth="1"/>
    <col min="12302" max="12302" width="19.81640625" style="32" bestFit="1" customWidth="1"/>
    <col min="12303" max="12537" width="11.453125" style="32"/>
    <col min="12538" max="12538" width="2.26953125" style="32" customWidth="1"/>
    <col min="12539" max="12539" width="49" style="32" customWidth="1"/>
    <col min="12540" max="12540" width="16.81640625" style="32" customWidth="1"/>
    <col min="12541" max="12541" width="1.1796875" style="32" customWidth="1"/>
    <col min="12542" max="12542" width="20.7265625" style="32" customWidth="1"/>
    <col min="12543" max="12543" width="17.7265625" style="32" customWidth="1"/>
    <col min="12544" max="12544" width="18.1796875" style="32" customWidth="1"/>
    <col min="12545" max="12545" width="17.1796875" style="32" customWidth="1"/>
    <col min="12546" max="12546" width="22.26953125" style="32" bestFit="1" customWidth="1"/>
    <col min="12547" max="12547" width="22.1796875" style="32" customWidth="1"/>
    <col min="12548" max="12548" width="17.81640625" style="32" customWidth="1"/>
    <col min="12549" max="12549" width="22.453125" style="32" customWidth="1"/>
    <col min="12550" max="12550" width="10.1796875" style="32" bestFit="1" customWidth="1"/>
    <col min="12551" max="12551" width="13.453125" style="32" customWidth="1"/>
    <col min="12552" max="12552" width="7.26953125" style="32" bestFit="1" customWidth="1"/>
    <col min="12553" max="12553" width="15.453125" style="32" bestFit="1" customWidth="1"/>
    <col min="12554" max="12554" width="7.26953125" style="32" bestFit="1" customWidth="1"/>
    <col min="12555" max="12555" width="19.7265625" style="32" bestFit="1" customWidth="1"/>
    <col min="12556" max="12556" width="7.26953125" style="32" bestFit="1" customWidth="1"/>
    <col min="12557" max="12557" width="26.81640625" style="32" bestFit="1" customWidth="1"/>
    <col min="12558" max="12558" width="19.81640625" style="32" bestFit="1" customWidth="1"/>
    <col min="12559" max="12793" width="11.453125" style="32"/>
    <col min="12794" max="12794" width="2.26953125" style="32" customWidth="1"/>
    <col min="12795" max="12795" width="49" style="32" customWidth="1"/>
    <col min="12796" max="12796" width="16.81640625" style="32" customWidth="1"/>
    <col min="12797" max="12797" width="1.1796875" style="32" customWidth="1"/>
    <col min="12798" max="12798" width="20.7265625" style="32" customWidth="1"/>
    <col min="12799" max="12799" width="17.7265625" style="32" customWidth="1"/>
    <col min="12800" max="12800" width="18.1796875" style="32" customWidth="1"/>
    <col min="12801" max="12801" width="17.1796875" style="32" customWidth="1"/>
    <col min="12802" max="12802" width="22.26953125" style="32" bestFit="1" customWidth="1"/>
    <col min="12803" max="12803" width="22.1796875" style="32" customWidth="1"/>
    <col min="12804" max="12804" width="17.81640625" style="32" customWidth="1"/>
    <col min="12805" max="12805" width="22.453125" style="32" customWidth="1"/>
    <col min="12806" max="12806" width="10.1796875" style="32" bestFit="1" customWidth="1"/>
    <col min="12807" max="12807" width="13.453125" style="32" customWidth="1"/>
    <col min="12808" max="12808" width="7.26953125" style="32" bestFit="1" customWidth="1"/>
    <col min="12809" max="12809" width="15.453125" style="32" bestFit="1" customWidth="1"/>
    <col min="12810" max="12810" width="7.26953125" style="32" bestFit="1" customWidth="1"/>
    <col min="12811" max="12811" width="19.7265625" style="32" bestFit="1" customWidth="1"/>
    <col min="12812" max="12812" width="7.26953125" style="32" bestFit="1" customWidth="1"/>
    <col min="12813" max="12813" width="26.81640625" style="32" bestFit="1" customWidth="1"/>
    <col min="12814" max="12814" width="19.81640625" style="32" bestFit="1" customWidth="1"/>
    <col min="12815" max="13049" width="11.453125" style="32"/>
    <col min="13050" max="13050" width="2.26953125" style="32" customWidth="1"/>
    <col min="13051" max="13051" width="49" style="32" customWidth="1"/>
    <col min="13052" max="13052" width="16.81640625" style="32" customWidth="1"/>
    <col min="13053" max="13053" width="1.1796875" style="32" customWidth="1"/>
    <col min="13054" max="13054" width="20.7265625" style="32" customWidth="1"/>
    <col min="13055" max="13055" width="17.7265625" style="32" customWidth="1"/>
    <col min="13056" max="13056" width="18.1796875" style="32" customWidth="1"/>
    <col min="13057" max="13057" width="17.1796875" style="32" customWidth="1"/>
    <col min="13058" max="13058" width="22.26953125" style="32" bestFit="1" customWidth="1"/>
    <col min="13059" max="13059" width="22.1796875" style="32" customWidth="1"/>
    <col min="13060" max="13060" width="17.81640625" style="32" customWidth="1"/>
    <col min="13061" max="13061" width="22.453125" style="32" customWidth="1"/>
    <col min="13062" max="13062" width="10.1796875" style="32" bestFit="1" customWidth="1"/>
    <col min="13063" max="13063" width="13.453125" style="32" customWidth="1"/>
    <col min="13064" max="13064" width="7.26953125" style="32" bestFit="1" customWidth="1"/>
    <col min="13065" max="13065" width="15.453125" style="32" bestFit="1" customWidth="1"/>
    <col min="13066" max="13066" width="7.26953125" style="32" bestFit="1" customWidth="1"/>
    <col min="13067" max="13067" width="19.7265625" style="32" bestFit="1" customWidth="1"/>
    <col min="13068" max="13068" width="7.26953125" style="32" bestFit="1" customWidth="1"/>
    <col min="13069" max="13069" width="26.81640625" style="32" bestFit="1" customWidth="1"/>
    <col min="13070" max="13070" width="19.81640625" style="32" bestFit="1" customWidth="1"/>
    <col min="13071" max="13305" width="11.453125" style="32"/>
    <col min="13306" max="13306" width="2.26953125" style="32" customWidth="1"/>
    <col min="13307" max="13307" width="49" style="32" customWidth="1"/>
    <col min="13308" max="13308" width="16.81640625" style="32" customWidth="1"/>
    <col min="13309" max="13309" width="1.1796875" style="32" customWidth="1"/>
    <col min="13310" max="13310" width="20.7265625" style="32" customWidth="1"/>
    <col min="13311" max="13311" width="17.7265625" style="32" customWidth="1"/>
    <col min="13312" max="13312" width="18.1796875" style="32" customWidth="1"/>
    <col min="13313" max="13313" width="17.1796875" style="32" customWidth="1"/>
    <col min="13314" max="13314" width="22.26953125" style="32" bestFit="1" customWidth="1"/>
    <col min="13315" max="13315" width="22.1796875" style="32" customWidth="1"/>
    <col min="13316" max="13316" width="17.81640625" style="32" customWidth="1"/>
    <col min="13317" max="13317" width="22.453125" style="32" customWidth="1"/>
    <col min="13318" max="13318" width="10.1796875" style="32" bestFit="1" customWidth="1"/>
    <col min="13319" max="13319" width="13.453125" style="32" customWidth="1"/>
    <col min="13320" max="13320" width="7.26953125" style="32" bestFit="1" customWidth="1"/>
    <col min="13321" max="13321" width="15.453125" style="32" bestFit="1" customWidth="1"/>
    <col min="13322" max="13322" width="7.26953125" style="32" bestFit="1" customWidth="1"/>
    <col min="13323" max="13323" width="19.7265625" style="32" bestFit="1" customWidth="1"/>
    <col min="13324" max="13324" width="7.26953125" style="32" bestFit="1" customWidth="1"/>
    <col min="13325" max="13325" width="26.81640625" style="32" bestFit="1" customWidth="1"/>
    <col min="13326" max="13326" width="19.81640625" style="32" bestFit="1" customWidth="1"/>
    <col min="13327" max="13561" width="11.453125" style="32"/>
    <col min="13562" max="13562" width="2.26953125" style="32" customWidth="1"/>
    <col min="13563" max="13563" width="49" style="32" customWidth="1"/>
    <col min="13564" max="13564" width="16.81640625" style="32" customWidth="1"/>
    <col min="13565" max="13565" width="1.1796875" style="32" customWidth="1"/>
    <col min="13566" max="13566" width="20.7265625" style="32" customWidth="1"/>
    <col min="13567" max="13567" width="17.7265625" style="32" customWidth="1"/>
    <col min="13568" max="13568" width="18.1796875" style="32" customWidth="1"/>
    <col min="13569" max="13569" width="17.1796875" style="32" customWidth="1"/>
    <col min="13570" max="13570" width="22.26953125" style="32" bestFit="1" customWidth="1"/>
    <col min="13571" max="13571" width="22.1796875" style="32" customWidth="1"/>
    <col min="13572" max="13572" width="17.81640625" style="32" customWidth="1"/>
    <col min="13573" max="13573" width="22.453125" style="32" customWidth="1"/>
    <col min="13574" max="13574" width="10.1796875" style="32" bestFit="1" customWidth="1"/>
    <col min="13575" max="13575" width="13.453125" style="32" customWidth="1"/>
    <col min="13576" max="13576" width="7.26953125" style="32" bestFit="1" customWidth="1"/>
    <col min="13577" max="13577" width="15.453125" style="32" bestFit="1" customWidth="1"/>
    <col min="13578" max="13578" width="7.26953125" style="32" bestFit="1" customWidth="1"/>
    <col min="13579" max="13579" width="19.7265625" style="32" bestFit="1" customWidth="1"/>
    <col min="13580" max="13580" width="7.26953125" style="32" bestFit="1" customWidth="1"/>
    <col min="13581" max="13581" width="26.81640625" style="32" bestFit="1" customWidth="1"/>
    <col min="13582" max="13582" width="19.81640625" style="32" bestFit="1" customWidth="1"/>
    <col min="13583" max="13817" width="11.453125" style="32"/>
    <col min="13818" max="13818" width="2.26953125" style="32" customWidth="1"/>
    <col min="13819" max="13819" width="49" style="32" customWidth="1"/>
    <col min="13820" max="13820" width="16.81640625" style="32" customWidth="1"/>
    <col min="13821" max="13821" width="1.1796875" style="32" customWidth="1"/>
    <col min="13822" max="13822" width="20.7265625" style="32" customWidth="1"/>
    <col min="13823" max="13823" width="17.7265625" style="32" customWidth="1"/>
    <col min="13824" max="13824" width="18.1796875" style="32" customWidth="1"/>
    <col min="13825" max="13825" width="17.1796875" style="32" customWidth="1"/>
    <col min="13826" max="13826" width="22.26953125" style="32" bestFit="1" customWidth="1"/>
    <col min="13827" max="13827" width="22.1796875" style="32" customWidth="1"/>
    <col min="13828" max="13828" width="17.81640625" style="32" customWidth="1"/>
    <col min="13829" max="13829" width="22.453125" style="32" customWidth="1"/>
    <col min="13830" max="13830" width="10.1796875" style="32" bestFit="1" customWidth="1"/>
    <col min="13831" max="13831" width="13.453125" style="32" customWidth="1"/>
    <col min="13832" max="13832" width="7.26953125" style="32" bestFit="1" customWidth="1"/>
    <col min="13833" max="13833" width="15.453125" style="32" bestFit="1" customWidth="1"/>
    <col min="13834" max="13834" width="7.26953125" style="32" bestFit="1" customWidth="1"/>
    <col min="13835" max="13835" width="19.7265625" style="32" bestFit="1" customWidth="1"/>
    <col min="13836" max="13836" width="7.26953125" style="32" bestFit="1" customWidth="1"/>
    <col min="13837" max="13837" width="26.81640625" style="32" bestFit="1" customWidth="1"/>
    <col min="13838" max="13838" width="19.81640625" style="32" bestFit="1" customWidth="1"/>
    <col min="13839" max="14073" width="11.453125" style="32"/>
    <col min="14074" max="14074" width="2.26953125" style="32" customWidth="1"/>
    <col min="14075" max="14075" width="49" style="32" customWidth="1"/>
    <col min="14076" max="14076" width="16.81640625" style="32" customWidth="1"/>
    <col min="14077" max="14077" width="1.1796875" style="32" customWidth="1"/>
    <col min="14078" max="14078" width="20.7265625" style="32" customWidth="1"/>
    <col min="14079" max="14079" width="17.7265625" style="32" customWidth="1"/>
    <col min="14080" max="14080" width="18.1796875" style="32" customWidth="1"/>
    <col min="14081" max="14081" width="17.1796875" style="32" customWidth="1"/>
    <col min="14082" max="14082" width="22.26953125" style="32" bestFit="1" customWidth="1"/>
    <col min="14083" max="14083" width="22.1796875" style="32" customWidth="1"/>
    <col min="14084" max="14084" width="17.81640625" style="32" customWidth="1"/>
    <col min="14085" max="14085" width="22.453125" style="32" customWidth="1"/>
    <col min="14086" max="14086" width="10.1796875" style="32" bestFit="1" customWidth="1"/>
    <col min="14087" max="14087" width="13.453125" style="32" customWidth="1"/>
    <col min="14088" max="14088" width="7.26953125" style="32" bestFit="1" customWidth="1"/>
    <col min="14089" max="14089" width="15.453125" style="32" bestFit="1" customWidth="1"/>
    <col min="14090" max="14090" width="7.26953125" style="32" bestFit="1" customWidth="1"/>
    <col min="14091" max="14091" width="19.7265625" style="32" bestFit="1" customWidth="1"/>
    <col min="14092" max="14092" width="7.26953125" style="32" bestFit="1" customWidth="1"/>
    <col min="14093" max="14093" width="26.81640625" style="32" bestFit="1" customWidth="1"/>
    <col min="14094" max="14094" width="19.81640625" style="32" bestFit="1" customWidth="1"/>
    <col min="14095" max="14329" width="11.453125" style="32"/>
    <col min="14330" max="14330" width="2.26953125" style="32" customWidth="1"/>
    <col min="14331" max="14331" width="49" style="32" customWidth="1"/>
    <col min="14332" max="14332" width="16.81640625" style="32" customWidth="1"/>
    <col min="14333" max="14333" width="1.1796875" style="32" customWidth="1"/>
    <col min="14334" max="14334" width="20.7265625" style="32" customWidth="1"/>
    <col min="14335" max="14335" width="17.7265625" style="32" customWidth="1"/>
    <col min="14336" max="14336" width="18.1796875" style="32" customWidth="1"/>
    <col min="14337" max="14337" width="17.1796875" style="32" customWidth="1"/>
    <col min="14338" max="14338" width="22.26953125" style="32" bestFit="1" customWidth="1"/>
    <col min="14339" max="14339" width="22.1796875" style="32" customWidth="1"/>
    <col min="14340" max="14340" width="17.81640625" style="32" customWidth="1"/>
    <col min="14341" max="14341" width="22.453125" style="32" customWidth="1"/>
    <col min="14342" max="14342" width="10.1796875" style="32" bestFit="1" customWidth="1"/>
    <col min="14343" max="14343" width="13.453125" style="32" customWidth="1"/>
    <col min="14344" max="14344" width="7.26953125" style="32" bestFit="1" customWidth="1"/>
    <col min="14345" max="14345" width="15.453125" style="32" bestFit="1" customWidth="1"/>
    <col min="14346" max="14346" width="7.26953125" style="32" bestFit="1" customWidth="1"/>
    <col min="14347" max="14347" width="19.7265625" style="32" bestFit="1" customWidth="1"/>
    <col min="14348" max="14348" width="7.26953125" style="32" bestFit="1" customWidth="1"/>
    <col min="14349" max="14349" width="26.81640625" style="32" bestFit="1" customWidth="1"/>
    <col min="14350" max="14350" width="19.81640625" style="32" bestFit="1" customWidth="1"/>
    <col min="14351" max="14585" width="11.453125" style="32"/>
    <col min="14586" max="14586" width="2.26953125" style="32" customWidth="1"/>
    <col min="14587" max="14587" width="49" style="32" customWidth="1"/>
    <col min="14588" max="14588" width="16.81640625" style="32" customWidth="1"/>
    <col min="14589" max="14589" width="1.1796875" style="32" customWidth="1"/>
    <col min="14590" max="14590" width="20.7265625" style="32" customWidth="1"/>
    <col min="14591" max="14591" width="17.7265625" style="32" customWidth="1"/>
    <col min="14592" max="14592" width="18.1796875" style="32" customWidth="1"/>
    <col min="14593" max="14593" width="17.1796875" style="32" customWidth="1"/>
    <col min="14594" max="14594" width="22.26953125" style="32" bestFit="1" customWidth="1"/>
    <col min="14595" max="14595" width="22.1796875" style="32" customWidth="1"/>
    <col min="14596" max="14596" width="17.81640625" style="32" customWidth="1"/>
    <col min="14597" max="14597" width="22.453125" style="32" customWidth="1"/>
    <col min="14598" max="14598" width="10.1796875" style="32" bestFit="1" customWidth="1"/>
    <col min="14599" max="14599" width="13.453125" style="32" customWidth="1"/>
    <col min="14600" max="14600" width="7.26953125" style="32" bestFit="1" customWidth="1"/>
    <col min="14601" max="14601" width="15.453125" style="32" bestFit="1" customWidth="1"/>
    <col min="14602" max="14602" width="7.26953125" style="32" bestFit="1" customWidth="1"/>
    <col min="14603" max="14603" width="19.7265625" style="32" bestFit="1" customWidth="1"/>
    <col min="14604" max="14604" width="7.26953125" style="32" bestFit="1" customWidth="1"/>
    <col min="14605" max="14605" width="26.81640625" style="32" bestFit="1" customWidth="1"/>
    <col min="14606" max="14606" width="19.81640625" style="32" bestFit="1" customWidth="1"/>
    <col min="14607" max="14841" width="11.453125" style="32"/>
    <col min="14842" max="14842" width="2.26953125" style="32" customWidth="1"/>
    <col min="14843" max="14843" width="49" style="32" customWidth="1"/>
    <col min="14844" max="14844" width="16.81640625" style="32" customWidth="1"/>
    <col min="14845" max="14845" width="1.1796875" style="32" customWidth="1"/>
    <col min="14846" max="14846" width="20.7265625" style="32" customWidth="1"/>
    <col min="14847" max="14847" width="17.7265625" style="32" customWidth="1"/>
    <col min="14848" max="14848" width="18.1796875" style="32" customWidth="1"/>
    <col min="14849" max="14849" width="17.1796875" style="32" customWidth="1"/>
    <col min="14850" max="14850" width="22.26953125" style="32" bestFit="1" customWidth="1"/>
    <col min="14851" max="14851" width="22.1796875" style="32" customWidth="1"/>
    <col min="14852" max="14852" width="17.81640625" style="32" customWidth="1"/>
    <col min="14853" max="14853" width="22.453125" style="32" customWidth="1"/>
    <col min="14854" max="14854" width="10.1796875" style="32" bestFit="1" customWidth="1"/>
    <col min="14855" max="14855" width="13.453125" style="32" customWidth="1"/>
    <col min="14856" max="14856" width="7.26953125" style="32" bestFit="1" customWidth="1"/>
    <col min="14857" max="14857" width="15.453125" style="32" bestFit="1" customWidth="1"/>
    <col min="14858" max="14858" width="7.26953125" style="32" bestFit="1" customWidth="1"/>
    <col min="14859" max="14859" width="19.7265625" style="32" bestFit="1" customWidth="1"/>
    <col min="14860" max="14860" width="7.26953125" style="32" bestFit="1" customWidth="1"/>
    <col min="14861" max="14861" width="26.81640625" style="32" bestFit="1" customWidth="1"/>
    <col min="14862" max="14862" width="19.81640625" style="32" bestFit="1" customWidth="1"/>
    <col min="14863" max="15097" width="11.453125" style="32"/>
    <col min="15098" max="15098" width="2.26953125" style="32" customWidth="1"/>
    <col min="15099" max="15099" width="49" style="32" customWidth="1"/>
    <col min="15100" max="15100" width="16.81640625" style="32" customWidth="1"/>
    <col min="15101" max="15101" width="1.1796875" style="32" customWidth="1"/>
    <col min="15102" max="15102" width="20.7265625" style="32" customWidth="1"/>
    <col min="15103" max="15103" width="17.7265625" style="32" customWidth="1"/>
    <col min="15104" max="15104" width="18.1796875" style="32" customWidth="1"/>
    <col min="15105" max="15105" width="17.1796875" style="32" customWidth="1"/>
    <col min="15106" max="15106" width="22.26953125" style="32" bestFit="1" customWidth="1"/>
    <col min="15107" max="15107" width="22.1796875" style="32" customWidth="1"/>
    <col min="15108" max="15108" width="17.81640625" style="32" customWidth="1"/>
    <col min="15109" max="15109" width="22.453125" style="32" customWidth="1"/>
    <col min="15110" max="15110" width="10.1796875" style="32" bestFit="1" customWidth="1"/>
    <col min="15111" max="15111" width="13.453125" style="32" customWidth="1"/>
    <col min="15112" max="15112" width="7.26953125" style="32" bestFit="1" customWidth="1"/>
    <col min="15113" max="15113" width="15.453125" style="32" bestFit="1" customWidth="1"/>
    <col min="15114" max="15114" width="7.26953125" style="32" bestFit="1" customWidth="1"/>
    <col min="15115" max="15115" width="19.7265625" style="32" bestFit="1" customWidth="1"/>
    <col min="15116" max="15116" width="7.26953125" style="32" bestFit="1" customWidth="1"/>
    <col min="15117" max="15117" width="26.81640625" style="32" bestFit="1" customWidth="1"/>
    <col min="15118" max="15118" width="19.81640625" style="32" bestFit="1" customWidth="1"/>
    <col min="15119" max="15353" width="11.453125" style="32"/>
    <col min="15354" max="15354" width="2.26953125" style="32" customWidth="1"/>
    <col min="15355" max="15355" width="49" style="32" customWidth="1"/>
    <col min="15356" max="15356" width="16.81640625" style="32" customWidth="1"/>
    <col min="15357" max="15357" width="1.1796875" style="32" customWidth="1"/>
    <col min="15358" max="15358" width="20.7265625" style="32" customWidth="1"/>
    <col min="15359" max="15359" width="17.7265625" style="32" customWidth="1"/>
    <col min="15360" max="15360" width="18.1796875" style="32" customWidth="1"/>
    <col min="15361" max="15361" width="17.1796875" style="32" customWidth="1"/>
    <col min="15362" max="15362" width="22.26953125" style="32" bestFit="1" customWidth="1"/>
    <col min="15363" max="15363" width="22.1796875" style="32" customWidth="1"/>
    <col min="15364" max="15364" width="17.81640625" style="32" customWidth="1"/>
    <col min="15365" max="15365" width="22.453125" style="32" customWidth="1"/>
    <col min="15366" max="15366" width="10.1796875" style="32" bestFit="1" customWidth="1"/>
    <col min="15367" max="15367" width="13.453125" style="32" customWidth="1"/>
    <col min="15368" max="15368" width="7.26953125" style="32" bestFit="1" customWidth="1"/>
    <col min="15369" max="15369" width="15.453125" style="32" bestFit="1" customWidth="1"/>
    <col min="15370" max="15370" width="7.26953125" style="32" bestFit="1" customWidth="1"/>
    <col min="15371" max="15371" width="19.7265625" style="32" bestFit="1" customWidth="1"/>
    <col min="15372" max="15372" width="7.26953125" style="32" bestFit="1" customWidth="1"/>
    <col min="15373" max="15373" width="26.81640625" style="32" bestFit="1" customWidth="1"/>
    <col min="15374" max="15374" width="19.81640625" style="32" bestFit="1" customWidth="1"/>
    <col min="15375" max="15609" width="11.453125" style="32"/>
    <col min="15610" max="15610" width="2.26953125" style="32" customWidth="1"/>
    <col min="15611" max="15611" width="49" style="32" customWidth="1"/>
    <col min="15612" max="15612" width="16.81640625" style="32" customWidth="1"/>
    <col min="15613" max="15613" width="1.1796875" style="32" customWidth="1"/>
    <col min="15614" max="15614" width="20.7265625" style="32" customWidth="1"/>
    <col min="15615" max="15615" width="17.7265625" style="32" customWidth="1"/>
    <col min="15616" max="15616" width="18.1796875" style="32" customWidth="1"/>
    <col min="15617" max="15617" width="17.1796875" style="32" customWidth="1"/>
    <col min="15618" max="15618" width="22.26953125" style="32" bestFit="1" customWidth="1"/>
    <col min="15619" max="15619" width="22.1796875" style="32" customWidth="1"/>
    <col min="15620" max="15620" width="17.81640625" style="32" customWidth="1"/>
    <col min="15621" max="15621" width="22.453125" style="32" customWidth="1"/>
    <col min="15622" max="15622" width="10.1796875" style="32" bestFit="1" customWidth="1"/>
    <col min="15623" max="15623" width="13.453125" style="32" customWidth="1"/>
    <col min="15624" max="15624" width="7.26953125" style="32" bestFit="1" customWidth="1"/>
    <col min="15625" max="15625" width="15.453125" style="32" bestFit="1" customWidth="1"/>
    <col min="15626" max="15626" width="7.26953125" style="32" bestFit="1" customWidth="1"/>
    <col min="15627" max="15627" width="19.7265625" style="32" bestFit="1" customWidth="1"/>
    <col min="15628" max="15628" width="7.26953125" style="32" bestFit="1" customWidth="1"/>
    <col min="15629" max="15629" width="26.81640625" style="32" bestFit="1" customWidth="1"/>
    <col min="15630" max="15630" width="19.81640625" style="32" bestFit="1" customWidth="1"/>
    <col min="15631" max="15865" width="11.453125" style="32"/>
    <col min="15866" max="15866" width="2.26953125" style="32" customWidth="1"/>
    <col min="15867" max="15867" width="49" style="32" customWidth="1"/>
    <col min="15868" max="15868" width="16.81640625" style="32" customWidth="1"/>
    <col min="15869" max="15869" width="1.1796875" style="32" customWidth="1"/>
    <col min="15870" max="15870" width="20.7265625" style="32" customWidth="1"/>
    <col min="15871" max="15871" width="17.7265625" style="32" customWidth="1"/>
    <col min="15872" max="15872" width="18.1796875" style="32" customWidth="1"/>
    <col min="15873" max="15873" width="17.1796875" style="32" customWidth="1"/>
    <col min="15874" max="15874" width="22.26953125" style="32" bestFit="1" customWidth="1"/>
    <col min="15875" max="15875" width="22.1796875" style="32" customWidth="1"/>
    <col min="15876" max="15876" width="17.81640625" style="32" customWidth="1"/>
    <col min="15877" max="15877" width="22.453125" style="32" customWidth="1"/>
    <col min="15878" max="15878" width="10.1796875" style="32" bestFit="1" customWidth="1"/>
    <col min="15879" max="15879" width="13.453125" style="32" customWidth="1"/>
    <col min="15880" max="15880" width="7.26953125" style="32" bestFit="1" customWidth="1"/>
    <col min="15881" max="15881" width="15.453125" style="32" bestFit="1" customWidth="1"/>
    <col min="15882" max="15882" width="7.26953125" style="32" bestFit="1" customWidth="1"/>
    <col min="15883" max="15883" width="19.7265625" style="32" bestFit="1" customWidth="1"/>
    <col min="15884" max="15884" width="7.26953125" style="32" bestFit="1" customWidth="1"/>
    <col min="15885" max="15885" width="26.81640625" style="32" bestFit="1" customWidth="1"/>
    <col min="15886" max="15886" width="19.81640625" style="32" bestFit="1" customWidth="1"/>
    <col min="15887" max="16121" width="11.453125" style="32"/>
    <col min="16122" max="16122" width="2.26953125" style="32" customWidth="1"/>
    <col min="16123" max="16123" width="49" style="32" customWidth="1"/>
    <col min="16124" max="16124" width="16.81640625" style="32" customWidth="1"/>
    <col min="16125" max="16125" width="1.1796875" style="32" customWidth="1"/>
    <col min="16126" max="16126" width="20.7265625" style="32" customWidth="1"/>
    <col min="16127" max="16127" width="17.7265625" style="32" customWidth="1"/>
    <col min="16128" max="16128" width="18.1796875" style="32" customWidth="1"/>
    <col min="16129" max="16129" width="17.1796875" style="32" customWidth="1"/>
    <col min="16130" max="16130" width="22.26953125" style="32" bestFit="1" customWidth="1"/>
    <col min="16131" max="16131" width="22.1796875" style="32" customWidth="1"/>
    <col min="16132" max="16132" width="17.81640625" style="32" customWidth="1"/>
    <col min="16133" max="16133" width="22.453125" style="32" customWidth="1"/>
    <col min="16134" max="16134" width="10.1796875" style="32" bestFit="1" customWidth="1"/>
    <col min="16135" max="16135" width="13.453125" style="32" customWidth="1"/>
    <col min="16136" max="16136" width="7.26953125" style="32" bestFit="1" customWidth="1"/>
    <col min="16137" max="16137" width="15.453125" style="32" bestFit="1" customWidth="1"/>
    <col min="16138" max="16138" width="7.26953125" style="32" bestFit="1" customWidth="1"/>
    <col min="16139" max="16139" width="19.7265625" style="32" bestFit="1" customWidth="1"/>
    <col min="16140" max="16140" width="7.26953125" style="32" bestFit="1" customWidth="1"/>
    <col min="16141" max="16141" width="26.81640625" style="32" bestFit="1" customWidth="1"/>
    <col min="16142" max="16142" width="19.81640625" style="32" bestFit="1" customWidth="1"/>
    <col min="16143" max="16384" width="11.453125" style="32"/>
  </cols>
  <sheetData>
    <row r="3" spans="3:14" s="33" customFormat="1" ht="13.5" customHeight="1" x14ac:dyDescent="0.25">
      <c r="C3" s="169"/>
      <c r="D3" s="169"/>
      <c r="E3" s="169"/>
      <c r="F3" s="169"/>
      <c r="G3" s="169"/>
      <c r="H3" s="169"/>
      <c r="I3" s="169"/>
    </row>
    <row r="4" spans="3:14" s="33" customFormat="1" ht="14.5" x14ac:dyDescent="0.25">
      <c r="F4" s="441"/>
      <c r="H4" s="165"/>
      <c r="I4" s="169"/>
    </row>
    <row r="5" spans="3:14" s="33" customFormat="1" ht="14.5" x14ac:dyDescent="0.25">
      <c r="F5" s="441"/>
      <c r="H5" s="165"/>
      <c r="I5" s="169"/>
    </row>
    <row r="6" spans="3:14" s="33" customFormat="1" ht="14.5" x14ac:dyDescent="0.25">
      <c r="F6" s="441"/>
      <c r="H6" s="165"/>
      <c r="I6" s="169"/>
    </row>
    <row r="7" spans="3:14" s="33" customFormat="1" ht="13.5" customHeight="1" x14ac:dyDescent="0.25">
      <c r="I7" s="169"/>
    </row>
    <row r="8" spans="3:14" ht="15.5" x14ac:dyDescent="0.25">
      <c r="C8" s="881" t="s">
        <v>1238</v>
      </c>
      <c r="D8" s="882"/>
      <c r="E8" s="882"/>
      <c r="F8" s="882"/>
      <c r="G8" s="882"/>
      <c r="H8" s="883"/>
      <c r="I8" s="169"/>
      <c r="J8" s="37"/>
    </row>
    <row r="9" spans="3:14" ht="16.5" x14ac:dyDescent="0.35">
      <c r="C9" s="34"/>
      <c r="D9" s="34"/>
      <c r="E9" s="34"/>
      <c r="F9" s="35"/>
      <c r="G9" s="35"/>
      <c r="H9" s="36"/>
      <c r="I9" s="169"/>
      <c r="J9" s="37"/>
    </row>
    <row r="10" spans="3:14" ht="9.75" customHeight="1" x14ac:dyDescent="0.35">
      <c r="C10" s="34"/>
      <c r="D10" s="34"/>
      <c r="E10" s="34"/>
      <c r="F10" s="880" t="s">
        <v>87</v>
      </c>
      <c r="H10" s="880" t="s">
        <v>92</v>
      </c>
      <c r="J10" s="37"/>
      <c r="N10" s="38"/>
    </row>
    <row r="11" spans="3:14" ht="9.75" customHeight="1" x14ac:dyDescent="0.35">
      <c r="C11" s="34"/>
      <c r="D11" s="34"/>
      <c r="E11" s="39"/>
      <c r="F11" s="880"/>
      <c r="H11" s="880"/>
      <c r="J11" s="40"/>
      <c r="N11" s="41"/>
    </row>
    <row r="12" spans="3:14" ht="16.5" x14ac:dyDescent="0.35">
      <c r="C12" s="34"/>
      <c r="D12" s="34"/>
      <c r="E12" s="42"/>
      <c r="F12" s="43"/>
      <c r="H12" s="43"/>
      <c r="N12" s="41"/>
    </row>
    <row r="13" spans="3:14" ht="9.75" customHeight="1" x14ac:dyDescent="0.25">
      <c r="N13" s="41"/>
    </row>
    <row r="14" spans="3:14" s="44" customFormat="1" ht="13" x14ac:dyDescent="0.25">
      <c r="C14" s="796" t="s">
        <v>1250</v>
      </c>
      <c r="F14" s="45"/>
      <c r="H14" s="45"/>
    </row>
    <row r="15" spans="3:14" s="44" customFormat="1" ht="13" x14ac:dyDescent="0.25">
      <c r="F15" s="45"/>
      <c r="H15" s="45"/>
    </row>
    <row r="16" spans="3:14" ht="13" x14ac:dyDescent="0.3">
      <c r="C16" s="46"/>
      <c r="D16" s="47"/>
      <c r="E16" s="47"/>
      <c r="F16" s="109"/>
      <c r="G16" s="210"/>
      <c r="H16" s="109"/>
      <c r="I16" s="48"/>
      <c r="J16" s="47"/>
    </row>
    <row r="17" spans="3:12" ht="13" x14ac:dyDescent="0.3">
      <c r="C17" s="50"/>
      <c r="D17" s="51"/>
      <c r="E17" s="52"/>
      <c r="F17" s="86"/>
      <c r="G17" s="210"/>
      <c r="H17" s="86"/>
      <c r="I17" s="54"/>
      <c r="J17" s="56"/>
    </row>
    <row r="18" spans="3:12" ht="14.5" x14ac:dyDescent="0.35">
      <c r="C18" s="50"/>
      <c r="D18" s="51"/>
      <c r="E18" s="52"/>
      <c r="F18" s="89"/>
      <c r="G18" s="211"/>
      <c r="H18" s="89"/>
      <c r="I18" s="54"/>
      <c r="J18" s="56"/>
    </row>
    <row r="19" spans="3:12" ht="13" x14ac:dyDescent="0.3">
      <c r="F19" s="209"/>
      <c r="G19" s="209"/>
      <c r="H19" s="209"/>
      <c r="I19" s="57"/>
    </row>
    <row r="20" spans="3:12" s="58" customFormat="1" ht="13" x14ac:dyDescent="0.25">
      <c r="C20" s="795" t="s">
        <v>1251</v>
      </c>
      <c r="F20" s="76"/>
      <c r="G20" s="76"/>
      <c r="H20" s="76"/>
      <c r="I20" s="59"/>
    </row>
    <row r="21" spans="3:12" s="62" customFormat="1" ht="7.5" customHeight="1" x14ac:dyDescent="0.3">
      <c r="C21" s="61"/>
      <c r="F21" s="209"/>
      <c r="G21" s="209"/>
      <c r="H21" s="209"/>
      <c r="I21" s="63"/>
    </row>
    <row r="22" spans="3:12" s="68" customFormat="1" ht="13" x14ac:dyDescent="0.3">
      <c r="C22" s="46"/>
      <c r="D22" s="64"/>
      <c r="E22" s="65"/>
      <c r="F22" s="832"/>
      <c r="G22" s="66"/>
      <c r="H22" s="832"/>
      <c r="I22" s="67"/>
    </row>
    <row r="23" spans="3:12" s="68" customFormat="1" ht="13" x14ac:dyDescent="0.3">
      <c r="C23" s="195"/>
      <c r="D23" s="64"/>
      <c r="E23" s="65"/>
      <c r="F23" s="193"/>
      <c r="G23" s="66"/>
      <c r="H23" s="193"/>
      <c r="I23" s="67"/>
    </row>
    <row r="24" spans="3:12" s="68" customFormat="1" ht="13" x14ac:dyDescent="0.3">
      <c r="C24" s="196"/>
      <c r="D24" s="64"/>
      <c r="E24" s="65"/>
      <c r="F24" s="193"/>
      <c r="G24" s="66"/>
      <c r="H24" s="193"/>
      <c r="I24" s="67"/>
    </row>
    <row r="25" spans="3:12" s="68" customFormat="1" ht="13" x14ac:dyDescent="0.3">
      <c r="C25" s="197"/>
      <c r="D25" s="64"/>
      <c r="E25" s="65"/>
      <c r="F25" s="193"/>
      <c r="G25" s="66"/>
      <c r="H25" s="193"/>
      <c r="I25" s="67"/>
    </row>
    <row r="26" spans="3:12" s="68" customFormat="1" ht="13" x14ac:dyDescent="0.3">
      <c r="C26" s="197"/>
      <c r="D26" s="64"/>
      <c r="E26" s="65"/>
      <c r="F26" s="193"/>
      <c r="G26" s="66"/>
      <c r="H26" s="193"/>
      <c r="I26" s="67"/>
    </row>
    <row r="27" spans="3:12" s="68" customFormat="1" ht="13" x14ac:dyDescent="0.3">
      <c r="C27" s="198"/>
      <c r="D27" s="64"/>
      <c r="E27" s="65"/>
      <c r="F27" s="71"/>
      <c r="G27" s="66"/>
      <c r="H27" s="71"/>
      <c r="I27" s="67"/>
    </row>
    <row r="28" spans="3:12" s="62" customFormat="1" ht="14.5" x14ac:dyDescent="0.35">
      <c r="D28" s="72"/>
      <c r="E28" s="72"/>
      <c r="F28" s="73"/>
      <c r="G28" s="74"/>
      <c r="H28" s="73"/>
      <c r="I28" s="75"/>
      <c r="L28" s="68"/>
    </row>
    <row r="29" spans="3:12" s="58" customFormat="1" ht="13" x14ac:dyDescent="0.25">
      <c r="C29" s="796" t="s">
        <v>1252</v>
      </c>
      <c r="F29" s="76"/>
      <c r="G29" s="76"/>
      <c r="H29" s="76"/>
      <c r="I29" s="76"/>
      <c r="L29" s="68"/>
    </row>
    <row r="30" spans="3:12" s="62" customFormat="1" ht="14.5" x14ac:dyDescent="0.35">
      <c r="C30" s="78"/>
      <c r="F30" s="74"/>
      <c r="G30" s="74"/>
      <c r="H30" s="74"/>
      <c r="I30" s="75"/>
      <c r="L30" s="68"/>
    </row>
    <row r="31" spans="3:12" s="62" customFormat="1" ht="13" x14ac:dyDescent="0.3">
      <c r="C31" s="108"/>
      <c r="F31" s="109"/>
      <c r="G31" s="210"/>
      <c r="H31" s="109"/>
      <c r="I31" s="67"/>
      <c r="L31" s="68"/>
    </row>
    <row r="32" spans="3:12" s="62" customFormat="1" ht="13" x14ac:dyDescent="0.3">
      <c r="C32" s="50"/>
      <c r="D32" s="51"/>
      <c r="E32" s="52"/>
      <c r="F32" s="86"/>
      <c r="G32" s="210"/>
      <c r="H32" s="86"/>
      <c r="I32" s="67"/>
      <c r="L32" s="68"/>
    </row>
    <row r="33" spans="3:15" s="62" customFormat="1" ht="14.5" x14ac:dyDescent="0.35">
      <c r="C33" s="50"/>
      <c r="D33" s="51"/>
      <c r="E33" s="52"/>
      <c r="F33" s="89"/>
      <c r="G33" s="211"/>
      <c r="H33" s="89"/>
      <c r="I33" s="67"/>
      <c r="L33" s="68"/>
    </row>
    <row r="34" spans="3:15" s="62" customFormat="1" ht="14.5" x14ac:dyDescent="0.35">
      <c r="C34" s="81"/>
      <c r="D34" s="72"/>
      <c r="E34" s="72"/>
      <c r="F34" s="79"/>
      <c r="G34" s="79"/>
      <c r="H34" s="79"/>
      <c r="I34" s="67"/>
      <c r="L34" s="68"/>
    </row>
    <row r="35" spans="3:15" s="58" customFormat="1" ht="13" x14ac:dyDescent="0.25">
      <c r="C35" s="796" t="s">
        <v>1253</v>
      </c>
      <c r="F35" s="76"/>
      <c r="G35" s="82"/>
      <c r="H35" s="76"/>
      <c r="I35" s="76"/>
      <c r="J35" s="83"/>
      <c r="L35" s="68"/>
    </row>
    <row r="36" spans="3:15" s="62" customFormat="1" ht="14.5" x14ac:dyDescent="0.35">
      <c r="F36" s="73"/>
      <c r="G36" s="73"/>
      <c r="H36" s="73"/>
      <c r="I36" s="73"/>
      <c r="J36" s="84"/>
      <c r="L36" s="68"/>
    </row>
    <row r="37" spans="3:15" s="62" customFormat="1" ht="13" x14ac:dyDescent="0.3">
      <c r="C37" s="108"/>
      <c r="F37" s="109"/>
      <c r="G37" s="210"/>
      <c r="H37" s="109"/>
      <c r="I37" s="87"/>
      <c r="J37" s="88"/>
      <c r="L37" s="68"/>
    </row>
    <row r="38" spans="3:15" s="62" customFormat="1" ht="13" x14ac:dyDescent="0.3">
      <c r="C38" s="69"/>
      <c r="D38" s="85"/>
      <c r="F38" s="86"/>
      <c r="G38" s="210"/>
      <c r="H38" s="86"/>
      <c r="I38" s="87"/>
      <c r="J38" s="85"/>
      <c r="L38" s="68"/>
    </row>
    <row r="39" spans="3:15" s="62" customFormat="1" ht="14.5" x14ac:dyDescent="0.35">
      <c r="C39" s="70"/>
      <c r="F39" s="89"/>
      <c r="G39" s="211"/>
      <c r="H39" s="89"/>
      <c r="I39" s="32"/>
    </row>
    <row r="40" spans="3:15" s="62" customFormat="1" ht="13" x14ac:dyDescent="0.3">
      <c r="C40" s="81"/>
      <c r="F40" s="211"/>
      <c r="G40" s="211"/>
      <c r="H40" s="211"/>
      <c r="K40" s="38"/>
      <c r="L40" s="91"/>
      <c r="M40" s="92"/>
    </row>
    <row r="41" spans="3:15" s="62" customFormat="1" ht="13" x14ac:dyDescent="0.3">
      <c r="F41" s="211"/>
      <c r="G41" s="211"/>
      <c r="H41" s="211"/>
      <c r="K41" s="93"/>
      <c r="L41" s="94"/>
      <c r="M41" s="95"/>
      <c r="N41" s="96"/>
    </row>
    <row r="42" spans="3:15" s="62" customFormat="1" ht="13" x14ac:dyDescent="0.25">
      <c r="C42" s="796" t="s">
        <v>1254</v>
      </c>
      <c r="D42" s="58"/>
      <c r="E42" s="58"/>
      <c r="F42" s="76"/>
      <c r="G42" s="82"/>
      <c r="H42" s="76"/>
      <c r="K42" s="97"/>
      <c r="L42" s="98"/>
      <c r="M42" s="99"/>
      <c r="N42" s="100"/>
      <c r="O42" s="101"/>
    </row>
    <row r="43" spans="3:15" s="62" customFormat="1" ht="14.5" x14ac:dyDescent="0.35">
      <c r="F43" s="73"/>
      <c r="G43" s="73"/>
      <c r="H43" s="73"/>
      <c r="K43" s="97"/>
      <c r="L43" s="97"/>
      <c r="M43" s="100"/>
      <c r="N43" s="100"/>
      <c r="O43" s="101"/>
    </row>
    <row r="44" spans="3:15" s="62" customFormat="1" ht="13" x14ac:dyDescent="0.3">
      <c r="C44" s="108"/>
      <c r="F44" s="109"/>
      <c r="G44" s="210"/>
      <c r="H44" s="109"/>
      <c r="K44" s="97"/>
      <c r="L44" s="102"/>
      <c r="M44" s="102"/>
      <c r="N44" s="99"/>
      <c r="O44" s="101"/>
    </row>
    <row r="45" spans="3:15" s="62" customFormat="1" ht="13" x14ac:dyDescent="0.3">
      <c r="C45" s="69"/>
      <c r="D45" s="85"/>
      <c r="F45" s="86"/>
      <c r="G45" s="210"/>
      <c r="H45" s="86"/>
      <c r="K45" s="97"/>
      <c r="L45" s="102"/>
      <c r="M45" s="102"/>
      <c r="N45" s="99"/>
      <c r="O45" s="101"/>
    </row>
    <row r="46" spans="3:15" s="62" customFormat="1" ht="14.5" x14ac:dyDescent="0.35">
      <c r="C46" s="70"/>
      <c r="F46" s="89"/>
      <c r="G46" s="211"/>
      <c r="H46" s="89"/>
      <c r="K46" s="97"/>
      <c r="L46" s="102"/>
      <c r="M46" s="102"/>
      <c r="N46" s="99"/>
      <c r="O46" s="101"/>
    </row>
    <row r="47" spans="3:15" s="62" customFormat="1" x14ac:dyDescent="0.25">
      <c r="H47" s="32"/>
      <c r="I47" s="32"/>
      <c r="K47" s="97"/>
      <c r="L47" s="102"/>
      <c r="M47" s="102"/>
      <c r="N47" s="99"/>
      <c r="O47" s="101"/>
    </row>
    <row r="48" spans="3:15" s="62" customFormat="1" x14ac:dyDescent="0.25">
      <c r="H48" s="104"/>
      <c r="I48" s="104"/>
      <c r="J48" s="32"/>
      <c r="K48" s="97"/>
      <c r="L48" s="102"/>
      <c r="M48" s="102"/>
      <c r="N48" s="99"/>
      <c r="O48" s="101"/>
    </row>
    <row r="49" spans="8:15" x14ac:dyDescent="0.25">
      <c r="H49" s="105"/>
      <c r="I49" s="104"/>
      <c r="K49" s="97"/>
      <c r="L49" s="102"/>
      <c r="M49" s="102"/>
      <c r="N49" s="99"/>
      <c r="O49" s="106"/>
    </row>
    <row r="50" spans="8:15" x14ac:dyDescent="0.25">
      <c r="H50" s="105"/>
      <c r="I50" s="104"/>
      <c r="K50" s="97"/>
      <c r="L50" s="102"/>
      <c r="M50" s="102"/>
      <c r="N50" s="99"/>
      <c r="O50" s="106"/>
    </row>
    <row r="51" spans="8:15" x14ac:dyDescent="0.25">
      <c r="H51" s="105"/>
      <c r="K51" s="97"/>
      <c r="L51" s="102"/>
      <c r="M51" s="102"/>
      <c r="N51" s="99"/>
      <c r="O51" s="106"/>
    </row>
    <row r="52" spans="8:15" x14ac:dyDescent="0.25">
      <c r="H52" s="105"/>
      <c r="K52" s="97"/>
      <c r="L52" s="102"/>
      <c r="M52" s="102"/>
      <c r="N52" s="99"/>
      <c r="O52" s="106"/>
    </row>
    <row r="53" spans="8:15" x14ac:dyDescent="0.25">
      <c r="H53" s="105"/>
      <c r="K53" s="97"/>
      <c r="L53" s="102"/>
      <c r="M53" s="102"/>
      <c r="N53" s="99"/>
      <c r="O53" s="106"/>
    </row>
    <row r="54" spans="8:15" x14ac:dyDescent="0.25">
      <c r="H54" s="105"/>
      <c r="K54" s="97"/>
      <c r="L54" s="102"/>
      <c r="M54" s="102"/>
      <c r="N54" s="99"/>
      <c r="O54" s="106"/>
    </row>
    <row r="55" spans="8:15" x14ac:dyDescent="0.25">
      <c r="H55" s="105"/>
      <c r="K55" s="97"/>
      <c r="L55" s="102"/>
      <c r="M55" s="102"/>
      <c r="N55" s="99"/>
      <c r="O55" s="106"/>
    </row>
    <row r="56" spans="8:15" x14ac:dyDescent="0.25">
      <c r="K56" s="97"/>
      <c r="L56" s="102"/>
      <c r="M56" s="102"/>
      <c r="N56" s="99"/>
      <c r="O56" s="106"/>
    </row>
    <row r="57" spans="8:15" x14ac:dyDescent="0.25">
      <c r="K57" s="97"/>
      <c r="L57" s="102"/>
      <c r="M57" s="102"/>
      <c r="N57" s="99"/>
      <c r="O57" s="106"/>
    </row>
    <row r="58" spans="8:15" x14ac:dyDescent="0.25">
      <c r="K58" s="97"/>
      <c r="L58" s="102"/>
      <c r="M58" s="102"/>
      <c r="N58" s="99"/>
      <c r="O58" s="106"/>
    </row>
    <row r="59" spans="8:15" x14ac:dyDescent="0.25">
      <c r="K59" s="97"/>
      <c r="L59" s="102"/>
      <c r="M59" s="102"/>
      <c r="N59" s="99"/>
      <c r="O59" s="106"/>
    </row>
    <row r="60" spans="8:15" x14ac:dyDescent="0.25">
      <c r="K60" s="97"/>
      <c r="L60" s="102"/>
      <c r="M60" s="102"/>
      <c r="N60" s="99"/>
      <c r="O60" s="106"/>
    </row>
    <row r="61" spans="8:15" x14ac:dyDescent="0.25">
      <c r="K61" s="97"/>
      <c r="L61" s="102"/>
      <c r="M61" s="102"/>
      <c r="N61" s="99"/>
      <c r="O61" s="106"/>
    </row>
    <row r="62" spans="8:15" x14ac:dyDescent="0.25">
      <c r="K62" s="97"/>
      <c r="L62" s="102"/>
      <c r="M62" s="102"/>
      <c r="N62" s="99"/>
      <c r="O62" s="106"/>
    </row>
    <row r="63" spans="8:15" x14ac:dyDescent="0.25">
      <c r="K63" s="97"/>
      <c r="L63" s="102"/>
      <c r="M63" s="102"/>
      <c r="N63" s="99"/>
      <c r="O63" s="106"/>
    </row>
    <row r="64" spans="8:15" x14ac:dyDescent="0.25">
      <c r="K64" s="97"/>
      <c r="L64" s="102"/>
      <c r="M64" s="102"/>
      <c r="N64" s="99"/>
      <c r="O64" s="106"/>
    </row>
    <row r="65" spans="11:15" x14ac:dyDescent="0.25">
      <c r="K65" s="97"/>
      <c r="L65" s="102"/>
      <c r="M65" s="102"/>
      <c r="N65" s="99"/>
      <c r="O65" s="106"/>
    </row>
    <row r="66" spans="11:15" x14ac:dyDescent="0.25">
      <c r="K66" s="97"/>
      <c r="L66" s="102"/>
      <c r="M66" s="102"/>
      <c r="N66" s="99"/>
      <c r="O66" s="106"/>
    </row>
    <row r="67" spans="11:15" x14ac:dyDescent="0.25">
      <c r="K67" s="97"/>
      <c r="L67" s="102"/>
      <c r="M67" s="102"/>
      <c r="N67" s="99"/>
      <c r="O67" s="106"/>
    </row>
    <row r="68" spans="11:15" x14ac:dyDescent="0.25">
      <c r="K68" s="97"/>
      <c r="L68" s="102"/>
      <c r="M68" s="102"/>
      <c r="N68" s="99"/>
      <c r="O68" s="106"/>
    </row>
    <row r="69" spans="11:15" x14ac:dyDescent="0.25">
      <c r="K69" s="97"/>
      <c r="L69" s="102"/>
      <c r="M69" s="102"/>
      <c r="N69" s="99"/>
      <c r="O69" s="106"/>
    </row>
    <row r="70" spans="11:15" x14ac:dyDescent="0.25">
      <c r="K70" s="97"/>
      <c r="L70" s="102"/>
      <c r="M70" s="102"/>
      <c r="N70" s="99"/>
      <c r="O70" s="106"/>
    </row>
    <row r="71" spans="11:15" x14ac:dyDescent="0.25">
      <c r="K71" s="97"/>
      <c r="L71" s="102"/>
      <c r="M71" s="102"/>
      <c r="N71" s="99"/>
      <c r="O71" s="106"/>
    </row>
    <row r="72" spans="11:15" x14ac:dyDescent="0.25">
      <c r="K72" s="97"/>
      <c r="L72" s="102"/>
      <c r="M72" s="102"/>
      <c r="N72" s="99"/>
      <c r="O72" s="106"/>
    </row>
    <row r="73" spans="11:15" x14ac:dyDescent="0.25">
      <c r="K73" s="97"/>
      <c r="L73" s="102"/>
      <c r="M73" s="102"/>
      <c r="N73" s="99"/>
      <c r="O73" s="106"/>
    </row>
    <row r="74" spans="11:15" x14ac:dyDescent="0.25">
      <c r="K74" s="97"/>
      <c r="L74" s="102"/>
      <c r="M74" s="102"/>
      <c r="N74" s="99"/>
      <c r="O74" s="106"/>
    </row>
    <row r="75" spans="11:15" x14ac:dyDescent="0.25">
      <c r="K75" s="97"/>
      <c r="L75" s="102"/>
      <c r="M75" s="102"/>
      <c r="N75" s="99"/>
      <c r="O75" s="106"/>
    </row>
    <row r="76" spans="11:15" x14ac:dyDescent="0.25">
      <c r="K76" s="97"/>
      <c r="L76" s="102"/>
      <c r="M76" s="102"/>
      <c r="N76" s="99"/>
      <c r="O76" s="106"/>
    </row>
    <row r="77" spans="11:15" x14ac:dyDescent="0.25">
      <c r="K77" s="97"/>
      <c r="L77" s="102"/>
      <c r="M77" s="102"/>
      <c r="N77" s="99"/>
      <c r="O77" s="106"/>
    </row>
  </sheetData>
  <mergeCells count="3">
    <mergeCell ref="F10:F11"/>
    <mergeCell ref="H10:H11"/>
    <mergeCell ref="C8:H8"/>
  </mergeCells>
  <phoneticPr fontId="122"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view="pageBreakPreview" topLeftCell="A4" zoomScaleNormal="100" zoomScaleSheetLayoutView="100" workbookViewId="0">
      <selection activeCell="K13" sqref="K13"/>
    </sheetView>
  </sheetViews>
  <sheetFormatPr defaultColWidth="9.1796875" defaultRowHeight="14.5" x14ac:dyDescent="0.35"/>
  <cols>
    <col min="1" max="1" width="14.81640625" style="528" customWidth="1"/>
    <col min="2" max="2" width="23.1796875" style="603" bestFit="1" customWidth="1"/>
    <col min="3" max="3" width="16.453125" style="565" customWidth="1"/>
    <col min="4" max="4" width="14.54296875" style="565" customWidth="1"/>
    <col min="5" max="5" width="11.54296875" style="565" customWidth="1"/>
    <col min="6" max="6" width="13.81640625" style="565" customWidth="1"/>
    <col min="7" max="7" width="17.54296875" style="528" bestFit="1" customWidth="1"/>
    <col min="8" max="8" width="13.26953125" style="528" bestFit="1" customWidth="1"/>
    <col min="9" max="9" width="12.453125" style="528" customWidth="1"/>
    <col min="10" max="10" width="16.453125" style="528" customWidth="1"/>
    <col min="11" max="11" width="15.7265625" style="528" customWidth="1"/>
    <col min="12" max="16384" width="9.1796875" style="528"/>
  </cols>
  <sheetData>
    <row r="1" spans="1:12" x14ac:dyDescent="0.35">
      <c r="A1" s="110"/>
      <c r="B1" s="110"/>
      <c r="C1" s="110"/>
      <c r="D1" s="110"/>
      <c r="E1" s="110"/>
      <c r="F1" s="110"/>
      <c r="G1" s="110"/>
      <c r="H1" s="110"/>
      <c r="I1" s="110"/>
      <c r="J1" s="110"/>
      <c r="K1" s="110"/>
      <c r="L1" s="110"/>
    </row>
    <row r="2" spans="1:12" x14ac:dyDescent="0.35">
      <c r="A2" s="110"/>
      <c r="B2" s="112"/>
      <c r="C2" s="112"/>
      <c r="D2" s="112"/>
      <c r="E2" s="112"/>
      <c r="F2" s="112"/>
      <c r="G2" s="112"/>
      <c r="H2" s="112"/>
      <c r="I2" s="112"/>
      <c r="J2" s="112"/>
      <c r="K2" s="112"/>
      <c r="L2" s="112"/>
    </row>
    <row r="3" spans="1:12" ht="14.5" customHeight="1" x14ac:dyDescent="0.35">
      <c r="A3" s="110"/>
      <c r="B3" s="112"/>
      <c r="C3" s="112"/>
      <c r="D3" s="112"/>
      <c r="E3" s="905"/>
      <c r="F3" s="905"/>
      <c r="G3" s="905"/>
      <c r="H3" s="112"/>
      <c r="I3" s="441"/>
      <c r="J3" s="112"/>
      <c r="K3" s="112"/>
      <c r="L3" s="111"/>
    </row>
    <row r="4" spans="1:12" ht="14.5" customHeight="1" x14ac:dyDescent="0.35">
      <c r="A4" s="110"/>
      <c r="B4" s="112"/>
      <c r="C4" s="112"/>
      <c r="D4" s="112"/>
      <c r="E4" s="905"/>
      <c r="F4" s="905"/>
      <c r="G4" s="905"/>
      <c r="H4" s="112"/>
      <c r="I4" s="441"/>
      <c r="J4" s="803" t="s">
        <v>134</v>
      </c>
      <c r="K4" s="834"/>
      <c r="L4" s="111"/>
    </row>
    <row r="5" spans="1:12" ht="14.5" customHeight="1" x14ac:dyDescent="0.35">
      <c r="A5" s="110"/>
      <c r="B5" s="112"/>
      <c r="C5" s="112"/>
      <c r="D5" s="112"/>
      <c r="E5" s="905"/>
      <c r="F5" s="905"/>
      <c r="G5" s="905"/>
      <c r="H5" s="112"/>
      <c r="I5" s="441"/>
      <c r="J5" s="112"/>
      <c r="K5" s="112"/>
      <c r="L5" s="111"/>
    </row>
    <row r="6" spans="1:12" ht="14.5" customHeight="1" x14ac:dyDescent="0.35">
      <c r="A6" s="110"/>
      <c r="B6" s="112"/>
      <c r="C6" s="112"/>
      <c r="D6" s="112"/>
      <c r="E6" s="905"/>
      <c r="F6" s="905"/>
      <c r="G6" s="905"/>
      <c r="H6" s="112"/>
      <c r="I6" s="112"/>
      <c r="J6" s="112"/>
      <c r="K6" s="112"/>
      <c r="L6" s="112"/>
    </row>
    <row r="7" spans="1:12" x14ac:dyDescent="0.35">
      <c r="A7" s="110"/>
      <c r="B7" s="112"/>
      <c r="C7" s="112"/>
      <c r="D7" s="112"/>
      <c r="E7" s="112"/>
      <c r="F7" s="112"/>
      <c r="G7" s="112"/>
      <c r="H7" s="112"/>
      <c r="I7" s="113"/>
      <c r="J7" s="113"/>
      <c r="K7" s="114"/>
      <c r="L7" s="112"/>
    </row>
    <row r="8" spans="1:12" x14ac:dyDescent="0.35">
      <c r="B8" s="528"/>
    </row>
    <row r="9" spans="1:12" ht="17.25" customHeight="1" x14ac:dyDescent="0.35">
      <c r="A9" s="727" t="s">
        <v>1021</v>
      </c>
      <c r="B9" s="728"/>
      <c r="C9" s="729"/>
      <c r="D9" s="729"/>
      <c r="E9" s="729"/>
      <c r="F9" s="729"/>
      <c r="G9" s="729"/>
      <c r="H9" s="729"/>
      <c r="I9" s="729"/>
      <c r="J9" s="729"/>
      <c r="K9" s="729"/>
      <c r="L9" s="729"/>
    </row>
    <row r="10" spans="1:12" ht="11.15" customHeight="1" x14ac:dyDescent="0.35">
      <c r="B10" s="528"/>
    </row>
    <row r="11" spans="1:12" ht="4.5" customHeight="1" x14ac:dyDescent="0.35">
      <c r="B11" s="528"/>
      <c r="C11" s="528"/>
      <c r="D11" s="528"/>
      <c r="E11" s="528"/>
      <c r="F11" s="528"/>
    </row>
    <row r="12" spans="1:12" ht="3.75" customHeight="1" thickBot="1" x14ac:dyDescent="0.4">
      <c r="B12" s="566"/>
      <c r="C12" s="567"/>
      <c r="D12" s="567"/>
      <c r="E12" s="567"/>
      <c r="F12" s="567"/>
      <c r="G12" s="567"/>
    </row>
    <row r="13" spans="1:12" ht="39" customHeight="1" thickBot="1" x14ac:dyDescent="0.4">
      <c r="B13" s="566"/>
      <c r="C13" s="567"/>
      <c r="D13" s="567"/>
      <c r="E13" s="567"/>
      <c r="F13" s="567"/>
      <c r="G13" s="567"/>
      <c r="H13" s="568" t="s">
        <v>1022</v>
      </c>
      <c r="I13" s="569" t="s">
        <v>1023</v>
      </c>
      <c r="K13" s="565"/>
    </row>
    <row r="14" spans="1:12" ht="22" customHeight="1" thickBot="1" x14ac:dyDescent="0.4">
      <c r="B14" s="887" t="s">
        <v>1059</v>
      </c>
      <c r="C14" s="888"/>
      <c r="D14" s="888"/>
      <c r="E14" s="888"/>
      <c r="F14" s="888"/>
      <c r="G14" s="889"/>
      <c r="H14" s="572">
        <v>751085014.36999917</v>
      </c>
      <c r="I14" s="573">
        <v>3847</v>
      </c>
      <c r="K14" s="565"/>
    </row>
    <row r="15" spans="1:12" ht="22" customHeight="1" thickBot="1" x14ac:dyDescent="0.4">
      <c r="B15" s="625" t="s">
        <v>1060</v>
      </c>
      <c r="C15" s="626"/>
      <c r="D15" s="626"/>
      <c r="E15" s="626"/>
      <c r="F15" s="626"/>
      <c r="G15" s="627"/>
      <c r="H15" s="574">
        <f>SUM(J20:J23,J26:J30,J32:J36,J39:J40,)</f>
        <v>0</v>
      </c>
      <c r="I15" s="575">
        <f>SUM(K20:K23,K26:K30,K32:K36,K39:K40)</f>
        <v>0</v>
      </c>
      <c r="K15" s="565"/>
    </row>
    <row r="16" spans="1:12" ht="22" customHeight="1" thickBot="1" x14ac:dyDescent="0.4">
      <c r="B16" s="625" t="s">
        <v>1061</v>
      </c>
      <c r="C16" s="626"/>
      <c r="D16" s="626"/>
      <c r="E16" s="626"/>
      <c r="F16" s="626"/>
      <c r="G16" s="627"/>
      <c r="H16" s="574">
        <f>H14-H15</f>
        <v>751085014.36999917</v>
      </c>
      <c r="I16" s="575">
        <f>I14-I15</f>
        <v>3847</v>
      </c>
      <c r="J16" s="576"/>
      <c r="K16" s="565"/>
    </row>
    <row r="17" spans="1:11" ht="22" customHeight="1" thickBot="1" x14ac:dyDescent="0.4">
      <c r="B17" s="577" t="s">
        <v>1011</v>
      </c>
      <c r="C17" s="570"/>
      <c r="D17" s="570"/>
      <c r="E17" s="570"/>
      <c r="F17" s="570"/>
      <c r="G17" s="571"/>
      <c r="H17" s="578" t="str">
        <f>IF(H14-H15=H16,"OK","KO")</f>
        <v>OK</v>
      </c>
      <c r="I17" s="579" t="str">
        <f>IF(I14-I15=I16,"OK","KO")</f>
        <v>OK</v>
      </c>
      <c r="K17" s="565"/>
    </row>
    <row r="18" spans="1:11" ht="63" customHeight="1" thickBot="1" x14ac:dyDescent="0.4">
      <c r="B18" s="890" t="s">
        <v>1024</v>
      </c>
      <c r="C18" s="891"/>
      <c r="D18" s="891"/>
      <c r="E18" s="891"/>
      <c r="F18" s="891"/>
      <c r="G18" s="892"/>
      <c r="H18" s="580" t="s">
        <v>1055</v>
      </c>
      <c r="I18" s="581" t="s">
        <v>1056</v>
      </c>
      <c r="J18" s="580" t="s">
        <v>1057</v>
      </c>
      <c r="K18" s="581" t="s">
        <v>1058</v>
      </c>
    </row>
    <row r="19" spans="1:11" ht="58.5" customHeight="1" x14ac:dyDescent="0.35">
      <c r="A19" s="582"/>
      <c r="B19" s="583" t="s">
        <v>1013</v>
      </c>
      <c r="C19" s="906" t="s">
        <v>1025</v>
      </c>
      <c r="D19" s="907"/>
      <c r="E19" s="907"/>
      <c r="F19" s="907"/>
      <c r="G19" s="908"/>
      <c r="H19" s="584"/>
      <c r="I19" s="585"/>
      <c r="J19" s="584"/>
      <c r="K19" s="585"/>
    </row>
    <row r="20" spans="1:11" ht="48" customHeight="1" x14ac:dyDescent="0.35">
      <c r="A20" s="582"/>
      <c r="B20" s="586" t="s">
        <v>1014</v>
      </c>
      <c r="C20" s="909" t="s">
        <v>1026</v>
      </c>
      <c r="D20" s="910"/>
      <c r="E20" s="910"/>
      <c r="F20" s="910"/>
      <c r="G20" s="911"/>
      <c r="H20" s="588">
        <f>H14-J20</f>
        <v>751085014.36999917</v>
      </c>
      <c r="I20" s="587">
        <f>I14-K20</f>
        <v>3847</v>
      </c>
      <c r="J20" s="588">
        <v>0</v>
      </c>
      <c r="K20" s="589">
        <v>0</v>
      </c>
    </row>
    <row r="21" spans="1:11" ht="48" customHeight="1" x14ac:dyDescent="0.35">
      <c r="A21" s="582"/>
      <c r="B21" s="586" t="s">
        <v>1015</v>
      </c>
      <c r="C21" s="884" t="s">
        <v>1027</v>
      </c>
      <c r="D21" s="885"/>
      <c r="E21" s="885"/>
      <c r="F21" s="885"/>
      <c r="G21" s="886"/>
      <c r="H21" s="588">
        <f t="shared" ref="H21:I23" si="0">H20-J21</f>
        <v>751085014.36999917</v>
      </c>
      <c r="I21" s="589">
        <f t="shared" si="0"/>
        <v>3847</v>
      </c>
      <c r="J21" s="588">
        <v>0</v>
      </c>
      <c r="K21" s="589">
        <v>0</v>
      </c>
    </row>
    <row r="22" spans="1:11" ht="48" customHeight="1" x14ac:dyDescent="0.35">
      <c r="A22" s="582"/>
      <c r="B22" s="586" t="s">
        <v>1016</v>
      </c>
      <c r="C22" s="884" t="s">
        <v>1028</v>
      </c>
      <c r="D22" s="885"/>
      <c r="E22" s="885"/>
      <c r="F22" s="885"/>
      <c r="G22" s="886"/>
      <c r="H22" s="588">
        <f t="shared" si="0"/>
        <v>751085014.36999917</v>
      </c>
      <c r="I22" s="589">
        <f t="shared" si="0"/>
        <v>3847</v>
      </c>
      <c r="J22" s="588">
        <v>0</v>
      </c>
      <c r="K22" s="589">
        <v>0</v>
      </c>
    </row>
    <row r="23" spans="1:11" ht="48" customHeight="1" x14ac:dyDescent="0.35">
      <c r="A23" s="582"/>
      <c r="B23" s="586" t="s">
        <v>1017</v>
      </c>
      <c r="C23" s="884" t="s">
        <v>1029</v>
      </c>
      <c r="D23" s="885"/>
      <c r="E23" s="885"/>
      <c r="F23" s="885"/>
      <c r="G23" s="886"/>
      <c r="H23" s="588">
        <f t="shared" si="0"/>
        <v>751085014.36999917</v>
      </c>
      <c r="I23" s="589">
        <f t="shared" si="0"/>
        <v>3847</v>
      </c>
      <c r="J23" s="588">
        <v>0</v>
      </c>
      <c r="K23" s="589">
        <v>0</v>
      </c>
    </row>
    <row r="24" spans="1:11" ht="48" customHeight="1" x14ac:dyDescent="0.35">
      <c r="A24" s="582"/>
      <c r="B24" s="586" t="s">
        <v>1018</v>
      </c>
      <c r="C24" s="884" t="s">
        <v>1030</v>
      </c>
      <c r="D24" s="885"/>
      <c r="E24" s="885"/>
      <c r="F24" s="885"/>
      <c r="G24" s="886"/>
      <c r="H24" s="590"/>
      <c r="I24" s="591"/>
      <c r="J24" s="590"/>
      <c r="K24" s="591"/>
    </row>
    <row r="25" spans="1:11" ht="48" customHeight="1" x14ac:dyDescent="0.35">
      <c r="A25" s="582"/>
      <c r="B25" s="586" t="s">
        <v>1031</v>
      </c>
      <c r="C25" s="884" t="s">
        <v>1032</v>
      </c>
      <c r="D25" s="885"/>
      <c r="E25" s="885"/>
      <c r="F25" s="885"/>
      <c r="G25" s="886"/>
      <c r="H25" s="590"/>
      <c r="I25" s="591"/>
      <c r="J25" s="590"/>
      <c r="K25" s="591"/>
    </row>
    <row r="26" spans="1:11" ht="48" customHeight="1" x14ac:dyDescent="0.35">
      <c r="A26" s="582"/>
      <c r="B26" s="586" t="s">
        <v>1033</v>
      </c>
      <c r="C26" s="884" t="s">
        <v>1034</v>
      </c>
      <c r="D26" s="885"/>
      <c r="E26" s="885"/>
      <c r="F26" s="885"/>
      <c r="G26" s="886"/>
      <c r="H26" s="588">
        <f>H23-J26</f>
        <v>751085014.36999917</v>
      </c>
      <c r="I26" s="589">
        <f>I23-K26</f>
        <v>3847</v>
      </c>
      <c r="J26" s="588">
        <v>0</v>
      </c>
      <c r="K26" s="589">
        <v>0</v>
      </c>
    </row>
    <row r="27" spans="1:11" ht="48" customHeight="1" x14ac:dyDescent="0.35">
      <c r="A27" s="582"/>
      <c r="B27" s="586" t="s">
        <v>1012</v>
      </c>
      <c r="C27" s="884" t="s">
        <v>1035</v>
      </c>
      <c r="D27" s="885"/>
      <c r="E27" s="885"/>
      <c r="F27" s="885"/>
      <c r="G27" s="886"/>
      <c r="H27" s="588">
        <f t="shared" ref="H27:H30" si="1">H26-J27</f>
        <v>751085014.36999917</v>
      </c>
      <c r="I27" s="589">
        <f t="shared" ref="I27:I30" si="2">I26-K27</f>
        <v>3847</v>
      </c>
      <c r="J27" s="588">
        <v>0</v>
      </c>
      <c r="K27" s="589">
        <v>0</v>
      </c>
    </row>
    <row r="28" spans="1:11" ht="48" customHeight="1" x14ac:dyDescent="0.35">
      <c r="A28" s="582"/>
      <c r="B28" s="586" t="s">
        <v>1036</v>
      </c>
      <c r="C28" s="884" t="s">
        <v>1346</v>
      </c>
      <c r="D28" s="885"/>
      <c r="E28" s="885"/>
      <c r="F28" s="885"/>
      <c r="G28" s="886"/>
      <c r="H28" s="588">
        <f t="shared" si="1"/>
        <v>751085014.36999917</v>
      </c>
      <c r="I28" s="589">
        <f t="shared" si="2"/>
        <v>3847</v>
      </c>
      <c r="J28" s="588">
        <v>0</v>
      </c>
      <c r="K28" s="589">
        <v>0</v>
      </c>
    </row>
    <row r="29" spans="1:11" ht="48" customHeight="1" x14ac:dyDescent="0.35">
      <c r="A29" s="582"/>
      <c r="B29" s="586" t="s">
        <v>1037</v>
      </c>
      <c r="C29" s="884" t="s">
        <v>1038</v>
      </c>
      <c r="D29" s="885"/>
      <c r="E29" s="885"/>
      <c r="F29" s="885"/>
      <c r="G29" s="886"/>
      <c r="H29" s="588">
        <f t="shared" si="1"/>
        <v>751085014.36999917</v>
      </c>
      <c r="I29" s="589">
        <f t="shared" si="2"/>
        <v>3847</v>
      </c>
      <c r="J29" s="588">
        <v>0</v>
      </c>
      <c r="K29" s="589">
        <v>0</v>
      </c>
    </row>
    <row r="30" spans="1:11" ht="48" customHeight="1" x14ac:dyDescent="0.35">
      <c r="A30" s="582"/>
      <c r="B30" s="586" t="s">
        <v>1039</v>
      </c>
      <c r="C30" s="884" t="s">
        <v>1040</v>
      </c>
      <c r="D30" s="885"/>
      <c r="E30" s="885"/>
      <c r="F30" s="885"/>
      <c r="G30" s="886"/>
      <c r="H30" s="588">
        <f t="shared" si="1"/>
        <v>751085014.36999917</v>
      </c>
      <c r="I30" s="589">
        <f t="shared" si="2"/>
        <v>3847</v>
      </c>
      <c r="J30" s="588">
        <v>0</v>
      </c>
      <c r="K30" s="589">
        <v>0</v>
      </c>
    </row>
    <row r="31" spans="1:11" ht="48" customHeight="1" x14ac:dyDescent="0.35">
      <c r="A31" s="582"/>
      <c r="B31" s="586" t="s">
        <v>1041</v>
      </c>
      <c r="C31" s="884" t="s">
        <v>1042</v>
      </c>
      <c r="D31" s="885"/>
      <c r="E31" s="885"/>
      <c r="F31" s="885"/>
      <c r="G31" s="886"/>
      <c r="H31" s="590"/>
      <c r="I31" s="591"/>
      <c r="J31" s="590"/>
      <c r="K31" s="591"/>
    </row>
    <row r="32" spans="1:11" ht="48" customHeight="1" x14ac:dyDescent="0.35">
      <c r="A32" s="582"/>
      <c r="B32" s="586" t="s">
        <v>1043</v>
      </c>
      <c r="C32" s="884" t="s">
        <v>1044</v>
      </c>
      <c r="D32" s="885"/>
      <c r="E32" s="885"/>
      <c r="F32" s="885"/>
      <c r="G32" s="886"/>
      <c r="H32" s="588">
        <f>H30-J32</f>
        <v>751085014.36999917</v>
      </c>
      <c r="I32" s="589">
        <f>I30-K32</f>
        <v>3847</v>
      </c>
      <c r="J32" s="588">
        <v>0</v>
      </c>
      <c r="K32" s="589">
        <v>0</v>
      </c>
    </row>
    <row r="33" spans="1:11" ht="48" customHeight="1" x14ac:dyDescent="0.35">
      <c r="A33" s="582"/>
      <c r="B33" s="586" t="s">
        <v>1045</v>
      </c>
      <c r="C33" s="884" t="s">
        <v>1046</v>
      </c>
      <c r="D33" s="885"/>
      <c r="E33" s="885"/>
      <c r="F33" s="885"/>
      <c r="G33" s="886"/>
      <c r="H33" s="588">
        <f>H32-J33</f>
        <v>751085014.36999917</v>
      </c>
      <c r="I33" s="589">
        <f>I32-K33</f>
        <v>3847</v>
      </c>
      <c r="J33" s="588">
        <v>0</v>
      </c>
      <c r="K33" s="589">
        <v>0</v>
      </c>
    </row>
    <row r="34" spans="1:11" ht="48" customHeight="1" x14ac:dyDescent="0.35">
      <c r="A34" s="582"/>
      <c r="B34" s="586" t="s">
        <v>1047</v>
      </c>
      <c r="C34" s="884" t="s">
        <v>1048</v>
      </c>
      <c r="D34" s="885"/>
      <c r="E34" s="885"/>
      <c r="F34" s="885"/>
      <c r="G34" s="886"/>
      <c r="H34" s="588">
        <f t="shared" ref="H34:H36" si="3">H33-J34</f>
        <v>751085014.36999917</v>
      </c>
      <c r="I34" s="589">
        <f t="shared" ref="I34:I36" si="4">I33-K34</f>
        <v>3847</v>
      </c>
      <c r="J34" s="588">
        <v>0</v>
      </c>
      <c r="K34" s="589">
        <v>0</v>
      </c>
    </row>
    <row r="35" spans="1:11" ht="48" customHeight="1" x14ac:dyDescent="0.35">
      <c r="A35" s="582"/>
      <c r="B35" s="586" t="s">
        <v>1049</v>
      </c>
      <c r="C35" s="884" t="s">
        <v>1050</v>
      </c>
      <c r="D35" s="885"/>
      <c r="E35" s="885"/>
      <c r="F35" s="885"/>
      <c r="G35" s="886"/>
      <c r="H35" s="588">
        <f t="shared" si="3"/>
        <v>751085014.36999917</v>
      </c>
      <c r="I35" s="589">
        <f t="shared" si="4"/>
        <v>3847</v>
      </c>
      <c r="J35" s="588">
        <v>0</v>
      </c>
      <c r="K35" s="589">
        <v>0</v>
      </c>
    </row>
    <row r="36" spans="1:11" ht="48" customHeight="1" x14ac:dyDescent="0.35">
      <c r="A36" s="582"/>
      <c r="B36" s="586" t="s">
        <v>1051</v>
      </c>
      <c r="C36" s="893" t="s">
        <v>1052</v>
      </c>
      <c r="D36" s="894"/>
      <c r="E36" s="894"/>
      <c r="F36" s="894"/>
      <c r="G36" s="895"/>
      <c r="H36" s="588">
        <f t="shared" si="3"/>
        <v>751085014.36999917</v>
      </c>
      <c r="I36" s="589">
        <f t="shared" si="4"/>
        <v>3847</v>
      </c>
      <c r="J36" s="588">
        <v>0</v>
      </c>
      <c r="K36" s="589">
        <v>0</v>
      </c>
    </row>
    <row r="37" spans="1:11" ht="48" customHeight="1" thickBot="1" x14ac:dyDescent="0.4">
      <c r="A37" s="582"/>
      <c r="B37" s="586" t="s">
        <v>1053</v>
      </c>
      <c r="C37" s="896" t="s">
        <v>1054</v>
      </c>
      <c r="D37" s="897"/>
      <c r="E37" s="897"/>
      <c r="F37" s="897"/>
      <c r="G37" s="898"/>
      <c r="H37" s="593"/>
      <c r="I37" s="594"/>
      <c r="J37" s="593"/>
      <c r="K37" s="595"/>
    </row>
    <row r="38" spans="1:11" ht="32.15" customHeight="1" thickBot="1" x14ac:dyDescent="0.4">
      <c r="B38" s="890" t="s">
        <v>1062</v>
      </c>
      <c r="C38" s="891"/>
      <c r="D38" s="891"/>
      <c r="E38" s="891"/>
      <c r="F38" s="891"/>
      <c r="G38" s="892"/>
      <c r="H38" s="596"/>
      <c r="I38" s="576"/>
    </row>
    <row r="39" spans="1:11" ht="37.5" customHeight="1" x14ac:dyDescent="0.35">
      <c r="B39" s="597" t="s">
        <v>1013</v>
      </c>
      <c r="C39" s="902" t="s">
        <v>1063</v>
      </c>
      <c r="D39" s="903"/>
      <c r="E39" s="903"/>
      <c r="F39" s="903"/>
      <c r="G39" s="904"/>
      <c r="H39" s="572">
        <f>H36-J39</f>
        <v>751085014.36999917</v>
      </c>
      <c r="I39" s="573">
        <f>I36-K39</f>
        <v>3847</v>
      </c>
      <c r="J39" s="598">
        <v>0</v>
      </c>
      <c r="K39" s="599">
        <v>0</v>
      </c>
    </row>
    <row r="40" spans="1:11" ht="37.5" customHeight="1" x14ac:dyDescent="0.35">
      <c r="B40" s="601" t="s">
        <v>1014</v>
      </c>
      <c r="C40" s="899" t="s">
        <v>1064</v>
      </c>
      <c r="D40" s="900"/>
      <c r="E40" s="900"/>
      <c r="F40" s="900"/>
      <c r="G40" s="901"/>
      <c r="H40" s="588">
        <f t="shared" ref="H40" si="5">H39-J40</f>
        <v>751085014.36999917</v>
      </c>
      <c r="I40" s="589">
        <f t="shared" ref="I40" si="6">I39-K40</f>
        <v>3847</v>
      </c>
      <c r="J40" s="604">
        <v>0</v>
      </c>
      <c r="K40" s="605">
        <v>0</v>
      </c>
    </row>
    <row r="41" spans="1:11" ht="37.5" customHeight="1" x14ac:dyDescent="0.35">
      <c r="B41" s="601" t="s">
        <v>1015</v>
      </c>
      <c r="C41" s="899" t="s">
        <v>1065</v>
      </c>
      <c r="D41" s="900"/>
      <c r="E41" s="900"/>
      <c r="F41" s="900"/>
      <c r="G41" s="901"/>
      <c r="H41" s="590"/>
      <c r="I41" s="591"/>
      <c r="J41" s="590"/>
      <c r="K41" s="591"/>
    </row>
    <row r="42" spans="1:11" ht="37.5" customHeight="1" x14ac:dyDescent="0.35">
      <c r="B42" s="601" t="s">
        <v>1016</v>
      </c>
      <c r="C42" s="899" t="s">
        <v>1066</v>
      </c>
      <c r="D42" s="900"/>
      <c r="E42" s="900"/>
      <c r="F42" s="900"/>
      <c r="G42" s="901"/>
      <c r="H42" s="590"/>
      <c r="I42" s="591"/>
      <c r="J42" s="590"/>
      <c r="K42" s="591"/>
    </row>
    <row r="43" spans="1:11" ht="37.5" customHeight="1" x14ac:dyDescent="0.35">
      <c r="B43" s="601" t="s">
        <v>1017</v>
      </c>
      <c r="C43" s="899" t="s">
        <v>1067</v>
      </c>
      <c r="D43" s="900"/>
      <c r="E43" s="900"/>
      <c r="F43" s="900"/>
      <c r="G43" s="901"/>
      <c r="H43" s="590"/>
      <c r="I43" s="591"/>
      <c r="J43" s="590"/>
      <c r="K43" s="591"/>
    </row>
    <row r="44" spans="1:11" ht="37.5" customHeight="1" x14ac:dyDescent="0.35">
      <c r="B44" s="601" t="s">
        <v>1018</v>
      </c>
      <c r="C44" s="899" t="s">
        <v>1068</v>
      </c>
      <c r="D44" s="900"/>
      <c r="E44" s="900"/>
      <c r="F44" s="900"/>
      <c r="G44" s="901"/>
      <c r="H44" s="590"/>
      <c r="I44" s="591"/>
      <c r="J44" s="590"/>
      <c r="K44" s="591"/>
    </row>
    <row r="45" spans="1:11" ht="37.5" customHeight="1" x14ac:dyDescent="0.35">
      <c r="B45" s="601" t="s">
        <v>1031</v>
      </c>
      <c r="C45" s="899" t="s">
        <v>1069</v>
      </c>
      <c r="D45" s="900"/>
      <c r="E45" s="900"/>
      <c r="F45" s="900"/>
      <c r="G45" s="901"/>
      <c r="H45" s="590"/>
      <c r="I45" s="591"/>
      <c r="J45" s="590"/>
      <c r="K45" s="591"/>
    </row>
    <row r="46" spans="1:11" ht="37.5" customHeight="1" x14ac:dyDescent="0.35">
      <c r="B46" s="601" t="s">
        <v>1033</v>
      </c>
      <c r="C46" s="899" t="s">
        <v>1070</v>
      </c>
      <c r="D46" s="900"/>
      <c r="E46" s="900"/>
      <c r="F46" s="900"/>
      <c r="G46" s="901"/>
      <c r="H46" s="590"/>
      <c r="I46" s="591"/>
      <c r="J46" s="590"/>
      <c r="K46" s="591"/>
    </row>
    <row r="47" spans="1:11" ht="37.5" customHeight="1" x14ac:dyDescent="0.35">
      <c r="B47" s="601" t="s">
        <v>1012</v>
      </c>
      <c r="C47" s="899" t="s">
        <v>1071</v>
      </c>
      <c r="D47" s="900"/>
      <c r="E47" s="900"/>
      <c r="F47" s="900"/>
      <c r="G47" s="901"/>
      <c r="H47" s="590"/>
      <c r="I47" s="591"/>
      <c r="J47" s="590"/>
      <c r="K47" s="591"/>
    </row>
    <row r="48" spans="1:11" ht="37.5" customHeight="1" x14ac:dyDescent="0.35">
      <c r="B48" s="601" t="s">
        <v>1036</v>
      </c>
      <c r="C48" s="899" t="s">
        <v>1072</v>
      </c>
      <c r="D48" s="900"/>
      <c r="E48" s="900"/>
      <c r="F48" s="900"/>
      <c r="G48" s="901"/>
      <c r="H48" s="590"/>
      <c r="I48" s="591"/>
      <c r="J48" s="590"/>
      <c r="K48" s="591"/>
    </row>
    <row r="49" spans="2:11" ht="37.5" customHeight="1" x14ac:dyDescent="0.35">
      <c r="B49" s="601" t="s">
        <v>1037</v>
      </c>
      <c r="C49" s="899" t="s">
        <v>1073</v>
      </c>
      <c r="D49" s="900"/>
      <c r="E49" s="900"/>
      <c r="F49" s="900"/>
      <c r="G49" s="901"/>
      <c r="H49" s="590"/>
      <c r="I49" s="591"/>
      <c r="J49" s="590"/>
      <c r="K49" s="591"/>
    </row>
    <row r="50" spans="2:11" ht="37.5" customHeight="1" x14ac:dyDescent="0.35">
      <c r="B50" s="601" t="s">
        <v>1039</v>
      </c>
      <c r="C50" s="899" t="s">
        <v>1074</v>
      </c>
      <c r="D50" s="900"/>
      <c r="E50" s="900"/>
      <c r="F50" s="900"/>
      <c r="G50" s="901"/>
      <c r="H50" s="590"/>
      <c r="I50" s="591"/>
      <c r="J50" s="590"/>
      <c r="K50" s="591"/>
    </row>
    <row r="51" spans="2:11" ht="37.5" customHeight="1" x14ac:dyDescent="0.35">
      <c r="B51" s="601" t="s">
        <v>1041</v>
      </c>
      <c r="C51" s="899" t="s">
        <v>1075</v>
      </c>
      <c r="D51" s="900"/>
      <c r="E51" s="900"/>
      <c r="F51" s="900"/>
      <c r="G51" s="901"/>
      <c r="H51" s="590"/>
      <c r="I51" s="591"/>
      <c r="J51" s="590"/>
      <c r="K51" s="591"/>
    </row>
    <row r="52" spans="2:11" ht="37.5" customHeight="1" x14ac:dyDescent="0.35">
      <c r="B52" s="601" t="s">
        <v>1043</v>
      </c>
      <c r="C52" s="899" t="s">
        <v>1076</v>
      </c>
      <c r="D52" s="900"/>
      <c r="E52" s="900"/>
      <c r="F52" s="900"/>
      <c r="G52" s="901"/>
      <c r="H52" s="590"/>
      <c r="I52" s="591"/>
      <c r="J52" s="590"/>
      <c r="K52" s="591"/>
    </row>
    <row r="53" spans="2:11" ht="37.5" customHeight="1" x14ac:dyDescent="0.35">
      <c r="B53" s="601" t="s">
        <v>1045</v>
      </c>
      <c r="C53" s="899" t="s">
        <v>1077</v>
      </c>
      <c r="D53" s="900"/>
      <c r="E53" s="900"/>
      <c r="F53" s="900"/>
      <c r="G53" s="901"/>
      <c r="H53" s="590"/>
      <c r="I53" s="591"/>
      <c r="J53" s="590"/>
      <c r="K53" s="591"/>
    </row>
    <row r="54" spans="2:11" ht="37.5" customHeight="1" x14ac:dyDescent="0.35">
      <c r="B54" s="601" t="s">
        <v>1047</v>
      </c>
      <c r="C54" s="899" t="s">
        <v>1078</v>
      </c>
      <c r="D54" s="900"/>
      <c r="E54" s="900"/>
      <c r="F54" s="900"/>
      <c r="G54" s="901"/>
      <c r="H54" s="590"/>
      <c r="I54" s="591"/>
      <c r="J54" s="590"/>
      <c r="K54" s="591"/>
    </row>
    <row r="55" spans="2:11" ht="37.5" customHeight="1" x14ac:dyDescent="0.35">
      <c r="B55" s="601" t="s">
        <v>1079</v>
      </c>
      <c r="C55" s="899" t="s">
        <v>1080</v>
      </c>
      <c r="D55" s="900"/>
      <c r="E55" s="900"/>
      <c r="F55" s="900"/>
      <c r="G55" s="901"/>
      <c r="H55" s="590"/>
      <c r="I55" s="591"/>
      <c r="J55" s="590"/>
      <c r="K55" s="591"/>
    </row>
    <row r="56" spans="2:11" ht="37.5" customHeight="1" x14ac:dyDescent="0.35">
      <c r="B56" s="601" t="s">
        <v>1051</v>
      </c>
      <c r="C56" s="899" t="s">
        <v>1081</v>
      </c>
      <c r="D56" s="900"/>
      <c r="E56" s="900"/>
      <c r="F56" s="900"/>
      <c r="G56" s="901"/>
      <c r="H56" s="590"/>
      <c r="I56" s="591"/>
      <c r="J56" s="590"/>
      <c r="K56" s="591"/>
    </row>
    <row r="57" spans="2:11" ht="37.5" customHeight="1" x14ac:dyDescent="0.35">
      <c r="B57" s="601" t="s">
        <v>1053</v>
      </c>
      <c r="C57" s="899" t="s">
        <v>1082</v>
      </c>
      <c r="D57" s="900"/>
      <c r="E57" s="900"/>
      <c r="F57" s="900"/>
      <c r="G57" s="901"/>
      <c r="H57" s="590"/>
      <c r="I57" s="591"/>
      <c r="J57" s="590"/>
      <c r="K57" s="591"/>
    </row>
    <row r="58" spans="2:11" ht="37.5" customHeight="1" x14ac:dyDescent="0.35">
      <c r="B58" s="601" t="s">
        <v>1083</v>
      </c>
      <c r="C58" s="899" t="s">
        <v>1084</v>
      </c>
      <c r="D58" s="900"/>
      <c r="E58" s="900"/>
      <c r="F58" s="900"/>
      <c r="G58" s="901"/>
      <c r="H58" s="590"/>
      <c r="I58" s="591"/>
      <c r="J58" s="590"/>
      <c r="K58" s="591"/>
    </row>
    <row r="59" spans="2:11" ht="37.5" customHeight="1" x14ac:dyDescent="0.35">
      <c r="B59" s="601" t="s">
        <v>1085</v>
      </c>
      <c r="C59" s="899" t="s">
        <v>1086</v>
      </c>
      <c r="D59" s="900"/>
      <c r="E59" s="900"/>
      <c r="F59" s="900"/>
      <c r="G59" s="901"/>
      <c r="H59" s="590"/>
      <c r="I59" s="591"/>
      <c r="J59" s="590"/>
      <c r="K59" s="591"/>
    </row>
    <row r="60" spans="2:11" ht="37.5" customHeight="1" x14ac:dyDescent="0.35">
      <c r="B60" s="601" t="s">
        <v>1087</v>
      </c>
      <c r="C60" s="899" t="s">
        <v>1088</v>
      </c>
      <c r="D60" s="900"/>
      <c r="E60" s="900"/>
      <c r="F60" s="900"/>
      <c r="G60" s="901"/>
      <c r="H60" s="590"/>
      <c r="I60" s="591"/>
      <c r="J60" s="590"/>
      <c r="K60" s="591"/>
    </row>
    <row r="61" spans="2:11" ht="37.5" customHeight="1" x14ac:dyDescent="0.35">
      <c r="B61" s="601" t="s">
        <v>1089</v>
      </c>
      <c r="C61" s="899" t="s">
        <v>1090</v>
      </c>
      <c r="D61" s="900"/>
      <c r="E61" s="900"/>
      <c r="F61" s="900"/>
      <c r="G61" s="901"/>
      <c r="H61" s="590"/>
      <c r="I61" s="591"/>
      <c r="J61" s="590"/>
      <c r="K61" s="591"/>
    </row>
    <row r="62" spans="2:11" ht="37.5" customHeight="1" x14ac:dyDescent="0.35">
      <c r="B62" s="600" t="s">
        <v>1091</v>
      </c>
      <c r="C62" s="899" t="s">
        <v>1092</v>
      </c>
      <c r="D62" s="900"/>
      <c r="E62" s="900"/>
      <c r="F62" s="900"/>
      <c r="G62" s="901"/>
      <c r="H62" s="590"/>
      <c r="I62" s="591"/>
      <c r="J62" s="590"/>
      <c r="K62" s="591"/>
    </row>
    <row r="63" spans="2:11" ht="37.5" customHeight="1" x14ac:dyDescent="0.35">
      <c r="B63" s="600" t="s">
        <v>1093</v>
      </c>
      <c r="C63" s="899" t="s">
        <v>1094</v>
      </c>
      <c r="D63" s="900"/>
      <c r="E63" s="900"/>
      <c r="F63" s="900"/>
      <c r="G63" s="901"/>
      <c r="H63" s="590"/>
      <c r="I63" s="591"/>
      <c r="J63" s="590"/>
      <c r="K63" s="591"/>
    </row>
    <row r="64" spans="2:11" ht="37.5" customHeight="1" x14ac:dyDescent="0.35">
      <c r="B64" s="600" t="s">
        <v>1095</v>
      </c>
      <c r="C64" s="899" t="s">
        <v>1096</v>
      </c>
      <c r="D64" s="900"/>
      <c r="E64" s="900"/>
      <c r="F64" s="900"/>
      <c r="G64" s="901"/>
      <c r="H64" s="590"/>
      <c r="I64" s="592"/>
      <c r="J64" s="590"/>
      <c r="K64" s="591"/>
    </row>
    <row r="65" spans="2:39" ht="37.5" customHeight="1" x14ac:dyDescent="0.35">
      <c r="B65" s="600" t="s">
        <v>1097</v>
      </c>
      <c r="C65" s="899" t="s">
        <v>1098</v>
      </c>
      <c r="D65" s="900"/>
      <c r="E65" s="900"/>
      <c r="F65" s="900"/>
      <c r="G65" s="901"/>
      <c r="H65" s="590"/>
      <c r="I65" s="592"/>
      <c r="J65" s="590"/>
      <c r="K65" s="591"/>
    </row>
    <row r="66" spans="2:39" ht="37.5" customHeight="1" thickBot="1" x14ac:dyDescent="0.4">
      <c r="B66" s="606" t="s">
        <v>1099</v>
      </c>
      <c r="C66" s="896" t="s">
        <v>1100</v>
      </c>
      <c r="D66" s="897"/>
      <c r="E66" s="897"/>
      <c r="F66" s="897"/>
      <c r="G66" s="898"/>
      <c r="H66" s="593"/>
      <c r="I66" s="594"/>
      <c r="J66" s="593"/>
      <c r="K66" s="595"/>
    </row>
    <row r="67" spans="2:39" x14ac:dyDescent="0.35">
      <c r="B67" s="528"/>
      <c r="G67" s="565"/>
      <c r="H67" s="565"/>
      <c r="I67" s="565"/>
      <c r="J67" s="565"/>
      <c r="K67" s="565"/>
      <c r="L67" s="565"/>
      <c r="M67" s="565"/>
      <c r="N67" s="565"/>
      <c r="O67" s="565"/>
      <c r="P67" s="565"/>
      <c r="Q67" s="565"/>
      <c r="R67" s="565"/>
      <c r="S67" s="565"/>
      <c r="T67" s="565"/>
      <c r="U67" s="565"/>
      <c r="V67" s="565"/>
      <c r="W67" s="565"/>
      <c r="X67" s="565"/>
      <c r="Y67" s="565"/>
      <c r="Z67" s="565"/>
      <c r="AA67" s="565"/>
      <c r="AB67" s="565"/>
      <c r="AC67" s="565"/>
      <c r="AD67" s="565"/>
      <c r="AE67" s="565"/>
      <c r="AF67" s="565"/>
      <c r="AG67" s="565"/>
      <c r="AH67" s="565"/>
      <c r="AI67" s="565"/>
      <c r="AJ67" s="565"/>
      <c r="AK67" s="565"/>
      <c r="AL67" s="565"/>
      <c r="AM67" s="565"/>
    </row>
    <row r="68" spans="2:39" x14ac:dyDescent="0.35">
      <c r="B68" s="528"/>
      <c r="G68" s="565"/>
      <c r="J68" s="602" t="s">
        <v>1019</v>
      </c>
      <c r="K68" s="602"/>
      <c r="L68" s="602" t="s">
        <v>1020</v>
      </c>
    </row>
  </sheetData>
  <mergeCells count="51">
    <mergeCell ref="C60:G60"/>
    <mergeCell ref="C61:G61"/>
    <mergeCell ref="C62:G62"/>
    <mergeCell ref="C51:G51"/>
    <mergeCell ref="C52:G52"/>
    <mergeCell ref="C53:G53"/>
    <mergeCell ref="E3:G6"/>
    <mergeCell ref="C19:G19"/>
    <mergeCell ref="C20:G20"/>
    <mergeCell ref="C21:G21"/>
    <mergeCell ref="C22:G22"/>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B38:G38"/>
    <mergeCell ref="C41:G41"/>
    <mergeCell ref="C42:G42"/>
    <mergeCell ref="C43:G43"/>
    <mergeCell ref="C44:G44"/>
    <mergeCell ref="C39:G39"/>
    <mergeCell ref="C40:G40"/>
    <mergeCell ref="C35:G35"/>
    <mergeCell ref="C36:G36"/>
    <mergeCell ref="C37:G37"/>
    <mergeCell ref="C29:G29"/>
    <mergeCell ref="C30:G30"/>
    <mergeCell ref="C31:G31"/>
    <mergeCell ref="C32:G32"/>
    <mergeCell ref="C33:G33"/>
    <mergeCell ref="C34:G34"/>
    <mergeCell ref="C28:G28"/>
    <mergeCell ref="B14:G14"/>
    <mergeCell ref="B18:G18"/>
    <mergeCell ref="C23:G23"/>
    <mergeCell ref="C24:G24"/>
    <mergeCell ref="C25:G25"/>
    <mergeCell ref="C26:G26"/>
    <mergeCell ref="C27:G27"/>
  </mergeCells>
  <conditionalFormatting sqref="H17:I17">
    <cfRule type="cellIs" dxfId="47" priority="1" operator="equal">
      <formula>"KO"</formula>
    </cfRule>
    <cfRule type="cellIs" dxfId="46"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CT88"/>
  <sheetViews>
    <sheetView showGridLines="0" zoomScale="90" zoomScaleNormal="90" workbookViewId="0">
      <pane xSplit="2" topLeftCell="C1" activePane="topRight" state="frozen"/>
      <selection activeCell="I36" sqref="I36"/>
      <selection pane="topRight" activeCell="B17" sqref="B17"/>
    </sheetView>
  </sheetViews>
  <sheetFormatPr defaultColWidth="9.1796875" defaultRowHeight="12.5" x14ac:dyDescent="0.25"/>
  <cols>
    <col min="1" max="1" width="1.1796875" style="206" customWidth="1"/>
    <col min="2" max="2" width="31.54296875" bestFit="1" customWidth="1"/>
    <col min="3" max="3" width="12.81640625" bestFit="1" customWidth="1"/>
    <col min="4" max="9" width="14.7265625" customWidth="1"/>
    <col min="10" max="10" width="15.7265625" bestFit="1" customWidth="1"/>
    <col min="11" max="13" width="15.7265625" customWidth="1"/>
    <col min="14" max="26" width="14.7265625" customWidth="1"/>
    <col min="27" max="27" width="15.7265625" customWidth="1"/>
    <col min="28" max="28" width="15.54296875" bestFit="1" customWidth="1"/>
    <col min="29" max="34" width="15.54296875" customWidth="1"/>
    <col min="35" max="35" width="20.1796875" style="5" bestFit="1" customWidth="1"/>
    <col min="36" max="37" width="14.7265625" style="5" customWidth="1"/>
    <col min="38" max="38" width="20.1796875" style="5" bestFit="1" customWidth="1"/>
    <col min="39" max="40" width="14.7265625" style="5" customWidth="1"/>
    <col min="41" max="41" width="20.1796875" style="5" bestFit="1" customWidth="1"/>
    <col min="42" max="43" width="14.7265625" style="5" customWidth="1"/>
    <col min="44" max="44" width="2.54296875" customWidth="1"/>
    <col min="45" max="70" width="17.54296875" customWidth="1"/>
    <col min="71" max="76" width="16.26953125" customWidth="1"/>
    <col min="77" max="77" width="17.54296875" customWidth="1"/>
    <col min="78" max="78" width="10.26953125" bestFit="1" customWidth="1"/>
    <col min="79" max="80" width="17.54296875" customWidth="1"/>
    <col min="81" max="81" width="10.26953125" bestFit="1" customWidth="1"/>
    <col min="82" max="83" width="17.54296875" customWidth="1"/>
    <col min="84" max="84" width="10.26953125" bestFit="1" customWidth="1"/>
    <col min="85" max="85" width="17.54296875" customWidth="1"/>
    <col min="86" max="86" width="2.54296875" customWidth="1"/>
    <col min="87" max="87" width="12.81640625" bestFit="1" customWidth="1"/>
    <col min="88" max="89" width="14.7265625" customWidth="1"/>
    <col min="90" max="92" width="15.7265625" customWidth="1"/>
    <col min="93" max="93" width="12.81640625" bestFit="1" customWidth="1"/>
    <col min="94" max="94" width="14.7265625" customWidth="1"/>
    <col min="95" max="95" width="19.54296875" customWidth="1"/>
    <col min="96" max="98" width="15.7265625" customWidth="1"/>
  </cols>
  <sheetData>
    <row r="2" spans="2:98" x14ac:dyDescent="0.25">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456"/>
      <c r="AJ2" s="456"/>
      <c r="AK2" s="456"/>
      <c r="AL2" s="456"/>
      <c r="AM2" s="456"/>
      <c r="AN2" s="456"/>
      <c r="AO2" s="456"/>
      <c r="AP2" s="456"/>
      <c r="AQ2" s="456"/>
      <c r="AR2" s="169"/>
      <c r="AS2" s="169"/>
      <c r="AT2" s="169"/>
      <c r="AU2" s="169"/>
      <c r="AV2" s="169"/>
      <c r="AW2" s="169"/>
      <c r="AX2" s="169"/>
      <c r="AY2" s="169"/>
      <c r="AZ2" s="169"/>
      <c r="BA2" s="169"/>
      <c r="BB2" s="169"/>
      <c r="BC2" s="169"/>
      <c r="BD2" s="169"/>
      <c r="BE2" s="169"/>
      <c r="BF2" s="169"/>
      <c r="BG2" s="169"/>
      <c r="BH2" s="169"/>
      <c r="BI2" s="169"/>
      <c r="BJ2" s="169"/>
      <c r="BK2" s="169"/>
      <c r="BL2" s="169"/>
      <c r="BM2" s="169"/>
      <c r="BN2" s="169"/>
      <c r="BO2" s="169"/>
      <c r="BP2" s="169"/>
      <c r="BQ2" s="169"/>
      <c r="BR2" s="169"/>
      <c r="BS2" s="169"/>
      <c r="BT2" s="169"/>
      <c r="BU2" s="169"/>
      <c r="BV2" s="169"/>
      <c r="BW2" s="169"/>
      <c r="BX2" s="169"/>
      <c r="BY2" s="169"/>
      <c r="BZ2" s="169"/>
      <c r="CA2" s="169"/>
      <c r="CB2" s="169"/>
      <c r="CC2" s="169"/>
      <c r="CD2" s="169"/>
      <c r="CE2" s="169"/>
      <c r="CF2" s="169"/>
      <c r="CG2" s="169"/>
      <c r="CH2" s="169"/>
      <c r="CI2" s="169"/>
      <c r="CJ2" s="169"/>
      <c r="CK2" s="169"/>
      <c r="CL2" s="169"/>
      <c r="CM2" s="169"/>
      <c r="CN2" s="169"/>
      <c r="CO2" s="169"/>
      <c r="CP2" s="169"/>
      <c r="CQ2" s="169"/>
      <c r="CR2" s="169"/>
      <c r="CS2" s="169"/>
      <c r="CT2" s="169"/>
    </row>
    <row r="3" spans="2:98" ht="13" x14ac:dyDescent="0.25">
      <c r="B3" s="33"/>
      <c r="C3" s="33"/>
      <c r="D3" s="33"/>
      <c r="E3" s="33"/>
      <c r="F3" s="33"/>
      <c r="G3" s="33"/>
      <c r="H3" s="33"/>
      <c r="I3" s="33"/>
      <c r="J3" s="33"/>
      <c r="K3" s="33"/>
      <c r="L3" s="33"/>
      <c r="M3" s="33"/>
      <c r="N3" s="33"/>
      <c r="O3" s="33"/>
      <c r="P3" s="33"/>
      <c r="Q3" s="33"/>
      <c r="R3" s="33"/>
      <c r="S3" s="33"/>
      <c r="T3" s="33"/>
      <c r="U3" s="33"/>
      <c r="V3" s="33"/>
      <c r="W3" s="169"/>
      <c r="X3" s="169"/>
      <c r="Y3" s="169"/>
      <c r="Z3" s="169"/>
      <c r="AA3" s="33"/>
      <c r="AB3" s="33"/>
      <c r="AC3" s="33"/>
      <c r="AD3" s="33"/>
      <c r="AE3" s="33"/>
      <c r="AF3" s="33"/>
      <c r="AG3" s="33"/>
      <c r="AH3" s="33"/>
      <c r="AI3" s="254"/>
      <c r="AJ3" s="254"/>
      <c r="AK3" s="254"/>
      <c r="AL3" s="254"/>
      <c r="AM3" s="254"/>
      <c r="AN3" s="254"/>
      <c r="AO3" s="254"/>
      <c r="AP3" s="254"/>
      <c r="AQ3" s="254"/>
      <c r="AR3" s="33"/>
      <c r="BS3" s="165"/>
      <c r="BT3" s="165"/>
      <c r="BU3" s="165"/>
      <c r="BV3" s="165"/>
      <c r="BW3" s="165"/>
      <c r="BX3" s="165"/>
      <c r="CA3" s="165"/>
      <c r="CD3" s="165"/>
      <c r="CG3" s="165"/>
      <c r="CH3" s="33"/>
      <c r="CI3" s="33"/>
      <c r="CJ3" s="33"/>
      <c r="CK3" s="33"/>
      <c r="CL3" s="33"/>
      <c r="CM3" s="33"/>
      <c r="CN3" s="33"/>
      <c r="CO3" s="33"/>
      <c r="CP3" s="33"/>
      <c r="CQ3" s="33"/>
      <c r="CR3" s="33"/>
      <c r="CS3" s="33"/>
      <c r="CT3" s="33"/>
    </row>
    <row r="4" spans="2:98" ht="13" x14ac:dyDescent="0.25">
      <c r="B4" s="33"/>
      <c r="C4" s="33"/>
      <c r="D4" s="33"/>
      <c r="E4" s="33"/>
      <c r="F4" s="33"/>
      <c r="G4" s="33"/>
      <c r="H4" s="33"/>
      <c r="I4" s="33"/>
      <c r="J4" s="33"/>
      <c r="K4" s="33"/>
      <c r="L4" s="33"/>
      <c r="M4" s="33"/>
      <c r="N4" s="33"/>
      <c r="O4" s="33"/>
      <c r="P4" s="33"/>
      <c r="Q4" s="33"/>
      <c r="R4" s="33"/>
      <c r="S4" s="33"/>
      <c r="T4" s="33"/>
      <c r="U4" s="33"/>
      <c r="V4" s="33"/>
      <c r="W4" s="169"/>
      <c r="X4" s="169"/>
      <c r="Y4" s="169"/>
      <c r="Z4" s="169"/>
      <c r="AA4" s="33"/>
      <c r="AB4" s="33"/>
      <c r="AC4" s="33"/>
      <c r="AD4" s="33"/>
      <c r="AE4" s="33"/>
      <c r="AF4" s="33"/>
      <c r="AG4" s="33"/>
      <c r="AH4" s="33"/>
      <c r="AI4" s="254"/>
      <c r="AJ4" s="254"/>
      <c r="AK4" s="254"/>
      <c r="AL4" s="254"/>
      <c r="AM4" s="254"/>
      <c r="AN4" s="254"/>
      <c r="AO4" s="254"/>
      <c r="AP4" s="254"/>
      <c r="AQ4" s="254"/>
      <c r="AR4" s="33"/>
      <c r="BS4" s="165"/>
      <c r="BT4" s="165"/>
      <c r="BU4" s="165"/>
      <c r="BV4" s="165"/>
      <c r="BW4" s="165"/>
      <c r="BX4" s="165"/>
      <c r="CA4" s="165"/>
      <c r="CD4" s="165"/>
      <c r="CG4" s="165"/>
      <c r="CH4" s="33"/>
      <c r="CI4" s="33"/>
      <c r="CJ4" s="33"/>
      <c r="CK4" s="33"/>
      <c r="CL4" s="33"/>
      <c r="CM4" s="33"/>
      <c r="CN4" s="33"/>
      <c r="CO4" s="33"/>
      <c r="CP4" s="33"/>
      <c r="CQ4" s="33"/>
      <c r="CR4" s="33"/>
      <c r="CS4" s="33"/>
      <c r="CT4" s="33"/>
    </row>
    <row r="5" spans="2:98" ht="13" x14ac:dyDescent="0.25">
      <c r="B5" s="33"/>
      <c r="C5" s="33"/>
      <c r="D5" s="33"/>
      <c r="E5" s="33"/>
      <c r="F5" s="33"/>
      <c r="G5" s="33"/>
      <c r="H5" s="33"/>
      <c r="I5" s="33"/>
      <c r="J5" s="33"/>
      <c r="K5" s="33"/>
      <c r="L5" s="33"/>
      <c r="M5" s="33"/>
      <c r="N5" s="33"/>
      <c r="O5" s="33"/>
      <c r="P5" s="33"/>
      <c r="Q5" s="33"/>
      <c r="R5" s="33"/>
      <c r="S5" s="33"/>
      <c r="T5" s="254"/>
      <c r="U5" s="33"/>
      <c r="V5" s="33"/>
      <c r="W5" s="169"/>
      <c r="X5" s="169"/>
      <c r="Y5" s="169"/>
      <c r="Z5" s="169"/>
      <c r="AA5" s="33"/>
      <c r="AB5" s="33"/>
      <c r="AC5" s="33"/>
      <c r="AD5" s="33"/>
      <c r="AE5" s="33"/>
      <c r="AF5" s="33"/>
      <c r="AG5" s="33"/>
      <c r="AH5" s="33"/>
      <c r="AI5" s="254"/>
      <c r="AJ5" s="254"/>
      <c r="AK5" s="254"/>
      <c r="AL5" s="254"/>
      <c r="AM5" s="254"/>
      <c r="AN5" s="254"/>
      <c r="AO5" s="254"/>
      <c r="AP5" s="254"/>
      <c r="AQ5" s="254"/>
      <c r="AR5" s="33"/>
      <c r="BS5" s="165"/>
      <c r="BT5" s="165"/>
      <c r="BU5" s="165"/>
      <c r="BV5" s="165"/>
      <c r="BW5" s="165"/>
      <c r="BX5" s="165"/>
      <c r="CA5" s="165"/>
      <c r="CD5" s="165"/>
      <c r="CG5" s="165"/>
      <c r="CH5" s="33"/>
      <c r="CI5" s="33"/>
      <c r="CJ5" s="33"/>
      <c r="CK5" s="33"/>
      <c r="CL5" s="33"/>
      <c r="CM5" s="33"/>
      <c r="CN5" s="33"/>
      <c r="CO5" s="33"/>
      <c r="CP5" s="33"/>
      <c r="CQ5" s="33"/>
      <c r="CR5" s="33"/>
      <c r="CS5" s="33"/>
      <c r="CT5" s="33"/>
    </row>
    <row r="6" spans="2:98" x14ac:dyDescent="0.25">
      <c r="B6" s="33"/>
      <c r="C6" s="33"/>
      <c r="D6" s="33"/>
      <c r="E6" s="33"/>
      <c r="F6" s="33"/>
      <c r="G6" s="33"/>
      <c r="H6" s="33"/>
      <c r="I6" s="33"/>
      <c r="J6" s="33"/>
      <c r="K6" s="33"/>
      <c r="L6" s="33"/>
      <c r="M6" s="33"/>
      <c r="N6" s="33"/>
      <c r="O6" s="33"/>
      <c r="P6" s="33"/>
      <c r="Q6" s="33"/>
      <c r="R6" s="33"/>
      <c r="S6" s="33"/>
      <c r="T6" s="33"/>
      <c r="U6" s="33"/>
      <c r="V6" s="33"/>
      <c r="W6" s="169"/>
      <c r="X6" s="169"/>
      <c r="Y6" s="169"/>
      <c r="Z6" s="169"/>
      <c r="AA6" s="33"/>
      <c r="AB6" s="254"/>
      <c r="AC6" s="254"/>
      <c r="AD6" s="254"/>
      <c r="AE6" s="254"/>
      <c r="AF6" s="254"/>
      <c r="AG6" s="254"/>
      <c r="AH6" s="254"/>
      <c r="AI6" s="254"/>
      <c r="AJ6" s="254"/>
      <c r="AK6" s="254"/>
      <c r="AL6" s="254"/>
      <c r="AM6" s="254"/>
      <c r="AN6" s="254"/>
      <c r="AO6" s="254"/>
      <c r="AP6" s="254"/>
      <c r="AQ6" s="254"/>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row>
    <row r="7" spans="2:98" x14ac:dyDescent="0.25">
      <c r="AB7" s="5"/>
      <c r="AC7" s="5"/>
      <c r="AD7" s="5"/>
      <c r="AE7" s="5"/>
      <c r="AF7" s="5"/>
      <c r="AG7" s="5"/>
      <c r="AH7" s="5"/>
    </row>
    <row r="8" spans="2:98" ht="15.5" x14ac:dyDescent="0.35">
      <c r="B8" s="727" t="s">
        <v>1239</v>
      </c>
      <c r="C8" s="728"/>
      <c r="D8" s="731"/>
      <c r="E8" s="731"/>
      <c r="F8" s="731"/>
      <c r="G8" s="731"/>
      <c r="H8" s="731"/>
      <c r="I8" s="731"/>
      <c r="J8" s="731"/>
      <c r="K8" s="731"/>
      <c r="L8" s="731"/>
      <c r="M8" s="731"/>
      <c r="N8" s="731"/>
      <c r="O8" s="731"/>
      <c r="P8" s="731"/>
      <c r="Q8" s="731"/>
      <c r="R8" s="731"/>
      <c r="S8" s="731"/>
      <c r="T8" s="731"/>
      <c r="U8" s="731"/>
      <c r="V8" s="731"/>
      <c r="W8" s="731"/>
      <c r="X8" s="731"/>
      <c r="Y8" s="731"/>
      <c r="Z8" s="751"/>
      <c r="AA8" s="751"/>
      <c r="AB8" s="751"/>
      <c r="AC8" s="731"/>
      <c r="AD8" s="731"/>
      <c r="AE8" s="731"/>
      <c r="AF8" s="731"/>
      <c r="AG8" s="731"/>
      <c r="AH8" s="731"/>
      <c r="AI8" s="752"/>
      <c r="AJ8" s="752"/>
      <c r="AK8" s="753"/>
      <c r="AL8" s="752"/>
      <c r="AM8" s="752"/>
      <c r="AN8" s="753"/>
      <c r="AO8" s="752"/>
      <c r="AP8" s="752"/>
      <c r="AQ8" s="753"/>
      <c r="AR8" s="754"/>
      <c r="AS8" s="754"/>
      <c r="AT8" s="755"/>
      <c r="AU8" s="755"/>
      <c r="AV8" s="755"/>
      <c r="AW8" s="755"/>
      <c r="AX8" s="755"/>
      <c r="AY8" s="755"/>
      <c r="AZ8" s="755"/>
      <c r="BA8" s="755"/>
      <c r="BB8" s="755"/>
      <c r="BC8" s="755"/>
      <c r="BD8" s="755"/>
      <c r="BE8" s="755"/>
      <c r="BF8" s="755"/>
      <c r="BG8" s="755"/>
      <c r="BH8" s="755"/>
      <c r="BI8" s="755"/>
      <c r="BJ8" s="755"/>
      <c r="BK8" s="755"/>
      <c r="BL8" s="755"/>
      <c r="BM8" s="755"/>
      <c r="BN8" s="755"/>
      <c r="BO8" s="755"/>
      <c r="BP8" s="755"/>
      <c r="BQ8" s="755"/>
      <c r="BR8" s="755"/>
      <c r="BS8" s="754"/>
      <c r="BT8" s="755"/>
      <c r="BU8" s="755"/>
      <c r="BV8" s="754"/>
      <c r="BW8" s="755"/>
      <c r="BX8" s="755"/>
      <c r="BY8" s="754"/>
      <c r="BZ8" s="754"/>
      <c r="CA8" s="754"/>
      <c r="CB8" s="754"/>
      <c r="CC8" s="754"/>
      <c r="CD8" s="754"/>
      <c r="CE8" s="754"/>
      <c r="CF8" s="754"/>
      <c r="CG8" s="754"/>
      <c r="CH8" s="754"/>
      <c r="CI8" s="754"/>
      <c r="CJ8" s="754"/>
      <c r="CK8" s="754"/>
      <c r="CL8" s="731"/>
      <c r="CM8" s="731"/>
      <c r="CN8" s="731"/>
      <c r="CO8" s="754"/>
      <c r="CP8" s="754"/>
      <c r="CQ8" s="754"/>
      <c r="CR8" s="731"/>
      <c r="CS8" s="731"/>
      <c r="CT8" s="731"/>
    </row>
    <row r="9" spans="2:98" x14ac:dyDescent="0.25">
      <c r="CP9" s="5"/>
    </row>
    <row r="10" spans="2:98" x14ac:dyDescent="0.25">
      <c r="J10" s="3"/>
      <c r="AI10" s="457"/>
      <c r="CN10" s="5"/>
    </row>
    <row r="11" spans="2:98" ht="13.5" thickBot="1" x14ac:dyDescent="0.35">
      <c r="B11" s="2"/>
      <c r="K11" s="3"/>
      <c r="L11" s="3"/>
      <c r="M11" s="3"/>
      <c r="CL11" s="3"/>
      <c r="CM11" s="3"/>
      <c r="CN11" s="3"/>
      <c r="CR11" s="3"/>
      <c r="CS11" s="3"/>
      <c r="CT11" s="3"/>
    </row>
    <row r="12" spans="2:98" ht="17.25" customHeight="1" thickBot="1" x14ac:dyDescent="0.35">
      <c r="B12" s="2"/>
      <c r="C12" s="756" t="s">
        <v>218</v>
      </c>
      <c r="D12" s="756"/>
      <c r="E12" s="756"/>
      <c r="F12" s="756"/>
      <c r="G12" s="756"/>
      <c r="H12" s="756"/>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7"/>
      <c r="AJ12" s="757"/>
      <c r="AK12" s="757"/>
      <c r="AL12" s="757"/>
      <c r="AM12" s="757"/>
      <c r="AN12" s="757"/>
      <c r="AO12" s="757"/>
      <c r="AP12" s="757"/>
      <c r="AQ12" s="757"/>
      <c r="AS12" s="406" t="s">
        <v>219</v>
      </c>
      <c r="AT12" s="407"/>
      <c r="AU12" s="407"/>
      <c r="AV12" s="407"/>
      <c r="AW12" s="407"/>
      <c r="AX12" s="407"/>
      <c r="AY12" s="407"/>
      <c r="AZ12" s="407"/>
      <c r="BA12" s="407"/>
      <c r="BB12" s="407"/>
      <c r="BC12" s="407"/>
      <c r="BD12" s="407"/>
      <c r="BE12" s="407"/>
      <c r="BF12" s="407"/>
      <c r="BG12" s="407"/>
      <c r="BH12" s="407"/>
      <c r="BI12" s="407"/>
      <c r="BJ12" s="407"/>
      <c r="BK12" s="407"/>
      <c r="BL12" s="407"/>
      <c r="BM12" s="407"/>
      <c r="BN12" s="407"/>
      <c r="BO12" s="407"/>
      <c r="BP12" s="407"/>
      <c r="BQ12" s="407"/>
      <c r="BR12" s="407"/>
      <c r="BS12" s="407"/>
      <c r="BT12" s="407"/>
      <c r="BU12" s="407"/>
      <c r="BV12" s="407"/>
      <c r="BW12" s="407"/>
      <c r="BX12" s="407"/>
      <c r="BY12" s="407"/>
      <c r="BZ12" s="407"/>
      <c r="CA12" s="408"/>
      <c r="CB12" s="407"/>
      <c r="CC12" s="407"/>
      <c r="CD12" s="408"/>
      <c r="CE12" s="407"/>
      <c r="CF12" s="407"/>
      <c r="CG12" s="408"/>
      <c r="CI12" s="928" t="s">
        <v>248</v>
      </c>
      <c r="CJ12" s="929"/>
      <c r="CK12" s="929"/>
      <c r="CL12" s="929"/>
      <c r="CM12" s="929"/>
      <c r="CN12" s="929"/>
      <c r="CO12" s="929"/>
      <c r="CP12" s="929"/>
      <c r="CQ12" s="929"/>
      <c r="CR12" s="929"/>
      <c r="CS12" s="929"/>
      <c r="CT12" s="930"/>
    </row>
    <row r="13" spans="2:98" ht="17.25" customHeight="1" thickBot="1" x14ac:dyDescent="0.35">
      <c r="B13" s="2"/>
      <c r="C13" s="758" t="s">
        <v>205</v>
      </c>
      <c r="D13" s="759"/>
      <c r="E13" s="759"/>
      <c r="F13" s="759"/>
      <c r="G13" s="759"/>
      <c r="H13" s="759"/>
      <c r="I13" s="759"/>
      <c r="J13" s="759"/>
      <c r="K13" s="760"/>
      <c r="L13" s="759"/>
      <c r="M13" s="759"/>
      <c r="N13" s="758" t="s">
        <v>206</v>
      </c>
      <c r="O13" s="759"/>
      <c r="P13" s="759"/>
      <c r="Q13" s="759"/>
      <c r="R13" s="759"/>
      <c r="S13" s="759"/>
      <c r="T13" s="759"/>
      <c r="U13" s="759"/>
      <c r="V13" s="759"/>
      <c r="W13" s="759"/>
      <c r="X13" s="759"/>
      <c r="Y13" s="759"/>
      <c r="Z13" s="759"/>
      <c r="AA13" s="759"/>
      <c r="AB13" s="759"/>
      <c r="AC13" s="759"/>
      <c r="AD13" s="759"/>
      <c r="AE13" s="759"/>
      <c r="AF13" s="759"/>
      <c r="AG13" s="759"/>
      <c r="AH13" s="759"/>
      <c r="AI13" s="761"/>
      <c r="AJ13" s="761"/>
      <c r="AK13" s="761"/>
      <c r="AL13" s="761"/>
      <c r="AM13" s="761"/>
      <c r="AN13" s="761"/>
      <c r="AO13" s="761"/>
      <c r="AP13" s="761"/>
      <c r="AQ13" s="761"/>
      <c r="AS13" s="406" t="s">
        <v>205</v>
      </c>
      <c r="AT13" s="407"/>
      <c r="AU13" s="407"/>
      <c r="AV13" s="407"/>
      <c r="AW13" s="407"/>
      <c r="AX13" s="407"/>
      <c r="AY13" s="407"/>
      <c r="AZ13" s="407"/>
      <c r="BA13" s="408"/>
      <c r="BB13" s="408"/>
      <c r="BC13" s="408"/>
      <c r="BD13" s="406" t="s">
        <v>206</v>
      </c>
      <c r="BE13" s="407"/>
      <c r="BF13" s="407"/>
      <c r="BG13" s="407"/>
      <c r="BH13" s="407"/>
      <c r="BI13" s="407"/>
      <c r="BJ13" s="407"/>
      <c r="BK13" s="407"/>
      <c r="BL13" s="407"/>
      <c r="BM13" s="407"/>
      <c r="BN13" s="407"/>
      <c r="BO13" s="407"/>
      <c r="BP13" s="407"/>
      <c r="BQ13" s="407"/>
      <c r="BR13" s="407"/>
      <c r="BS13" s="407"/>
      <c r="BT13" s="407"/>
      <c r="BU13" s="407"/>
      <c r="BV13" s="407"/>
      <c r="BW13" s="407"/>
      <c r="BX13" s="407"/>
      <c r="BY13" s="407"/>
      <c r="BZ13" s="407"/>
      <c r="CA13" s="407"/>
      <c r="CB13" s="407"/>
      <c r="CC13" s="407"/>
      <c r="CD13" s="407"/>
      <c r="CE13" s="407"/>
      <c r="CF13" s="407"/>
      <c r="CG13" s="408"/>
      <c r="CI13" s="931"/>
      <c r="CJ13" s="932"/>
      <c r="CK13" s="932"/>
      <c r="CL13" s="932"/>
      <c r="CM13" s="932"/>
      <c r="CN13" s="932"/>
      <c r="CO13" s="932"/>
      <c r="CP13" s="932"/>
      <c r="CQ13" s="932"/>
      <c r="CR13" s="932"/>
      <c r="CS13" s="932"/>
      <c r="CT13" s="933"/>
    </row>
    <row r="14" spans="2:98" ht="52.5" customHeight="1" thickBot="1" x14ac:dyDescent="0.3">
      <c r="B14" s="924" t="s">
        <v>1137</v>
      </c>
      <c r="C14" s="926" t="s">
        <v>173</v>
      </c>
      <c r="D14" s="912" t="s">
        <v>136</v>
      </c>
      <c r="E14" s="912" t="s">
        <v>137</v>
      </c>
      <c r="F14" s="912" t="s">
        <v>225</v>
      </c>
      <c r="G14" s="912" t="s">
        <v>227</v>
      </c>
      <c r="H14" s="912" t="s">
        <v>228</v>
      </c>
      <c r="I14" s="912" t="s">
        <v>254</v>
      </c>
      <c r="J14" s="912" t="s">
        <v>138</v>
      </c>
      <c r="K14" s="914" t="s">
        <v>240</v>
      </c>
      <c r="L14" s="922" t="s">
        <v>241</v>
      </c>
      <c r="M14" s="922" t="s">
        <v>214</v>
      </c>
      <c r="N14" s="436" t="s">
        <v>207</v>
      </c>
      <c r="O14" s="436"/>
      <c r="P14" s="436"/>
      <c r="Q14" s="436" t="s">
        <v>208</v>
      </c>
      <c r="R14" s="436"/>
      <c r="S14" s="436"/>
      <c r="T14" s="436" t="s">
        <v>209</v>
      </c>
      <c r="U14" s="436"/>
      <c r="V14" s="436"/>
      <c r="W14" s="436" t="s">
        <v>210</v>
      </c>
      <c r="X14" s="436"/>
      <c r="Y14" s="436"/>
      <c r="Z14" s="436" t="s">
        <v>255</v>
      </c>
      <c r="AA14" s="436"/>
      <c r="AB14" s="436"/>
      <c r="AC14" s="436" t="s">
        <v>256</v>
      </c>
      <c r="AD14" s="436"/>
      <c r="AE14" s="436"/>
      <c r="AF14" s="436" t="s">
        <v>257</v>
      </c>
      <c r="AG14" s="436"/>
      <c r="AH14" s="436"/>
      <c r="AI14" s="458" t="s">
        <v>242</v>
      </c>
      <c r="AJ14" s="458"/>
      <c r="AK14" s="459"/>
      <c r="AL14" s="458" t="s">
        <v>243</v>
      </c>
      <c r="AM14" s="458"/>
      <c r="AN14" s="459"/>
      <c r="AO14" s="458" t="s">
        <v>214</v>
      </c>
      <c r="AP14" s="458"/>
      <c r="AQ14" s="459"/>
      <c r="AS14" s="920" t="s">
        <v>173</v>
      </c>
      <c r="AT14" s="918" t="s">
        <v>226</v>
      </c>
      <c r="AU14" s="918" t="s">
        <v>136</v>
      </c>
      <c r="AV14" s="918" t="s">
        <v>137</v>
      </c>
      <c r="AW14" s="918" t="s">
        <v>227</v>
      </c>
      <c r="AX14" s="918" t="s">
        <v>228</v>
      </c>
      <c r="AY14" s="918" t="s">
        <v>251</v>
      </c>
      <c r="AZ14" s="918" t="s">
        <v>138</v>
      </c>
      <c r="BA14" s="916" t="s">
        <v>240</v>
      </c>
      <c r="BB14" s="916" t="s">
        <v>241</v>
      </c>
      <c r="BC14" s="934" t="s">
        <v>214</v>
      </c>
      <c r="BD14" s="510" t="s">
        <v>207</v>
      </c>
      <c r="BE14" s="510"/>
      <c r="BF14" s="510"/>
      <c r="BG14" s="510" t="s">
        <v>208</v>
      </c>
      <c r="BH14" s="510"/>
      <c r="BI14" s="510"/>
      <c r="BJ14" s="510" t="s">
        <v>209</v>
      </c>
      <c r="BK14" s="510"/>
      <c r="BL14" s="510"/>
      <c r="BM14" s="510" t="s">
        <v>210</v>
      </c>
      <c r="BN14" s="510"/>
      <c r="BO14" s="510"/>
      <c r="BP14" s="510" t="s">
        <v>258</v>
      </c>
      <c r="BQ14" s="510"/>
      <c r="BR14" s="510"/>
      <c r="BS14" s="510" t="s">
        <v>256</v>
      </c>
      <c r="BT14" s="510"/>
      <c r="BU14" s="510"/>
      <c r="BV14" s="510" t="s">
        <v>252</v>
      </c>
      <c r="BW14" s="510"/>
      <c r="BX14" s="510"/>
      <c r="BY14" s="510" t="s">
        <v>242</v>
      </c>
      <c r="BZ14" s="510"/>
      <c r="CA14" s="511"/>
      <c r="CB14" s="512" t="s">
        <v>243</v>
      </c>
      <c r="CC14" s="510"/>
      <c r="CD14" s="511"/>
      <c r="CE14" s="512" t="s">
        <v>214</v>
      </c>
      <c r="CF14" s="510"/>
      <c r="CG14" s="513"/>
      <c r="CI14" s="936" t="s">
        <v>250</v>
      </c>
      <c r="CJ14" s="938" t="s">
        <v>253</v>
      </c>
      <c r="CK14" s="938" t="s">
        <v>263</v>
      </c>
      <c r="CL14" s="938" t="s">
        <v>259</v>
      </c>
      <c r="CM14" s="938" t="s">
        <v>260</v>
      </c>
      <c r="CN14" s="938" t="s">
        <v>261</v>
      </c>
      <c r="CO14" s="944" t="s">
        <v>262</v>
      </c>
      <c r="CP14" s="938" t="s">
        <v>249</v>
      </c>
      <c r="CQ14" s="938" t="s">
        <v>264</v>
      </c>
      <c r="CR14" s="938" t="s">
        <v>265</v>
      </c>
      <c r="CS14" s="940" t="s">
        <v>266</v>
      </c>
      <c r="CT14" s="942" t="s">
        <v>214</v>
      </c>
    </row>
    <row r="15" spans="2:98" ht="52.5" customHeight="1" thickBot="1" x14ac:dyDescent="0.3">
      <c r="B15" s="925"/>
      <c r="C15" s="927"/>
      <c r="D15" s="913"/>
      <c r="E15" s="913"/>
      <c r="F15" s="913"/>
      <c r="G15" s="913"/>
      <c r="H15" s="913"/>
      <c r="I15" s="913"/>
      <c r="J15" s="913"/>
      <c r="K15" s="915"/>
      <c r="L15" s="923"/>
      <c r="M15" s="923"/>
      <c r="N15" s="437" t="s">
        <v>211</v>
      </c>
      <c r="O15" s="437" t="s">
        <v>212</v>
      </c>
      <c r="P15" s="437" t="s">
        <v>213</v>
      </c>
      <c r="Q15" s="437" t="s">
        <v>211</v>
      </c>
      <c r="R15" s="437" t="s">
        <v>212</v>
      </c>
      <c r="S15" s="437" t="s">
        <v>213</v>
      </c>
      <c r="T15" s="437" t="s">
        <v>211</v>
      </c>
      <c r="U15" s="437" t="s">
        <v>212</v>
      </c>
      <c r="V15" s="437" t="s">
        <v>213</v>
      </c>
      <c r="W15" s="437" t="s">
        <v>211</v>
      </c>
      <c r="X15" s="437" t="s">
        <v>212</v>
      </c>
      <c r="Y15" s="437" t="s">
        <v>213</v>
      </c>
      <c r="Z15" s="437" t="s">
        <v>211</v>
      </c>
      <c r="AA15" s="437" t="s">
        <v>212</v>
      </c>
      <c r="AB15" s="437" t="s">
        <v>213</v>
      </c>
      <c r="AC15" s="437" t="s">
        <v>211</v>
      </c>
      <c r="AD15" s="437" t="s">
        <v>212</v>
      </c>
      <c r="AE15" s="437" t="s">
        <v>213</v>
      </c>
      <c r="AF15" s="437" t="s">
        <v>211</v>
      </c>
      <c r="AG15" s="437" t="s">
        <v>212</v>
      </c>
      <c r="AH15" s="437" t="s">
        <v>213</v>
      </c>
      <c r="AI15" s="460" t="s">
        <v>211</v>
      </c>
      <c r="AJ15" s="460" t="s">
        <v>212</v>
      </c>
      <c r="AK15" s="461" t="s">
        <v>213</v>
      </c>
      <c r="AL15" s="460" t="s">
        <v>211</v>
      </c>
      <c r="AM15" s="460" t="s">
        <v>212</v>
      </c>
      <c r="AN15" s="461" t="s">
        <v>213</v>
      </c>
      <c r="AO15" s="460" t="s">
        <v>211</v>
      </c>
      <c r="AP15" s="460" t="s">
        <v>212</v>
      </c>
      <c r="AQ15" s="461" t="s">
        <v>213</v>
      </c>
      <c r="AS15" s="921"/>
      <c r="AT15" s="919"/>
      <c r="AU15" s="919"/>
      <c r="AV15" s="919"/>
      <c r="AW15" s="919"/>
      <c r="AX15" s="919"/>
      <c r="AY15" s="919"/>
      <c r="AZ15" s="919"/>
      <c r="BA15" s="917"/>
      <c r="BB15" s="917"/>
      <c r="BC15" s="935"/>
      <c r="BD15" s="514" t="s">
        <v>211</v>
      </c>
      <c r="BE15" s="514" t="s">
        <v>212</v>
      </c>
      <c r="BF15" s="514" t="s">
        <v>213</v>
      </c>
      <c r="BG15" s="514" t="s">
        <v>211</v>
      </c>
      <c r="BH15" s="514" t="s">
        <v>212</v>
      </c>
      <c r="BI15" s="514" t="s">
        <v>213</v>
      </c>
      <c r="BJ15" s="514" t="s">
        <v>211</v>
      </c>
      <c r="BK15" s="514" t="s">
        <v>212</v>
      </c>
      <c r="BL15" s="514" t="s">
        <v>213</v>
      </c>
      <c r="BM15" s="514" t="s">
        <v>211</v>
      </c>
      <c r="BN15" s="514" t="s">
        <v>212</v>
      </c>
      <c r="BO15" s="514" t="s">
        <v>213</v>
      </c>
      <c r="BP15" s="514" t="s">
        <v>211</v>
      </c>
      <c r="BQ15" s="514" t="s">
        <v>212</v>
      </c>
      <c r="BR15" s="514" t="s">
        <v>213</v>
      </c>
      <c r="BS15" s="514" t="s">
        <v>211</v>
      </c>
      <c r="BT15" s="514" t="s">
        <v>212</v>
      </c>
      <c r="BU15" s="514" t="s">
        <v>213</v>
      </c>
      <c r="BV15" s="514" t="s">
        <v>211</v>
      </c>
      <c r="BW15" s="514" t="s">
        <v>212</v>
      </c>
      <c r="BX15" s="514" t="s">
        <v>213</v>
      </c>
      <c r="BY15" s="514" t="s">
        <v>211</v>
      </c>
      <c r="BZ15" s="514" t="s">
        <v>212</v>
      </c>
      <c r="CA15" s="515" t="s">
        <v>213</v>
      </c>
      <c r="CB15" s="516" t="s">
        <v>211</v>
      </c>
      <c r="CC15" s="514" t="s">
        <v>212</v>
      </c>
      <c r="CD15" s="515" t="s">
        <v>213</v>
      </c>
      <c r="CE15" s="516" t="s">
        <v>211</v>
      </c>
      <c r="CF15" s="514" t="s">
        <v>212</v>
      </c>
      <c r="CG15" s="517" t="s">
        <v>213</v>
      </c>
      <c r="CI15" s="937"/>
      <c r="CJ15" s="939"/>
      <c r="CK15" s="939"/>
      <c r="CL15" s="939"/>
      <c r="CM15" s="939"/>
      <c r="CN15" s="939"/>
      <c r="CO15" s="945"/>
      <c r="CP15" s="939"/>
      <c r="CQ15" s="939"/>
      <c r="CR15" s="939"/>
      <c r="CS15" s="941"/>
      <c r="CT15" s="943"/>
    </row>
    <row r="16" spans="2:98" ht="3.5" customHeight="1" x14ac:dyDescent="0.25">
      <c r="B16" s="6"/>
      <c r="C16" s="172"/>
      <c r="D16" s="173"/>
      <c r="E16" s="173"/>
      <c r="F16" s="173"/>
      <c r="G16" s="173"/>
      <c r="H16" s="173"/>
      <c r="I16" s="173"/>
      <c r="J16" s="173"/>
      <c r="K16" s="173"/>
      <c r="L16" s="173"/>
      <c r="M16" s="173"/>
      <c r="N16" s="172"/>
      <c r="O16" s="173"/>
      <c r="P16" s="173"/>
      <c r="Q16" s="173"/>
      <c r="R16" s="173"/>
      <c r="S16" s="173"/>
      <c r="T16" s="173"/>
      <c r="U16" s="173"/>
      <c r="V16" s="173"/>
      <c r="W16" s="173"/>
      <c r="X16" s="173"/>
      <c r="Y16" s="173"/>
      <c r="Z16" s="173"/>
      <c r="AA16" s="173"/>
      <c r="AB16" s="173"/>
      <c r="AC16" s="173"/>
      <c r="AD16" s="173"/>
      <c r="AE16" s="173"/>
      <c r="AF16" s="173"/>
      <c r="AG16" s="173"/>
      <c r="AH16" s="173"/>
      <c r="AI16" s="462"/>
      <c r="AJ16" s="462"/>
      <c r="AK16" s="462"/>
      <c r="AL16" s="462"/>
      <c r="AM16" s="462"/>
      <c r="AN16" s="462"/>
      <c r="AO16" s="462"/>
      <c r="AP16" s="462"/>
      <c r="AQ16" s="463"/>
      <c r="AS16" s="7"/>
      <c r="AT16" s="1"/>
      <c r="AU16" s="1"/>
      <c r="AV16" s="1"/>
      <c r="AW16" s="1"/>
      <c r="AX16" s="1"/>
      <c r="AY16" s="1"/>
      <c r="AZ16" s="1"/>
      <c r="BA16" s="1"/>
      <c r="BB16" s="1"/>
      <c r="BC16" s="47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66"/>
      <c r="CI16" s="172"/>
      <c r="CJ16" s="173"/>
      <c r="CK16" s="173"/>
      <c r="CL16" s="173"/>
      <c r="CM16" s="173"/>
      <c r="CN16" s="173"/>
      <c r="CO16" s="173"/>
      <c r="CP16" s="173"/>
      <c r="CQ16" s="173"/>
      <c r="CR16" s="173"/>
      <c r="CS16" s="173"/>
      <c r="CT16" s="509"/>
    </row>
    <row r="17" spans="2:98" s="2" customFormat="1" ht="13" x14ac:dyDescent="0.3">
      <c r="B17" s="215"/>
      <c r="C17" s="483"/>
      <c r="D17" s="485"/>
      <c r="E17" s="485"/>
      <c r="F17" s="485"/>
      <c r="G17" s="485"/>
      <c r="H17" s="485"/>
      <c r="I17" s="485"/>
      <c r="J17" s="485"/>
      <c r="K17" s="486"/>
      <c r="L17" s="487"/>
      <c r="M17" s="487"/>
      <c r="N17" s="488"/>
      <c r="O17" s="488"/>
      <c r="P17" s="488"/>
      <c r="Q17" s="488"/>
      <c r="R17" s="488"/>
      <c r="S17" s="488"/>
      <c r="T17" s="488"/>
      <c r="U17" s="488"/>
      <c r="V17" s="488"/>
      <c r="W17" s="488"/>
      <c r="X17" s="488"/>
      <c r="Y17" s="488"/>
      <c r="Z17" s="488"/>
      <c r="AA17" s="488"/>
      <c r="AB17" s="488"/>
      <c r="AC17" s="488"/>
      <c r="AD17" s="488"/>
      <c r="AE17" s="488"/>
      <c r="AF17" s="488"/>
      <c r="AG17" s="488"/>
      <c r="AH17" s="488"/>
      <c r="AI17" s="489"/>
      <c r="AJ17" s="490"/>
      <c r="AK17" s="491"/>
      <c r="AL17" s="489"/>
      <c r="AM17" s="490"/>
      <c r="AN17" s="491"/>
      <c r="AO17" s="489"/>
      <c r="AP17" s="490"/>
      <c r="AQ17" s="491"/>
      <c r="AR17" s="492"/>
      <c r="AS17" s="483"/>
      <c r="AT17" s="484"/>
      <c r="AU17" s="484"/>
      <c r="AV17" s="484"/>
      <c r="AW17" s="493"/>
      <c r="AX17" s="484"/>
      <c r="AY17" s="493"/>
      <c r="AZ17" s="484"/>
      <c r="BA17" s="494"/>
      <c r="BB17" s="494"/>
      <c r="BC17" s="494"/>
      <c r="BD17" s="483"/>
      <c r="BE17" s="495"/>
      <c r="BF17" s="495"/>
      <c r="BG17" s="484"/>
      <c r="BH17" s="484"/>
      <c r="BI17" s="484"/>
      <c r="BJ17" s="484"/>
      <c r="BK17" s="484"/>
      <c r="BL17" s="484"/>
      <c r="BM17" s="484"/>
      <c r="BN17" s="484"/>
      <c r="BO17" s="484"/>
      <c r="BP17" s="493"/>
      <c r="BQ17" s="493"/>
      <c r="BR17" s="493"/>
      <c r="BS17" s="485"/>
      <c r="BT17" s="485"/>
      <c r="BU17" s="485"/>
      <c r="BV17" s="485"/>
      <c r="BW17" s="485"/>
      <c r="BX17" s="485"/>
      <c r="BY17" s="490"/>
      <c r="BZ17" s="490"/>
      <c r="CA17" s="490"/>
      <c r="CB17" s="496"/>
      <c r="CC17" s="490"/>
      <c r="CD17" s="490"/>
      <c r="CE17" s="496"/>
      <c r="CF17" s="490"/>
      <c r="CG17" s="497"/>
      <c r="CH17" s="492"/>
      <c r="CI17" s="483"/>
      <c r="CJ17" s="484"/>
      <c r="CK17" s="485"/>
      <c r="CL17" s="485"/>
      <c r="CM17" s="485"/>
      <c r="CN17" s="485"/>
      <c r="CO17" s="485"/>
      <c r="CP17" s="484"/>
      <c r="CQ17" s="486"/>
      <c r="CR17" s="486"/>
      <c r="CS17" s="487"/>
      <c r="CT17" s="487"/>
    </row>
    <row r="18" spans="2:98" x14ac:dyDescent="0.25">
      <c r="B18" s="216"/>
      <c r="C18" s="186"/>
      <c r="D18" s="174"/>
      <c r="E18" s="174"/>
      <c r="F18" s="174"/>
      <c r="G18" s="174"/>
      <c r="H18" s="174"/>
      <c r="I18" s="174"/>
      <c r="J18" s="174"/>
      <c r="K18" s="455"/>
      <c r="L18" s="454"/>
      <c r="M18" s="454"/>
      <c r="N18" s="362"/>
      <c r="O18" s="362"/>
      <c r="P18" s="362"/>
      <c r="Q18" s="362"/>
      <c r="R18" s="362"/>
      <c r="S18" s="362"/>
      <c r="T18" s="362"/>
      <c r="U18" s="362"/>
      <c r="V18" s="362"/>
      <c r="W18" s="362"/>
      <c r="X18" s="362"/>
      <c r="Y18" s="362"/>
      <c r="Z18" s="362"/>
      <c r="AA18" s="362"/>
      <c r="AB18" s="362"/>
      <c r="AC18" s="362"/>
      <c r="AD18" s="362"/>
      <c r="AE18" s="362"/>
      <c r="AF18" s="362"/>
      <c r="AG18" s="362"/>
      <c r="AH18" s="362"/>
      <c r="AI18" s="464"/>
      <c r="AJ18" s="395"/>
      <c r="AK18" s="396"/>
      <c r="AL18" s="464"/>
      <c r="AM18" s="395"/>
      <c r="AN18" s="396"/>
      <c r="AO18" s="464"/>
      <c r="AP18" s="395"/>
      <c r="AQ18" s="396"/>
      <c r="AR18" s="171"/>
      <c r="AS18" s="186"/>
      <c r="AT18" s="361"/>
      <c r="AU18" s="361"/>
      <c r="AV18" s="361"/>
      <c r="AW18" s="446"/>
      <c r="AX18" s="361"/>
      <c r="AY18" s="446"/>
      <c r="AZ18" s="361"/>
      <c r="BA18" s="411"/>
      <c r="BB18" s="411"/>
      <c r="BC18" s="411"/>
      <c r="BD18" s="186"/>
      <c r="BE18" s="364"/>
      <c r="BF18" s="364"/>
      <c r="BG18" s="361"/>
      <c r="BH18" s="361"/>
      <c r="BI18" s="361"/>
      <c r="BJ18" s="361"/>
      <c r="BK18" s="361"/>
      <c r="BL18" s="361"/>
      <c r="BM18" s="361"/>
      <c r="BN18" s="361"/>
      <c r="BO18" s="361"/>
      <c r="BP18" s="446"/>
      <c r="BQ18" s="446"/>
      <c r="BR18" s="446"/>
      <c r="BS18" s="174"/>
      <c r="BT18" s="174"/>
      <c r="BU18" s="174"/>
      <c r="BV18" s="174"/>
      <c r="BW18" s="174"/>
      <c r="BX18" s="174"/>
      <c r="BY18" s="395"/>
      <c r="BZ18" s="395"/>
      <c r="CA18" s="395"/>
      <c r="CB18" s="468"/>
      <c r="CC18" s="395"/>
      <c r="CD18" s="395"/>
      <c r="CE18" s="468"/>
      <c r="CF18" s="395"/>
      <c r="CG18" s="187"/>
      <c r="CH18" s="171"/>
      <c r="CI18" s="186"/>
      <c r="CJ18" s="361"/>
      <c r="CK18" s="174"/>
      <c r="CL18" s="174"/>
      <c r="CM18" s="174"/>
      <c r="CN18" s="174"/>
      <c r="CO18" s="174"/>
      <c r="CP18" s="361"/>
      <c r="CQ18" s="455"/>
      <c r="CR18" s="455"/>
      <c r="CS18" s="454"/>
      <c r="CT18" s="454"/>
    </row>
    <row r="19" spans="2:98" x14ac:dyDescent="0.25">
      <c r="B19" s="216"/>
      <c r="C19" s="186"/>
      <c r="D19" s="174"/>
      <c r="E19" s="174"/>
      <c r="F19" s="174"/>
      <c r="G19" s="174"/>
      <c r="H19" s="174"/>
      <c r="I19" s="174"/>
      <c r="J19" s="174"/>
      <c r="K19" s="455"/>
      <c r="L19" s="454"/>
      <c r="M19" s="454"/>
      <c r="N19" s="362"/>
      <c r="O19" s="362"/>
      <c r="P19" s="362"/>
      <c r="Q19" s="362"/>
      <c r="R19" s="362"/>
      <c r="S19" s="362"/>
      <c r="T19" s="362"/>
      <c r="U19" s="362"/>
      <c r="V19" s="362"/>
      <c r="W19" s="362"/>
      <c r="X19" s="362"/>
      <c r="Y19" s="362"/>
      <c r="Z19" s="362"/>
      <c r="AA19" s="362"/>
      <c r="AB19" s="362"/>
      <c r="AC19" s="362"/>
      <c r="AD19" s="362"/>
      <c r="AE19" s="362"/>
      <c r="AF19" s="362"/>
      <c r="AG19" s="362"/>
      <c r="AH19" s="362"/>
      <c r="AI19" s="464"/>
      <c r="AJ19" s="395"/>
      <c r="AK19" s="396"/>
      <c r="AL19" s="464"/>
      <c r="AM19" s="395"/>
      <c r="AN19" s="396"/>
      <c r="AO19" s="464"/>
      <c r="AP19" s="395"/>
      <c r="AQ19" s="396"/>
      <c r="AR19" s="171"/>
      <c r="AS19" s="186"/>
      <c r="AT19" s="361"/>
      <c r="AU19" s="361"/>
      <c r="AV19" s="361"/>
      <c r="AW19" s="446"/>
      <c r="AX19" s="361"/>
      <c r="AY19" s="446"/>
      <c r="AZ19" s="361"/>
      <c r="BA19" s="411"/>
      <c r="BB19" s="411"/>
      <c r="BC19" s="411"/>
      <c r="BD19" s="186"/>
      <c r="BE19" s="364"/>
      <c r="BF19" s="364"/>
      <c r="BG19" s="361"/>
      <c r="BH19" s="361"/>
      <c r="BI19" s="361"/>
      <c r="BJ19" s="361"/>
      <c r="BK19" s="361"/>
      <c r="BL19" s="361"/>
      <c r="BM19" s="361"/>
      <c r="BN19" s="361"/>
      <c r="BO19" s="361"/>
      <c r="BP19" s="446"/>
      <c r="BQ19" s="446"/>
      <c r="BR19" s="446"/>
      <c r="BS19" s="174"/>
      <c r="BT19" s="174"/>
      <c r="BU19" s="174"/>
      <c r="BV19" s="174"/>
      <c r="BW19" s="174"/>
      <c r="BX19" s="174"/>
      <c r="BY19" s="395"/>
      <c r="BZ19" s="395"/>
      <c r="CA19" s="395"/>
      <c r="CB19" s="468"/>
      <c r="CC19" s="395"/>
      <c r="CD19" s="395"/>
      <c r="CE19" s="468"/>
      <c r="CF19" s="395"/>
      <c r="CG19" s="187"/>
      <c r="CH19" s="171"/>
      <c r="CI19" s="186"/>
      <c r="CJ19" s="361"/>
      <c r="CK19" s="174"/>
      <c r="CL19" s="174"/>
      <c r="CM19" s="174"/>
      <c r="CN19" s="174"/>
      <c r="CO19" s="174"/>
      <c r="CP19" s="361"/>
      <c r="CQ19" s="455"/>
      <c r="CR19" s="455"/>
      <c r="CS19" s="454"/>
      <c r="CT19" s="454"/>
    </row>
    <row r="20" spans="2:98" x14ac:dyDescent="0.25">
      <c r="B20" s="216"/>
      <c r="C20" s="186"/>
      <c r="D20" s="174"/>
      <c r="E20" s="174"/>
      <c r="F20" s="174"/>
      <c r="G20" s="174"/>
      <c r="H20" s="174"/>
      <c r="I20" s="174"/>
      <c r="J20" s="174"/>
      <c r="K20" s="455"/>
      <c r="L20" s="454"/>
      <c r="M20" s="454"/>
      <c r="N20" s="362"/>
      <c r="O20" s="362"/>
      <c r="P20" s="362"/>
      <c r="Q20" s="362"/>
      <c r="R20" s="362"/>
      <c r="S20" s="362"/>
      <c r="T20" s="362"/>
      <c r="U20" s="362"/>
      <c r="V20" s="362"/>
      <c r="W20" s="362"/>
      <c r="X20" s="362"/>
      <c r="Y20" s="362"/>
      <c r="Z20" s="362"/>
      <c r="AA20" s="362"/>
      <c r="AB20" s="362"/>
      <c r="AC20" s="362"/>
      <c r="AD20" s="362"/>
      <c r="AE20" s="362"/>
      <c r="AF20" s="362"/>
      <c r="AG20" s="362"/>
      <c r="AH20" s="362"/>
      <c r="AI20" s="464"/>
      <c r="AJ20" s="395"/>
      <c r="AK20" s="396"/>
      <c r="AL20" s="464"/>
      <c r="AM20" s="395"/>
      <c r="AN20" s="396"/>
      <c r="AO20" s="464"/>
      <c r="AP20" s="395"/>
      <c r="AQ20" s="396"/>
      <c r="AR20" s="171"/>
      <c r="AS20" s="186"/>
      <c r="AT20" s="361"/>
      <c r="AU20" s="361"/>
      <c r="AV20" s="361"/>
      <c r="AW20" s="446"/>
      <c r="AX20" s="361"/>
      <c r="AY20" s="446"/>
      <c r="AZ20" s="361"/>
      <c r="BA20" s="411"/>
      <c r="BB20" s="411"/>
      <c r="BC20" s="411"/>
      <c r="BD20" s="186"/>
      <c r="BE20" s="364"/>
      <c r="BF20" s="364"/>
      <c r="BG20" s="361"/>
      <c r="BH20" s="361"/>
      <c r="BI20" s="361"/>
      <c r="BJ20" s="361"/>
      <c r="BK20" s="361"/>
      <c r="BL20" s="361"/>
      <c r="BM20" s="361"/>
      <c r="BN20" s="361"/>
      <c r="BO20" s="361"/>
      <c r="BP20" s="446"/>
      <c r="BQ20" s="446"/>
      <c r="BR20" s="446"/>
      <c r="BS20" s="174"/>
      <c r="BT20" s="174"/>
      <c r="BU20" s="174"/>
      <c r="BV20" s="174"/>
      <c r="BW20" s="174"/>
      <c r="BX20" s="174"/>
      <c r="BY20" s="395"/>
      <c r="BZ20" s="395"/>
      <c r="CA20" s="395"/>
      <c r="CB20" s="468"/>
      <c r="CC20" s="395"/>
      <c r="CD20" s="395"/>
      <c r="CE20" s="468"/>
      <c r="CF20" s="395"/>
      <c r="CG20" s="187"/>
      <c r="CH20" s="171"/>
      <c r="CI20" s="186"/>
      <c r="CJ20" s="361"/>
      <c r="CK20" s="174"/>
      <c r="CL20" s="174"/>
      <c r="CM20" s="174"/>
      <c r="CN20" s="174"/>
      <c r="CO20" s="174"/>
      <c r="CP20" s="361"/>
      <c r="CQ20" s="455"/>
      <c r="CR20" s="455"/>
      <c r="CS20" s="454"/>
      <c r="CT20" s="454"/>
    </row>
    <row r="21" spans="2:98" x14ac:dyDescent="0.25">
      <c r="B21" s="216"/>
      <c r="C21" s="186"/>
      <c r="D21" s="174"/>
      <c r="E21" s="174"/>
      <c r="F21" s="174"/>
      <c r="G21" s="174"/>
      <c r="H21" s="174"/>
      <c r="I21" s="174"/>
      <c r="J21" s="174"/>
      <c r="K21" s="455"/>
      <c r="L21" s="454"/>
      <c r="M21" s="454"/>
      <c r="N21" s="362"/>
      <c r="O21" s="362"/>
      <c r="P21" s="362"/>
      <c r="Q21" s="362"/>
      <c r="R21" s="362"/>
      <c r="S21" s="362"/>
      <c r="T21" s="362"/>
      <c r="U21" s="362"/>
      <c r="V21" s="362"/>
      <c r="W21" s="362"/>
      <c r="X21" s="362"/>
      <c r="Y21" s="362"/>
      <c r="Z21" s="362"/>
      <c r="AA21" s="362"/>
      <c r="AB21" s="362"/>
      <c r="AC21" s="362"/>
      <c r="AD21" s="362"/>
      <c r="AE21" s="362"/>
      <c r="AF21" s="362"/>
      <c r="AG21" s="362"/>
      <c r="AH21" s="362"/>
      <c r="AI21" s="464"/>
      <c r="AJ21" s="395"/>
      <c r="AK21" s="396"/>
      <c r="AL21" s="464"/>
      <c r="AM21" s="395"/>
      <c r="AN21" s="396"/>
      <c r="AO21" s="464"/>
      <c r="AP21" s="395"/>
      <c r="AQ21" s="396"/>
      <c r="AR21" s="171"/>
      <c r="AS21" s="186"/>
      <c r="AT21" s="361"/>
      <c r="AU21" s="361"/>
      <c r="AV21" s="361"/>
      <c r="AW21" s="446"/>
      <c r="AX21" s="361"/>
      <c r="AY21" s="446"/>
      <c r="AZ21" s="361"/>
      <c r="BA21" s="411"/>
      <c r="BB21" s="411"/>
      <c r="BC21" s="411"/>
      <c r="BD21" s="186"/>
      <c r="BE21" s="364"/>
      <c r="BF21" s="364"/>
      <c r="BG21" s="361"/>
      <c r="BH21" s="361"/>
      <c r="BI21" s="361"/>
      <c r="BJ21" s="361"/>
      <c r="BK21" s="361"/>
      <c r="BL21" s="361"/>
      <c r="BM21" s="361"/>
      <c r="BN21" s="361"/>
      <c r="BO21" s="361"/>
      <c r="BP21" s="446"/>
      <c r="BQ21" s="446"/>
      <c r="BR21" s="446"/>
      <c r="BS21" s="174"/>
      <c r="BT21" s="174"/>
      <c r="BU21" s="174"/>
      <c r="BV21" s="174"/>
      <c r="BW21" s="174"/>
      <c r="BX21" s="174"/>
      <c r="BY21" s="395"/>
      <c r="BZ21" s="395"/>
      <c r="CA21" s="395"/>
      <c r="CB21" s="468"/>
      <c r="CC21" s="395"/>
      <c r="CD21" s="395"/>
      <c r="CE21" s="468"/>
      <c r="CF21" s="395"/>
      <c r="CG21" s="187"/>
      <c r="CH21" s="171"/>
      <c r="CI21" s="186"/>
      <c r="CJ21" s="361"/>
      <c r="CK21" s="174"/>
      <c r="CL21" s="174"/>
      <c r="CM21" s="174"/>
      <c r="CN21" s="174"/>
      <c r="CO21" s="174"/>
      <c r="CP21" s="361"/>
      <c r="CQ21" s="455"/>
      <c r="CR21" s="455"/>
      <c r="CS21" s="454"/>
      <c r="CT21" s="454"/>
    </row>
    <row r="22" spans="2:98" x14ac:dyDescent="0.25">
      <c r="B22" s="216"/>
      <c r="C22" s="186"/>
      <c r="D22" s="174"/>
      <c r="E22" s="174"/>
      <c r="F22" s="174"/>
      <c r="G22" s="174"/>
      <c r="H22" s="174"/>
      <c r="I22" s="174"/>
      <c r="J22" s="174"/>
      <c r="K22" s="455"/>
      <c r="L22" s="454"/>
      <c r="M22" s="454"/>
      <c r="N22" s="362"/>
      <c r="O22" s="362"/>
      <c r="P22" s="362"/>
      <c r="Q22" s="362"/>
      <c r="R22" s="362"/>
      <c r="S22" s="362"/>
      <c r="T22" s="362"/>
      <c r="U22" s="362"/>
      <c r="V22" s="362"/>
      <c r="W22" s="362"/>
      <c r="X22" s="362"/>
      <c r="Y22" s="362"/>
      <c r="Z22" s="362"/>
      <c r="AA22" s="362"/>
      <c r="AB22" s="362"/>
      <c r="AC22" s="362"/>
      <c r="AD22" s="362"/>
      <c r="AE22" s="362"/>
      <c r="AF22" s="362"/>
      <c r="AG22" s="362"/>
      <c r="AH22" s="362"/>
      <c r="AI22" s="464"/>
      <c r="AJ22" s="395"/>
      <c r="AK22" s="396"/>
      <c r="AL22" s="464"/>
      <c r="AM22" s="395"/>
      <c r="AN22" s="396"/>
      <c r="AO22" s="464"/>
      <c r="AP22" s="395"/>
      <c r="AQ22" s="396"/>
      <c r="AR22" s="171"/>
      <c r="AS22" s="186"/>
      <c r="AT22" s="361"/>
      <c r="AU22" s="361"/>
      <c r="AV22" s="361"/>
      <c r="AW22" s="446"/>
      <c r="AX22" s="361"/>
      <c r="AY22" s="446"/>
      <c r="AZ22" s="361"/>
      <c r="BA22" s="411"/>
      <c r="BB22" s="411"/>
      <c r="BC22" s="411"/>
      <c r="BD22" s="186"/>
      <c r="BE22" s="364"/>
      <c r="BF22" s="364"/>
      <c r="BG22" s="361"/>
      <c r="BH22" s="361"/>
      <c r="BI22" s="361"/>
      <c r="BJ22" s="361"/>
      <c r="BK22" s="361"/>
      <c r="BL22" s="361"/>
      <c r="BM22" s="361"/>
      <c r="BN22" s="361"/>
      <c r="BO22" s="361"/>
      <c r="BP22" s="446"/>
      <c r="BQ22" s="446"/>
      <c r="BR22" s="446"/>
      <c r="BS22" s="174"/>
      <c r="BT22" s="174"/>
      <c r="BU22" s="174"/>
      <c r="BV22" s="174"/>
      <c r="BW22" s="174"/>
      <c r="BX22" s="174"/>
      <c r="BY22" s="395"/>
      <c r="BZ22" s="395"/>
      <c r="CA22" s="395"/>
      <c r="CB22" s="468"/>
      <c r="CC22" s="395"/>
      <c r="CD22" s="395"/>
      <c r="CE22" s="468"/>
      <c r="CF22" s="395"/>
      <c r="CG22" s="187"/>
      <c r="CH22" s="171"/>
      <c r="CI22" s="186"/>
      <c r="CJ22" s="361"/>
      <c r="CK22" s="174"/>
      <c r="CL22" s="174"/>
      <c r="CM22" s="174"/>
      <c r="CN22" s="174"/>
      <c r="CO22" s="174"/>
      <c r="CP22" s="361"/>
      <c r="CQ22" s="455"/>
      <c r="CR22" s="455"/>
      <c r="CS22" s="454"/>
      <c r="CT22" s="454"/>
    </row>
    <row r="23" spans="2:98" x14ac:dyDescent="0.25">
      <c r="B23" s="216"/>
      <c r="C23" s="186"/>
      <c r="D23" s="174"/>
      <c r="E23" s="174"/>
      <c r="F23" s="174"/>
      <c r="G23" s="174"/>
      <c r="H23" s="174"/>
      <c r="I23" s="174"/>
      <c r="J23" s="174"/>
      <c r="K23" s="455"/>
      <c r="L23" s="454"/>
      <c r="M23" s="454"/>
      <c r="N23" s="362"/>
      <c r="O23" s="362"/>
      <c r="P23" s="362"/>
      <c r="Q23" s="362"/>
      <c r="R23" s="362"/>
      <c r="S23" s="362"/>
      <c r="T23" s="362"/>
      <c r="U23" s="362"/>
      <c r="V23" s="362"/>
      <c r="W23" s="362"/>
      <c r="X23" s="362"/>
      <c r="Y23" s="362"/>
      <c r="Z23" s="362"/>
      <c r="AA23" s="362"/>
      <c r="AB23" s="362"/>
      <c r="AC23" s="362"/>
      <c r="AD23" s="362"/>
      <c r="AE23" s="362"/>
      <c r="AF23" s="362"/>
      <c r="AG23" s="362"/>
      <c r="AH23" s="362"/>
      <c r="AI23" s="464"/>
      <c r="AJ23" s="395"/>
      <c r="AK23" s="396"/>
      <c r="AL23" s="464"/>
      <c r="AM23" s="395"/>
      <c r="AN23" s="396"/>
      <c r="AO23" s="464"/>
      <c r="AP23" s="395"/>
      <c r="AQ23" s="396"/>
      <c r="AR23" s="171"/>
      <c r="AS23" s="186"/>
      <c r="AT23" s="361"/>
      <c r="AU23" s="361"/>
      <c r="AV23" s="361"/>
      <c r="AW23" s="446"/>
      <c r="AX23" s="361"/>
      <c r="AY23" s="446"/>
      <c r="AZ23" s="361"/>
      <c r="BA23" s="411"/>
      <c r="BB23" s="411"/>
      <c r="BC23" s="411"/>
      <c r="BD23" s="186"/>
      <c r="BE23" s="364"/>
      <c r="BF23" s="364"/>
      <c r="BG23" s="361"/>
      <c r="BH23" s="361"/>
      <c r="BI23" s="361"/>
      <c r="BJ23" s="361"/>
      <c r="BK23" s="361"/>
      <c r="BL23" s="361"/>
      <c r="BM23" s="361"/>
      <c r="BN23" s="361"/>
      <c r="BO23" s="361"/>
      <c r="BP23" s="446"/>
      <c r="BQ23" s="446"/>
      <c r="BR23" s="446"/>
      <c r="BS23" s="174"/>
      <c r="BT23" s="174"/>
      <c r="BU23" s="174"/>
      <c r="BV23" s="174"/>
      <c r="BW23" s="174"/>
      <c r="BX23" s="174"/>
      <c r="BY23" s="395"/>
      <c r="BZ23" s="395"/>
      <c r="CA23" s="395"/>
      <c r="CB23" s="468"/>
      <c r="CC23" s="395"/>
      <c r="CD23" s="395"/>
      <c r="CE23" s="468"/>
      <c r="CF23" s="395"/>
      <c r="CG23" s="187"/>
      <c r="CH23" s="171"/>
      <c r="CI23" s="186"/>
      <c r="CJ23" s="361"/>
      <c r="CK23" s="174"/>
      <c r="CL23" s="174"/>
      <c r="CM23" s="174"/>
      <c r="CN23" s="174"/>
      <c r="CO23" s="174"/>
      <c r="CP23" s="361"/>
      <c r="CQ23" s="455"/>
      <c r="CR23" s="455"/>
      <c r="CS23" s="454"/>
      <c r="CT23" s="454"/>
    </row>
    <row r="24" spans="2:98" x14ac:dyDescent="0.25">
      <c r="B24" s="216"/>
      <c r="C24" s="186"/>
      <c r="D24" s="174"/>
      <c r="E24" s="174"/>
      <c r="F24" s="174"/>
      <c r="G24" s="174"/>
      <c r="H24" s="174"/>
      <c r="I24" s="174"/>
      <c r="J24" s="174"/>
      <c r="K24" s="455"/>
      <c r="L24" s="454"/>
      <c r="M24" s="454"/>
      <c r="N24" s="362"/>
      <c r="O24" s="362"/>
      <c r="P24" s="362"/>
      <c r="Q24" s="362"/>
      <c r="R24" s="362"/>
      <c r="S24" s="362"/>
      <c r="T24" s="362"/>
      <c r="U24" s="362"/>
      <c r="V24" s="362"/>
      <c r="W24" s="362"/>
      <c r="X24" s="362"/>
      <c r="Y24" s="362"/>
      <c r="Z24" s="362"/>
      <c r="AA24" s="362"/>
      <c r="AB24" s="362"/>
      <c r="AC24" s="362"/>
      <c r="AD24" s="362"/>
      <c r="AE24" s="362"/>
      <c r="AF24" s="362"/>
      <c r="AG24" s="362"/>
      <c r="AH24" s="362"/>
      <c r="AI24" s="464"/>
      <c r="AJ24" s="395"/>
      <c r="AK24" s="396"/>
      <c r="AL24" s="464"/>
      <c r="AM24" s="395"/>
      <c r="AN24" s="396"/>
      <c r="AO24" s="464"/>
      <c r="AP24" s="395"/>
      <c r="AQ24" s="396"/>
      <c r="AR24" s="171"/>
      <c r="AS24" s="186"/>
      <c r="AT24" s="361"/>
      <c r="AU24" s="361"/>
      <c r="AV24" s="361"/>
      <c r="AW24" s="446"/>
      <c r="AX24" s="361"/>
      <c r="AY24" s="446"/>
      <c r="AZ24" s="361"/>
      <c r="BA24" s="411"/>
      <c r="BB24" s="411"/>
      <c r="BC24" s="411"/>
      <c r="BD24" s="186"/>
      <c r="BE24" s="364"/>
      <c r="BF24" s="364"/>
      <c r="BG24" s="361"/>
      <c r="BH24" s="361"/>
      <c r="BI24" s="361"/>
      <c r="BJ24" s="361"/>
      <c r="BK24" s="361"/>
      <c r="BL24" s="361"/>
      <c r="BM24" s="361"/>
      <c r="BN24" s="361"/>
      <c r="BO24" s="361"/>
      <c r="BP24" s="446"/>
      <c r="BQ24" s="446"/>
      <c r="BR24" s="446"/>
      <c r="BS24" s="174"/>
      <c r="BT24" s="174"/>
      <c r="BU24" s="174"/>
      <c r="BV24" s="174"/>
      <c r="BW24" s="174"/>
      <c r="BX24" s="174"/>
      <c r="BY24" s="395"/>
      <c r="BZ24" s="395"/>
      <c r="CA24" s="395"/>
      <c r="CB24" s="468"/>
      <c r="CC24" s="395"/>
      <c r="CD24" s="395"/>
      <c r="CE24" s="468"/>
      <c r="CF24" s="395"/>
      <c r="CG24" s="187"/>
      <c r="CH24" s="171"/>
      <c r="CI24" s="186"/>
      <c r="CJ24" s="361"/>
      <c r="CK24" s="174"/>
      <c r="CL24" s="174"/>
      <c r="CM24" s="174"/>
      <c r="CN24" s="174"/>
      <c r="CO24" s="174"/>
      <c r="CP24" s="361"/>
      <c r="CQ24" s="455"/>
      <c r="CR24" s="455"/>
      <c r="CS24" s="454"/>
      <c r="CT24" s="454"/>
    </row>
    <row r="25" spans="2:98" x14ac:dyDescent="0.25">
      <c r="B25" s="216"/>
      <c r="C25" s="186"/>
      <c r="D25" s="174"/>
      <c r="E25" s="174"/>
      <c r="F25" s="174"/>
      <c r="G25" s="174"/>
      <c r="H25" s="174"/>
      <c r="I25" s="174"/>
      <c r="J25" s="174"/>
      <c r="K25" s="455"/>
      <c r="L25" s="454"/>
      <c r="M25" s="454"/>
      <c r="N25" s="362"/>
      <c r="O25" s="362"/>
      <c r="P25" s="362"/>
      <c r="Q25" s="362"/>
      <c r="R25" s="362"/>
      <c r="S25" s="362"/>
      <c r="T25" s="362"/>
      <c r="U25" s="362"/>
      <c r="V25" s="362"/>
      <c r="W25" s="362"/>
      <c r="X25" s="362"/>
      <c r="Y25" s="362"/>
      <c r="Z25" s="362"/>
      <c r="AA25" s="362"/>
      <c r="AB25" s="362"/>
      <c r="AC25" s="362"/>
      <c r="AD25" s="362"/>
      <c r="AE25" s="362"/>
      <c r="AF25" s="362"/>
      <c r="AG25" s="362"/>
      <c r="AH25" s="362"/>
      <c r="AI25" s="464"/>
      <c r="AJ25" s="395"/>
      <c r="AK25" s="396"/>
      <c r="AL25" s="464"/>
      <c r="AM25" s="395"/>
      <c r="AN25" s="396"/>
      <c r="AO25" s="464"/>
      <c r="AP25" s="395"/>
      <c r="AQ25" s="396"/>
      <c r="AR25" s="171"/>
      <c r="AS25" s="186"/>
      <c r="AT25" s="361"/>
      <c r="AU25" s="361"/>
      <c r="AV25" s="361"/>
      <c r="AW25" s="446"/>
      <c r="AX25" s="361"/>
      <c r="AY25" s="446"/>
      <c r="AZ25" s="361"/>
      <c r="BA25" s="411"/>
      <c r="BB25" s="411"/>
      <c r="BC25" s="411"/>
      <c r="BD25" s="186"/>
      <c r="BE25" s="364"/>
      <c r="BF25" s="364"/>
      <c r="BG25" s="361"/>
      <c r="BH25" s="361"/>
      <c r="BI25" s="361"/>
      <c r="BJ25" s="361"/>
      <c r="BK25" s="361"/>
      <c r="BL25" s="361"/>
      <c r="BM25" s="361"/>
      <c r="BN25" s="361"/>
      <c r="BO25" s="361"/>
      <c r="BP25" s="446"/>
      <c r="BQ25" s="446"/>
      <c r="BR25" s="446"/>
      <c r="BS25" s="174"/>
      <c r="BT25" s="174"/>
      <c r="BU25" s="174"/>
      <c r="BV25" s="174"/>
      <c r="BW25" s="174"/>
      <c r="BX25" s="174"/>
      <c r="BY25" s="395"/>
      <c r="BZ25" s="395"/>
      <c r="CA25" s="395"/>
      <c r="CB25" s="468"/>
      <c r="CC25" s="395"/>
      <c r="CD25" s="395"/>
      <c r="CE25" s="468"/>
      <c r="CF25" s="395"/>
      <c r="CG25" s="187"/>
      <c r="CH25" s="171"/>
      <c r="CI25" s="186"/>
      <c r="CJ25" s="361"/>
      <c r="CK25" s="174"/>
      <c r="CL25" s="174"/>
      <c r="CM25" s="174"/>
      <c r="CN25" s="174"/>
      <c r="CO25" s="174"/>
      <c r="CP25" s="361"/>
      <c r="CQ25" s="455"/>
      <c r="CR25" s="455"/>
      <c r="CS25" s="454"/>
      <c r="CT25" s="454"/>
    </row>
    <row r="26" spans="2:98" x14ac:dyDescent="0.25">
      <c r="B26" s="216"/>
      <c r="C26" s="186"/>
      <c r="D26" s="174"/>
      <c r="E26" s="174"/>
      <c r="F26" s="174"/>
      <c r="G26" s="174"/>
      <c r="H26" s="174"/>
      <c r="I26" s="174"/>
      <c r="J26" s="174"/>
      <c r="K26" s="455"/>
      <c r="L26" s="454"/>
      <c r="M26" s="454"/>
      <c r="N26" s="362"/>
      <c r="O26" s="362"/>
      <c r="P26" s="362"/>
      <c r="Q26" s="362"/>
      <c r="R26" s="362"/>
      <c r="S26" s="362"/>
      <c r="T26" s="362"/>
      <c r="U26" s="362"/>
      <c r="V26" s="362"/>
      <c r="W26" s="362"/>
      <c r="X26" s="362"/>
      <c r="Y26" s="362"/>
      <c r="Z26" s="362"/>
      <c r="AA26" s="362"/>
      <c r="AB26" s="362"/>
      <c r="AC26" s="362"/>
      <c r="AD26" s="362"/>
      <c r="AE26" s="362"/>
      <c r="AF26" s="362"/>
      <c r="AG26" s="362"/>
      <c r="AH26" s="362"/>
      <c r="AI26" s="464"/>
      <c r="AJ26" s="395"/>
      <c r="AK26" s="396"/>
      <c r="AL26" s="464"/>
      <c r="AM26" s="395"/>
      <c r="AN26" s="396"/>
      <c r="AO26" s="464"/>
      <c r="AP26" s="395"/>
      <c r="AQ26" s="396"/>
      <c r="AR26" s="171"/>
      <c r="AS26" s="186"/>
      <c r="AT26" s="361"/>
      <c r="AU26" s="361"/>
      <c r="AV26" s="361"/>
      <c r="AW26" s="446"/>
      <c r="AX26" s="361"/>
      <c r="AY26" s="446"/>
      <c r="AZ26" s="361"/>
      <c r="BA26" s="411"/>
      <c r="BB26" s="411"/>
      <c r="BC26" s="411"/>
      <c r="BD26" s="186"/>
      <c r="BE26" s="364"/>
      <c r="BF26" s="364"/>
      <c r="BG26" s="361"/>
      <c r="BH26" s="361"/>
      <c r="BI26" s="361"/>
      <c r="BJ26" s="361"/>
      <c r="BK26" s="361"/>
      <c r="BL26" s="361"/>
      <c r="BM26" s="361"/>
      <c r="BN26" s="361"/>
      <c r="BO26" s="361"/>
      <c r="BP26" s="446"/>
      <c r="BQ26" s="446"/>
      <c r="BR26" s="446"/>
      <c r="BS26" s="174"/>
      <c r="BT26" s="174"/>
      <c r="BU26" s="174"/>
      <c r="BV26" s="174"/>
      <c r="BW26" s="174"/>
      <c r="BX26" s="174"/>
      <c r="BY26" s="395"/>
      <c r="BZ26" s="395"/>
      <c r="CA26" s="395"/>
      <c r="CB26" s="468"/>
      <c r="CC26" s="395"/>
      <c r="CD26" s="395"/>
      <c r="CE26" s="468"/>
      <c r="CF26" s="395"/>
      <c r="CG26" s="187"/>
      <c r="CH26" s="171"/>
      <c r="CI26" s="186"/>
      <c r="CJ26" s="361"/>
      <c r="CK26" s="174"/>
      <c r="CL26" s="174"/>
      <c r="CM26" s="174"/>
      <c r="CN26" s="174"/>
      <c r="CO26" s="174"/>
      <c r="CP26" s="361"/>
      <c r="CQ26" s="455"/>
      <c r="CR26" s="455"/>
      <c r="CS26" s="454"/>
      <c r="CT26" s="454"/>
    </row>
    <row r="27" spans="2:98" x14ac:dyDescent="0.25">
      <c r="B27" s="216"/>
      <c r="C27" s="186"/>
      <c r="D27" s="174"/>
      <c r="E27" s="174"/>
      <c r="F27" s="174"/>
      <c r="G27" s="174"/>
      <c r="H27" s="174"/>
      <c r="I27" s="174"/>
      <c r="J27" s="174"/>
      <c r="K27" s="455"/>
      <c r="L27" s="454"/>
      <c r="M27" s="454"/>
      <c r="N27" s="362"/>
      <c r="O27" s="362"/>
      <c r="P27" s="362"/>
      <c r="Q27" s="362"/>
      <c r="R27" s="362"/>
      <c r="S27" s="362"/>
      <c r="T27" s="362"/>
      <c r="U27" s="362"/>
      <c r="V27" s="362"/>
      <c r="W27" s="362"/>
      <c r="X27" s="362"/>
      <c r="Y27" s="362"/>
      <c r="Z27" s="362"/>
      <c r="AA27" s="362"/>
      <c r="AB27" s="362"/>
      <c r="AC27" s="362"/>
      <c r="AD27" s="362"/>
      <c r="AE27" s="362"/>
      <c r="AF27" s="362"/>
      <c r="AG27" s="362"/>
      <c r="AH27" s="362"/>
      <c r="AI27" s="464"/>
      <c r="AJ27" s="395"/>
      <c r="AK27" s="396"/>
      <c r="AL27" s="464"/>
      <c r="AM27" s="395"/>
      <c r="AN27" s="396"/>
      <c r="AO27" s="464"/>
      <c r="AP27" s="395"/>
      <c r="AQ27" s="396"/>
      <c r="AR27" s="171"/>
      <c r="AS27" s="186"/>
      <c r="AT27" s="361"/>
      <c r="AU27" s="361"/>
      <c r="AV27" s="361"/>
      <c r="AW27" s="446"/>
      <c r="AX27" s="361"/>
      <c r="AY27" s="446"/>
      <c r="AZ27" s="361"/>
      <c r="BA27" s="411"/>
      <c r="BB27" s="411"/>
      <c r="BC27" s="411"/>
      <c r="BD27" s="186"/>
      <c r="BE27" s="364"/>
      <c r="BF27" s="364"/>
      <c r="BG27" s="361"/>
      <c r="BH27" s="361"/>
      <c r="BI27" s="361"/>
      <c r="BJ27" s="361"/>
      <c r="BK27" s="361"/>
      <c r="BL27" s="361"/>
      <c r="BM27" s="361"/>
      <c r="BN27" s="361"/>
      <c r="BO27" s="361"/>
      <c r="BP27" s="446"/>
      <c r="BQ27" s="446"/>
      <c r="BR27" s="446"/>
      <c r="BS27" s="174"/>
      <c r="BT27" s="174"/>
      <c r="BU27" s="174"/>
      <c r="BV27" s="174"/>
      <c r="BW27" s="174"/>
      <c r="BX27" s="174"/>
      <c r="BY27" s="395"/>
      <c r="BZ27" s="395"/>
      <c r="CA27" s="395"/>
      <c r="CB27" s="468"/>
      <c r="CC27" s="395"/>
      <c r="CD27" s="395"/>
      <c r="CE27" s="468"/>
      <c r="CF27" s="395"/>
      <c r="CG27" s="187"/>
      <c r="CH27" s="171"/>
      <c r="CI27" s="186"/>
      <c r="CJ27" s="361"/>
      <c r="CK27" s="174"/>
      <c r="CL27" s="174"/>
      <c r="CM27" s="174"/>
      <c r="CN27" s="174"/>
      <c r="CO27" s="174"/>
      <c r="CP27" s="361"/>
      <c r="CQ27" s="455"/>
      <c r="CR27" s="455"/>
      <c r="CS27" s="454"/>
      <c r="CT27" s="454"/>
    </row>
    <row r="28" spans="2:98" x14ac:dyDescent="0.25">
      <c r="B28" s="216"/>
      <c r="C28" s="186"/>
      <c r="D28" s="174"/>
      <c r="E28" s="174"/>
      <c r="F28" s="174"/>
      <c r="G28" s="174"/>
      <c r="H28" s="174"/>
      <c r="I28" s="174"/>
      <c r="J28" s="174"/>
      <c r="K28" s="455"/>
      <c r="L28" s="454"/>
      <c r="M28" s="454"/>
      <c r="N28" s="362"/>
      <c r="O28" s="362"/>
      <c r="P28" s="362"/>
      <c r="Q28" s="362"/>
      <c r="R28" s="362"/>
      <c r="S28" s="362"/>
      <c r="T28" s="362"/>
      <c r="U28" s="362"/>
      <c r="V28" s="362"/>
      <c r="W28" s="362"/>
      <c r="X28" s="362"/>
      <c r="Y28" s="362"/>
      <c r="Z28" s="362"/>
      <c r="AA28" s="362"/>
      <c r="AB28" s="362"/>
      <c r="AC28" s="362"/>
      <c r="AD28" s="362"/>
      <c r="AE28" s="362"/>
      <c r="AF28" s="362"/>
      <c r="AG28" s="362"/>
      <c r="AH28" s="362"/>
      <c r="AI28" s="464"/>
      <c r="AJ28" s="395"/>
      <c r="AK28" s="396"/>
      <c r="AL28" s="464"/>
      <c r="AM28" s="395"/>
      <c r="AN28" s="396"/>
      <c r="AO28" s="464"/>
      <c r="AP28" s="395"/>
      <c r="AQ28" s="396"/>
      <c r="AR28" s="171"/>
      <c r="AS28" s="186"/>
      <c r="AT28" s="361"/>
      <c r="AU28" s="361"/>
      <c r="AV28" s="361"/>
      <c r="AW28" s="446"/>
      <c r="AX28" s="361"/>
      <c r="AY28" s="446"/>
      <c r="AZ28" s="361"/>
      <c r="BA28" s="411"/>
      <c r="BB28" s="411"/>
      <c r="BC28" s="411"/>
      <c r="BD28" s="186"/>
      <c r="BE28" s="364"/>
      <c r="BF28" s="364"/>
      <c r="BG28" s="361"/>
      <c r="BH28" s="361"/>
      <c r="BI28" s="361"/>
      <c r="BJ28" s="361"/>
      <c r="BK28" s="361"/>
      <c r="BL28" s="361"/>
      <c r="BM28" s="361"/>
      <c r="BN28" s="361"/>
      <c r="BO28" s="361"/>
      <c r="BP28" s="446"/>
      <c r="BQ28" s="446"/>
      <c r="BR28" s="446"/>
      <c r="BS28" s="174"/>
      <c r="BT28" s="174"/>
      <c r="BU28" s="174"/>
      <c r="BV28" s="174"/>
      <c r="BW28" s="174"/>
      <c r="BX28" s="174"/>
      <c r="BY28" s="395"/>
      <c r="BZ28" s="395"/>
      <c r="CA28" s="395"/>
      <c r="CB28" s="468"/>
      <c r="CC28" s="395"/>
      <c r="CD28" s="395"/>
      <c r="CE28" s="468"/>
      <c r="CF28" s="395"/>
      <c r="CG28" s="187"/>
      <c r="CH28" s="171"/>
      <c r="CI28" s="186"/>
      <c r="CJ28" s="361"/>
      <c r="CK28" s="174"/>
      <c r="CL28" s="174"/>
      <c r="CM28" s="174"/>
      <c r="CN28" s="174"/>
      <c r="CO28" s="174"/>
      <c r="CP28" s="361"/>
      <c r="CQ28" s="455"/>
      <c r="CR28" s="455"/>
      <c r="CS28" s="454"/>
      <c r="CT28" s="454"/>
    </row>
    <row r="29" spans="2:98" x14ac:dyDescent="0.25">
      <c r="B29" s="216"/>
      <c r="C29" s="186"/>
      <c r="D29" s="174"/>
      <c r="E29" s="174"/>
      <c r="F29" s="174"/>
      <c r="G29" s="174"/>
      <c r="H29" s="174"/>
      <c r="I29" s="174"/>
      <c r="J29" s="174"/>
      <c r="K29" s="363"/>
      <c r="L29" s="175"/>
      <c r="M29" s="175"/>
      <c r="N29" s="362"/>
      <c r="O29" s="362"/>
      <c r="P29" s="362"/>
      <c r="Q29" s="362"/>
      <c r="R29" s="362"/>
      <c r="S29" s="362"/>
      <c r="T29" s="362"/>
      <c r="U29" s="362"/>
      <c r="V29" s="362"/>
      <c r="W29" s="362"/>
      <c r="X29" s="362"/>
      <c r="Y29" s="362"/>
      <c r="Z29" s="362"/>
      <c r="AA29" s="362"/>
      <c r="AB29" s="362"/>
      <c r="AC29" s="362"/>
      <c r="AD29" s="362"/>
      <c r="AE29" s="362"/>
      <c r="AF29" s="362"/>
      <c r="AG29" s="362"/>
      <c r="AH29" s="362"/>
      <c r="AI29" s="464"/>
      <c r="AJ29" s="395"/>
      <c r="AK29" s="396"/>
      <c r="AL29" s="464"/>
      <c r="AM29" s="395"/>
      <c r="AN29" s="396"/>
      <c r="AO29" s="464"/>
      <c r="AP29" s="395"/>
      <c r="AQ29" s="396"/>
      <c r="AR29" s="171"/>
      <c r="AS29" s="186"/>
      <c r="AT29" s="361"/>
      <c r="AU29" s="361"/>
      <c r="AV29" s="361"/>
      <c r="AW29" s="446"/>
      <c r="AX29" s="361"/>
      <c r="AY29" s="446"/>
      <c r="AZ29" s="361"/>
      <c r="BA29" s="411"/>
      <c r="BB29" s="411"/>
      <c r="BC29" s="411"/>
      <c r="BD29" s="186"/>
      <c r="BE29" s="364"/>
      <c r="BF29" s="364"/>
      <c r="BG29" s="361"/>
      <c r="BH29" s="361"/>
      <c r="BI29" s="361"/>
      <c r="BJ29" s="361"/>
      <c r="BK29" s="361"/>
      <c r="BL29" s="361"/>
      <c r="BM29" s="361"/>
      <c r="BN29" s="361"/>
      <c r="BO29" s="361"/>
      <c r="BP29" s="446"/>
      <c r="BQ29" s="446"/>
      <c r="BR29" s="446"/>
      <c r="BS29" s="174"/>
      <c r="BT29" s="174"/>
      <c r="BU29" s="174"/>
      <c r="BV29" s="174"/>
      <c r="BW29" s="174"/>
      <c r="BX29" s="174"/>
      <c r="BY29" s="395"/>
      <c r="BZ29" s="395"/>
      <c r="CA29" s="395"/>
      <c r="CB29" s="468"/>
      <c r="CC29" s="395"/>
      <c r="CD29" s="395"/>
      <c r="CE29" s="468"/>
      <c r="CF29" s="395"/>
      <c r="CG29" s="187"/>
      <c r="CH29" s="171"/>
      <c r="CI29" s="186"/>
      <c r="CJ29" s="361"/>
      <c r="CK29" s="174"/>
      <c r="CL29" s="174"/>
      <c r="CM29" s="174"/>
      <c r="CN29" s="174"/>
      <c r="CO29" s="174"/>
      <c r="CP29" s="361"/>
      <c r="CQ29" s="363"/>
      <c r="CR29" s="363"/>
      <c r="CS29" s="175"/>
      <c r="CT29" s="175"/>
    </row>
    <row r="30" spans="2:98" x14ac:dyDescent="0.25">
      <c r="B30" s="216"/>
      <c r="C30" s="186"/>
      <c r="D30" s="174"/>
      <c r="E30" s="174"/>
      <c r="F30" s="174"/>
      <c r="G30" s="174"/>
      <c r="H30" s="174"/>
      <c r="I30" s="174"/>
      <c r="J30" s="174"/>
      <c r="K30" s="363"/>
      <c r="L30" s="175"/>
      <c r="M30" s="175"/>
      <c r="N30" s="362"/>
      <c r="O30" s="362"/>
      <c r="P30" s="362"/>
      <c r="Q30" s="362"/>
      <c r="R30" s="362"/>
      <c r="S30" s="362"/>
      <c r="T30" s="362"/>
      <c r="U30" s="362"/>
      <c r="V30" s="362"/>
      <c r="W30" s="362"/>
      <c r="X30" s="362"/>
      <c r="Y30" s="362"/>
      <c r="Z30" s="362"/>
      <c r="AA30" s="362"/>
      <c r="AB30" s="362"/>
      <c r="AC30" s="362"/>
      <c r="AD30" s="362"/>
      <c r="AE30" s="362"/>
      <c r="AF30" s="362"/>
      <c r="AG30" s="362"/>
      <c r="AH30" s="362"/>
      <c r="AI30" s="464"/>
      <c r="AJ30" s="395"/>
      <c r="AK30" s="396"/>
      <c r="AL30" s="464"/>
      <c r="AM30" s="395"/>
      <c r="AN30" s="396"/>
      <c r="AO30" s="464"/>
      <c r="AP30" s="395"/>
      <c r="AQ30" s="396"/>
      <c r="AR30" s="171"/>
      <c r="AS30" s="186"/>
      <c r="AT30" s="361"/>
      <c r="AU30" s="361"/>
      <c r="AV30" s="361"/>
      <c r="AW30" s="446"/>
      <c r="AX30" s="361"/>
      <c r="AY30" s="446"/>
      <c r="AZ30" s="361"/>
      <c r="BA30" s="411"/>
      <c r="BB30" s="411"/>
      <c r="BC30" s="411"/>
      <c r="BD30" s="186"/>
      <c r="BE30" s="364"/>
      <c r="BF30" s="364"/>
      <c r="BG30" s="361"/>
      <c r="BH30" s="361"/>
      <c r="BI30" s="361"/>
      <c r="BJ30" s="361"/>
      <c r="BK30" s="361"/>
      <c r="BL30" s="361"/>
      <c r="BM30" s="361"/>
      <c r="BN30" s="361"/>
      <c r="BO30" s="361"/>
      <c r="BP30" s="446"/>
      <c r="BQ30" s="446"/>
      <c r="BR30" s="446"/>
      <c r="BS30" s="174"/>
      <c r="BT30" s="174"/>
      <c r="BU30" s="174"/>
      <c r="BV30" s="174"/>
      <c r="BW30" s="174"/>
      <c r="BX30" s="174"/>
      <c r="BY30" s="395"/>
      <c r="BZ30" s="395"/>
      <c r="CA30" s="395"/>
      <c r="CB30" s="468"/>
      <c r="CC30" s="395"/>
      <c r="CD30" s="395"/>
      <c r="CE30" s="468"/>
      <c r="CF30" s="395"/>
      <c r="CG30" s="187"/>
      <c r="CH30" s="171"/>
      <c r="CI30" s="186"/>
      <c r="CJ30" s="361"/>
      <c r="CK30" s="174"/>
      <c r="CL30" s="174"/>
      <c r="CM30" s="174"/>
      <c r="CN30" s="174"/>
      <c r="CO30" s="174"/>
      <c r="CP30" s="361"/>
      <c r="CQ30" s="363"/>
      <c r="CR30" s="363"/>
      <c r="CS30" s="175"/>
      <c r="CT30" s="175"/>
    </row>
    <row r="31" spans="2:98" x14ac:dyDescent="0.25">
      <c r="B31" s="216"/>
      <c r="C31" s="186"/>
      <c r="D31" s="174"/>
      <c r="E31" s="174"/>
      <c r="F31" s="174"/>
      <c r="G31" s="174"/>
      <c r="H31" s="174"/>
      <c r="I31" s="174"/>
      <c r="J31" s="174"/>
      <c r="K31" s="363"/>
      <c r="L31" s="175"/>
      <c r="M31" s="175"/>
      <c r="N31" s="362"/>
      <c r="O31" s="362"/>
      <c r="P31" s="362"/>
      <c r="Q31" s="362"/>
      <c r="R31" s="362"/>
      <c r="S31" s="362"/>
      <c r="T31" s="362"/>
      <c r="U31" s="362"/>
      <c r="V31" s="362"/>
      <c r="W31" s="362"/>
      <c r="X31" s="362"/>
      <c r="Y31" s="362"/>
      <c r="Z31" s="362"/>
      <c r="AA31" s="362"/>
      <c r="AB31" s="362"/>
      <c r="AC31" s="362"/>
      <c r="AD31" s="362"/>
      <c r="AE31" s="362"/>
      <c r="AF31" s="362"/>
      <c r="AG31" s="362"/>
      <c r="AH31" s="362"/>
      <c r="AI31" s="464"/>
      <c r="AJ31" s="395"/>
      <c r="AK31" s="396"/>
      <c r="AL31" s="464"/>
      <c r="AM31" s="395"/>
      <c r="AN31" s="396"/>
      <c r="AO31" s="464"/>
      <c r="AP31" s="395"/>
      <c r="AQ31" s="396"/>
      <c r="AR31" s="171"/>
      <c r="AS31" s="186"/>
      <c r="AT31" s="361"/>
      <c r="AU31" s="361"/>
      <c r="AV31" s="361"/>
      <c r="AW31" s="446"/>
      <c r="AX31" s="361"/>
      <c r="AY31" s="446"/>
      <c r="AZ31" s="361"/>
      <c r="BA31" s="411"/>
      <c r="BB31" s="411"/>
      <c r="BC31" s="411"/>
      <c r="BD31" s="186"/>
      <c r="BE31" s="364"/>
      <c r="BF31" s="364"/>
      <c r="BG31" s="361"/>
      <c r="BH31" s="361"/>
      <c r="BI31" s="361"/>
      <c r="BJ31" s="361"/>
      <c r="BK31" s="361"/>
      <c r="BL31" s="361"/>
      <c r="BM31" s="361"/>
      <c r="BN31" s="361"/>
      <c r="BO31" s="361"/>
      <c r="BP31" s="446"/>
      <c r="BQ31" s="446"/>
      <c r="BR31" s="446"/>
      <c r="BS31" s="174"/>
      <c r="BT31" s="174"/>
      <c r="BU31" s="174"/>
      <c r="BV31" s="174"/>
      <c r="BW31" s="174"/>
      <c r="BX31" s="174"/>
      <c r="BY31" s="395"/>
      <c r="BZ31" s="395"/>
      <c r="CA31" s="395"/>
      <c r="CB31" s="468"/>
      <c r="CC31" s="395"/>
      <c r="CD31" s="395"/>
      <c r="CE31" s="468"/>
      <c r="CF31" s="395"/>
      <c r="CG31" s="187"/>
      <c r="CH31" s="171"/>
      <c r="CI31" s="186"/>
      <c r="CJ31" s="361"/>
      <c r="CK31" s="174"/>
      <c r="CL31" s="174"/>
      <c r="CM31" s="174"/>
      <c r="CN31" s="174"/>
      <c r="CO31" s="174"/>
      <c r="CP31" s="361"/>
      <c r="CQ31" s="363"/>
      <c r="CR31" s="363"/>
      <c r="CS31" s="175"/>
      <c r="CT31" s="175"/>
    </row>
    <row r="32" spans="2:98" x14ac:dyDescent="0.25">
      <c r="B32" s="216"/>
      <c r="C32" s="186"/>
      <c r="D32" s="174"/>
      <c r="E32" s="174"/>
      <c r="F32" s="174"/>
      <c r="G32" s="174"/>
      <c r="H32" s="174"/>
      <c r="I32" s="174"/>
      <c r="J32" s="174"/>
      <c r="K32" s="363"/>
      <c r="L32" s="175"/>
      <c r="M32" s="175"/>
      <c r="N32" s="362"/>
      <c r="O32" s="362"/>
      <c r="P32" s="362"/>
      <c r="Q32" s="362"/>
      <c r="R32" s="362"/>
      <c r="S32" s="362"/>
      <c r="T32" s="362"/>
      <c r="U32" s="362"/>
      <c r="V32" s="362"/>
      <c r="W32" s="362"/>
      <c r="X32" s="362"/>
      <c r="Y32" s="362"/>
      <c r="Z32" s="362"/>
      <c r="AA32" s="362"/>
      <c r="AB32" s="362"/>
      <c r="AC32" s="362"/>
      <c r="AD32" s="362"/>
      <c r="AE32" s="362"/>
      <c r="AF32" s="362"/>
      <c r="AG32" s="362"/>
      <c r="AH32" s="362"/>
      <c r="AI32" s="464"/>
      <c r="AJ32" s="395"/>
      <c r="AK32" s="396"/>
      <c r="AL32" s="464"/>
      <c r="AM32" s="395"/>
      <c r="AN32" s="396"/>
      <c r="AO32" s="464"/>
      <c r="AP32" s="395"/>
      <c r="AQ32" s="396"/>
      <c r="AR32" s="171"/>
      <c r="AS32" s="186"/>
      <c r="AT32" s="361"/>
      <c r="AU32" s="361"/>
      <c r="AV32" s="361"/>
      <c r="AW32" s="446"/>
      <c r="AX32" s="361"/>
      <c r="AY32" s="446"/>
      <c r="AZ32" s="361"/>
      <c r="BA32" s="411"/>
      <c r="BB32" s="411"/>
      <c r="BC32" s="411"/>
      <c r="BD32" s="186"/>
      <c r="BE32" s="364"/>
      <c r="BF32" s="364"/>
      <c r="BG32" s="361"/>
      <c r="BH32" s="361"/>
      <c r="BI32" s="361"/>
      <c r="BJ32" s="361"/>
      <c r="BK32" s="361"/>
      <c r="BL32" s="361"/>
      <c r="BM32" s="361"/>
      <c r="BN32" s="361"/>
      <c r="BO32" s="361"/>
      <c r="BP32" s="446"/>
      <c r="BQ32" s="446"/>
      <c r="BR32" s="446"/>
      <c r="BS32" s="174"/>
      <c r="BT32" s="174"/>
      <c r="BU32" s="174"/>
      <c r="BV32" s="174"/>
      <c r="BW32" s="174"/>
      <c r="BX32" s="174"/>
      <c r="BY32" s="395"/>
      <c r="BZ32" s="395"/>
      <c r="CA32" s="395"/>
      <c r="CB32" s="468"/>
      <c r="CC32" s="395"/>
      <c r="CD32" s="395"/>
      <c r="CE32" s="468"/>
      <c r="CF32" s="395"/>
      <c r="CG32" s="187"/>
      <c r="CH32" s="171"/>
      <c r="CI32" s="186"/>
      <c r="CJ32" s="361"/>
      <c r="CK32" s="174"/>
      <c r="CL32" s="174"/>
      <c r="CM32" s="174"/>
      <c r="CN32" s="174"/>
      <c r="CO32" s="174"/>
      <c r="CP32" s="361"/>
      <c r="CQ32" s="363"/>
      <c r="CR32" s="363"/>
      <c r="CS32" s="175"/>
      <c r="CT32" s="175"/>
    </row>
    <row r="33" spans="1:98" x14ac:dyDescent="0.25">
      <c r="B33" s="216"/>
      <c r="C33" s="186"/>
      <c r="D33" s="174"/>
      <c r="E33" s="174"/>
      <c r="F33" s="174"/>
      <c r="G33" s="174"/>
      <c r="H33" s="174"/>
      <c r="I33" s="174"/>
      <c r="J33" s="174"/>
      <c r="K33" s="363"/>
      <c r="L33" s="175"/>
      <c r="M33" s="175"/>
      <c r="N33" s="362"/>
      <c r="O33" s="362"/>
      <c r="P33" s="362"/>
      <c r="Q33" s="362"/>
      <c r="R33" s="362"/>
      <c r="S33" s="362"/>
      <c r="T33" s="362"/>
      <c r="U33" s="362"/>
      <c r="V33" s="362"/>
      <c r="W33" s="362"/>
      <c r="X33" s="362"/>
      <c r="Y33" s="362"/>
      <c r="Z33" s="362"/>
      <c r="AA33" s="362"/>
      <c r="AB33" s="362"/>
      <c r="AC33" s="362"/>
      <c r="AD33" s="362"/>
      <c r="AE33" s="362"/>
      <c r="AF33" s="362"/>
      <c r="AG33" s="362"/>
      <c r="AH33" s="362"/>
      <c r="AI33" s="464"/>
      <c r="AJ33" s="395"/>
      <c r="AK33" s="396"/>
      <c r="AL33" s="464"/>
      <c r="AM33" s="395"/>
      <c r="AN33" s="396"/>
      <c r="AO33" s="464"/>
      <c r="AP33" s="395"/>
      <c r="AQ33" s="396"/>
      <c r="AR33" s="171"/>
      <c r="AS33" s="186"/>
      <c r="AT33" s="361"/>
      <c r="AU33" s="361"/>
      <c r="AV33" s="361"/>
      <c r="AW33" s="446"/>
      <c r="AX33" s="361"/>
      <c r="AY33" s="446"/>
      <c r="AZ33" s="361"/>
      <c r="BA33" s="411"/>
      <c r="BB33" s="411"/>
      <c r="BC33" s="411"/>
      <c r="BD33" s="186"/>
      <c r="BE33" s="364"/>
      <c r="BF33" s="364"/>
      <c r="BG33" s="361"/>
      <c r="BH33" s="361"/>
      <c r="BI33" s="361"/>
      <c r="BJ33" s="361"/>
      <c r="BK33" s="361"/>
      <c r="BL33" s="361"/>
      <c r="BM33" s="361"/>
      <c r="BN33" s="361"/>
      <c r="BO33" s="361"/>
      <c r="BP33" s="446"/>
      <c r="BQ33" s="446"/>
      <c r="BR33" s="446"/>
      <c r="BS33" s="174"/>
      <c r="BT33" s="174"/>
      <c r="BU33" s="174"/>
      <c r="BV33" s="174"/>
      <c r="BW33" s="174"/>
      <c r="BX33" s="174"/>
      <c r="BY33" s="395"/>
      <c r="BZ33" s="395"/>
      <c r="CA33" s="395"/>
      <c r="CB33" s="468"/>
      <c r="CC33" s="395"/>
      <c r="CD33" s="395"/>
      <c r="CE33" s="468"/>
      <c r="CF33" s="395"/>
      <c r="CG33" s="187"/>
      <c r="CH33" s="171"/>
      <c r="CI33" s="186"/>
      <c r="CJ33" s="361"/>
      <c r="CK33" s="174"/>
      <c r="CL33" s="174"/>
      <c r="CM33" s="174"/>
      <c r="CN33" s="174"/>
      <c r="CO33" s="174"/>
      <c r="CP33" s="361"/>
      <c r="CQ33" s="363"/>
      <c r="CR33" s="363"/>
      <c r="CS33" s="175"/>
      <c r="CT33" s="175"/>
    </row>
    <row r="34" spans="1:98" x14ac:dyDescent="0.25">
      <c r="B34" s="216"/>
      <c r="C34" s="186"/>
      <c r="D34" s="174"/>
      <c r="E34" s="174"/>
      <c r="F34" s="174"/>
      <c r="G34" s="174"/>
      <c r="H34" s="174"/>
      <c r="I34" s="174"/>
      <c r="J34" s="174"/>
      <c r="K34" s="363"/>
      <c r="L34" s="175"/>
      <c r="M34" s="175"/>
      <c r="N34" s="362"/>
      <c r="O34" s="362"/>
      <c r="P34" s="362"/>
      <c r="Q34" s="362"/>
      <c r="R34" s="362"/>
      <c r="S34" s="362"/>
      <c r="T34" s="362"/>
      <c r="U34" s="362"/>
      <c r="V34" s="362"/>
      <c r="W34" s="362"/>
      <c r="X34" s="362"/>
      <c r="Y34" s="362"/>
      <c r="Z34" s="362"/>
      <c r="AA34" s="362"/>
      <c r="AB34" s="362"/>
      <c r="AC34" s="362"/>
      <c r="AD34" s="362"/>
      <c r="AE34" s="362"/>
      <c r="AF34" s="362"/>
      <c r="AG34" s="362"/>
      <c r="AH34" s="362"/>
      <c r="AI34" s="464"/>
      <c r="AJ34" s="395"/>
      <c r="AK34" s="396"/>
      <c r="AL34" s="464"/>
      <c r="AM34" s="395"/>
      <c r="AN34" s="396"/>
      <c r="AO34" s="464"/>
      <c r="AP34" s="395"/>
      <c r="AQ34" s="396"/>
      <c r="AR34" s="171"/>
      <c r="AS34" s="186"/>
      <c r="AT34" s="361"/>
      <c r="AU34" s="361"/>
      <c r="AV34" s="361"/>
      <c r="AW34" s="446"/>
      <c r="AX34" s="361"/>
      <c r="AY34" s="446"/>
      <c r="AZ34" s="361"/>
      <c r="BA34" s="411"/>
      <c r="BB34" s="411"/>
      <c r="BC34" s="411"/>
      <c r="BD34" s="186"/>
      <c r="BE34" s="364"/>
      <c r="BF34" s="364"/>
      <c r="BG34" s="361"/>
      <c r="BH34" s="361"/>
      <c r="BI34" s="361"/>
      <c r="BJ34" s="361"/>
      <c r="BK34" s="361"/>
      <c r="BL34" s="361"/>
      <c r="BM34" s="361"/>
      <c r="BN34" s="361"/>
      <c r="BO34" s="361"/>
      <c r="BP34" s="446"/>
      <c r="BQ34" s="446"/>
      <c r="BR34" s="446"/>
      <c r="BS34" s="174"/>
      <c r="BT34" s="174"/>
      <c r="BU34" s="174"/>
      <c r="BV34" s="174"/>
      <c r="BW34" s="174"/>
      <c r="BX34" s="174"/>
      <c r="BY34" s="395"/>
      <c r="BZ34" s="395"/>
      <c r="CA34" s="395"/>
      <c r="CB34" s="468"/>
      <c r="CC34" s="395"/>
      <c r="CD34" s="395"/>
      <c r="CE34" s="468"/>
      <c r="CF34" s="395"/>
      <c r="CG34" s="187"/>
      <c r="CH34" s="171"/>
      <c r="CI34" s="186"/>
      <c r="CJ34" s="361"/>
      <c r="CK34" s="174"/>
      <c r="CL34" s="174"/>
      <c r="CM34" s="174"/>
      <c r="CN34" s="174"/>
      <c r="CO34" s="174"/>
      <c r="CP34" s="361"/>
      <c r="CQ34" s="363"/>
      <c r="CR34" s="363"/>
      <c r="CS34" s="175"/>
      <c r="CT34" s="175"/>
    </row>
    <row r="35" spans="1:98" x14ac:dyDescent="0.25">
      <c r="B35" s="216"/>
      <c r="C35" s="186"/>
      <c r="D35" s="174"/>
      <c r="E35" s="174"/>
      <c r="F35" s="174"/>
      <c r="G35" s="174"/>
      <c r="H35" s="174"/>
      <c r="I35" s="174"/>
      <c r="J35" s="174"/>
      <c r="K35" s="363"/>
      <c r="L35" s="175"/>
      <c r="M35" s="175"/>
      <c r="N35" s="362"/>
      <c r="O35" s="362"/>
      <c r="P35" s="362"/>
      <c r="Q35" s="362"/>
      <c r="R35" s="362"/>
      <c r="S35" s="362"/>
      <c r="T35" s="362"/>
      <c r="U35" s="362"/>
      <c r="V35" s="362"/>
      <c r="W35" s="362"/>
      <c r="X35" s="362"/>
      <c r="Y35" s="362"/>
      <c r="Z35" s="362"/>
      <c r="AA35" s="362"/>
      <c r="AB35" s="362"/>
      <c r="AC35" s="362"/>
      <c r="AD35" s="362"/>
      <c r="AE35" s="362"/>
      <c r="AF35" s="362"/>
      <c r="AG35" s="362"/>
      <c r="AH35" s="362"/>
      <c r="AI35" s="464"/>
      <c r="AJ35" s="395"/>
      <c r="AK35" s="396"/>
      <c r="AL35" s="464"/>
      <c r="AM35" s="395"/>
      <c r="AN35" s="396"/>
      <c r="AO35" s="464"/>
      <c r="AP35" s="395"/>
      <c r="AQ35" s="396"/>
      <c r="AR35" s="171"/>
      <c r="AS35" s="186"/>
      <c r="AT35" s="361"/>
      <c r="AU35" s="361"/>
      <c r="AV35" s="361"/>
      <c r="AW35" s="446"/>
      <c r="AX35" s="361"/>
      <c r="AY35" s="446"/>
      <c r="AZ35" s="361"/>
      <c r="BA35" s="411"/>
      <c r="BB35" s="411"/>
      <c r="BC35" s="411"/>
      <c r="BD35" s="186"/>
      <c r="BE35" s="364"/>
      <c r="BF35" s="364"/>
      <c r="BG35" s="361"/>
      <c r="BH35" s="361"/>
      <c r="BI35" s="361"/>
      <c r="BJ35" s="361"/>
      <c r="BK35" s="361"/>
      <c r="BL35" s="361"/>
      <c r="BM35" s="361"/>
      <c r="BN35" s="361"/>
      <c r="BO35" s="361"/>
      <c r="BP35" s="446"/>
      <c r="BQ35" s="446"/>
      <c r="BR35" s="446"/>
      <c r="BS35" s="174"/>
      <c r="BT35" s="174"/>
      <c r="BU35" s="174"/>
      <c r="BV35" s="174"/>
      <c r="BW35" s="174"/>
      <c r="BX35" s="174"/>
      <c r="BY35" s="395"/>
      <c r="BZ35" s="395"/>
      <c r="CA35" s="395"/>
      <c r="CB35" s="468"/>
      <c r="CC35" s="395"/>
      <c r="CD35" s="395"/>
      <c r="CE35" s="468"/>
      <c r="CF35" s="395"/>
      <c r="CG35" s="187"/>
      <c r="CH35" s="171"/>
      <c r="CI35" s="186"/>
      <c r="CJ35" s="361"/>
      <c r="CK35" s="174"/>
      <c r="CL35" s="174"/>
      <c r="CM35" s="174"/>
      <c r="CN35" s="174"/>
      <c r="CO35" s="174"/>
      <c r="CP35" s="361"/>
      <c r="CQ35" s="363"/>
      <c r="CR35" s="363"/>
      <c r="CS35" s="175"/>
      <c r="CT35" s="175"/>
    </row>
    <row r="36" spans="1:98" x14ac:dyDescent="0.25">
      <c r="B36" s="216"/>
      <c r="C36" s="186"/>
      <c r="D36" s="174"/>
      <c r="E36" s="174"/>
      <c r="F36" s="174"/>
      <c r="G36" s="174"/>
      <c r="H36" s="174"/>
      <c r="I36" s="174"/>
      <c r="J36" s="174"/>
      <c r="K36" s="363"/>
      <c r="L36" s="175"/>
      <c r="M36" s="175"/>
      <c r="N36" s="362"/>
      <c r="O36" s="362"/>
      <c r="P36" s="362"/>
      <c r="Q36" s="362"/>
      <c r="R36" s="362"/>
      <c r="S36" s="362"/>
      <c r="T36" s="362"/>
      <c r="U36" s="362"/>
      <c r="V36" s="362"/>
      <c r="W36" s="362"/>
      <c r="X36" s="362"/>
      <c r="Y36" s="362"/>
      <c r="Z36" s="362"/>
      <c r="AA36" s="362"/>
      <c r="AB36" s="362"/>
      <c r="AC36" s="362"/>
      <c r="AD36" s="362"/>
      <c r="AE36" s="362"/>
      <c r="AF36" s="362"/>
      <c r="AG36" s="362"/>
      <c r="AH36" s="362"/>
      <c r="AI36" s="464"/>
      <c r="AJ36" s="395"/>
      <c r="AK36" s="396"/>
      <c r="AL36" s="464"/>
      <c r="AM36" s="395"/>
      <c r="AN36" s="396"/>
      <c r="AO36" s="464"/>
      <c r="AP36" s="395"/>
      <c r="AQ36" s="396"/>
      <c r="AR36" s="171"/>
      <c r="AS36" s="186"/>
      <c r="AT36" s="361"/>
      <c r="AU36" s="361"/>
      <c r="AV36" s="361"/>
      <c r="AW36" s="446"/>
      <c r="AX36" s="361"/>
      <c r="AY36" s="446"/>
      <c r="AZ36" s="361"/>
      <c r="BA36" s="411"/>
      <c r="BB36" s="411"/>
      <c r="BC36" s="411"/>
      <c r="BD36" s="186"/>
      <c r="BE36" s="364"/>
      <c r="BF36" s="364"/>
      <c r="BG36" s="361"/>
      <c r="BH36" s="361"/>
      <c r="BI36" s="361"/>
      <c r="BJ36" s="361"/>
      <c r="BK36" s="361"/>
      <c r="BL36" s="361"/>
      <c r="BM36" s="361"/>
      <c r="BN36" s="361"/>
      <c r="BO36" s="361"/>
      <c r="BP36" s="446"/>
      <c r="BQ36" s="446"/>
      <c r="BR36" s="446"/>
      <c r="BS36" s="174"/>
      <c r="BT36" s="174"/>
      <c r="BU36" s="174"/>
      <c r="BV36" s="174"/>
      <c r="BW36" s="174"/>
      <c r="BX36" s="174"/>
      <c r="BY36" s="395"/>
      <c r="BZ36" s="395"/>
      <c r="CA36" s="395"/>
      <c r="CB36" s="468"/>
      <c r="CC36" s="395"/>
      <c r="CD36" s="395"/>
      <c r="CE36" s="468"/>
      <c r="CF36" s="395"/>
      <c r="CG36" s="187"/>
      <c r="CH36" s="171"/>
      <c r="CI36" s="186"/>
      <c r="CJ36" s="361"/>
      <c r="CK36" s="174"/>
      <c r="CL36" s="174"/>
      <c r="CM36" s="174"/>
      <c r="CN36" s="174"/>
      <c r="CO36" s="174"/>
      <c r="CP36" s="361"/>
      <c r="CQ36" s="363"/>
      <c r="CR36" s="363"/>
      <c r="CS36" s="175"/>
      <c r="CT36" s="175"/>
    </row>
    <row r="37" spans="1:98" x14ac:dyDescent="0.25">
      <c r="B37" s="216"/>
      <c r="C37" s="186"/>
      <c r="D37" s="174"/>
      <c r="E37" s="174"/>
      <c r="F37" s="174"/>
      <c r="G37" s="174"/>
      <c r="H37" s="174"/>
      <c r="I37" s="174"/>
      <c r="J37" s="174"/>
      <c r="K37" s="363"/>
      <c r="L37" s="175"/>
      <c r="M37" s="175"/>
      <c r="N37" s="362"/>
      <c r="O37" s="362"/>
      <c r="P37" s="362"/>
      <c r="Q37" s="362"/>
      <c r="R37" s="362"/>
      <c r="S37" s="362"/>
      <c r="T37" s="362"/>
      <c r="U37" s="362"/>
      <c r="V37" s="362"/>
      <c r="W37" s="362"/>
      <c r="X37" s="362"/>
      <c r="Y37" s="362"/>
      <c r="Z37" s="362"/>
      <c r="AA37" s="362"/>
      <c r="AB37" s="362"/>
      <c r="AC37" s="362"/>
      <c r="AD37" s="362"/>
      <c r="AE37" s="362"/>
      <c r="AF37" s="362"/>
      <c r="AG37" s="362"/>
      <c r="AH37" s="362"/>
      <c r="AI37" s="464"/>
      <c r="AJ37" s="395"/>
      <c r="AK37" s="396"/>
      <c r="AL37" s="464"/>
      <c r="AM37" s="395"/>
      <c r="AN37" s="396"/>
      <c r="AO37" s="464"/>
      <c r="AP37" s="395"/>
      <c r="AQ37" s="396"/>
      <c r="AR37" s="171"/>
      <c r="AS37" s="186"/>
      <c r="AT37" s="361"/>
      <c r="AU37" s="361"/>
      <c r="AV37" s="361"/>
      <c r="AW37" s="446"/>
      <c r="AX37" s="361"/>
      <c r="AY37" s="446"/>
      <c r="AZ37" s="361"/>
      <c r="BA37" s="411"/>
      <c r="BB37" s="411"/>
      <c r="BC37" s="411"/>
      <c r="BD37" s="186"/>
      <c r="BE37" s="364"/>
      <c r="BF37" s="364"/>
      <c r="BG37" s="361"/>
      <c r="BH37" s="361"/>
      <c r="BI37" s="361"/>
      <c r="BJ37" s="361"/>
      <c r="BK37" s="361"/>
      <c r="BL37" s="361"/>
      <c r="BM37" s="361"/>
      <c r="BN37" s="361"/>
      <c r="BO37" s="361"/>
      <c r="BP37" s="446"/>
      <c r="BQ37" s="446"/>
      <c r="BR37" s="446"/>
      <c r="BS37" s="174"/>
      <c r="BT37" s="174"/>
      <c r="BU37" s="174"/>
      <c r="BV37" s="174"/>
      <c r="BW37" s="174"/>
      <c r="BX37" s="174"/>
      <c r="BY37" s="395"/>
      <c r="BZ37" s="395"/>
      <c r="CA37" s="395"/>
      <c r="CB37" s="468"/>
      <c r="CC37" s="395"/>
      <c r="CD37" s="395"/>
      <c r="CE37" s="468"/>
      <c r="CF37" s="395"/>
      <c r="CG37" s="187"/>
      <c r="CH37" s="171"/>
      <c r="CI37" s="186"/>
      <c r="CJ37" s="361"/>
      <c r="CK37" s="174"/>
      <c r="CL37" s="174"/>
      <c r="CM37" s="174"/>
      <c r="CN37" s="174"/>
      <c r="CO37" s="174"/>
      <c r="CP37" s="361"/>
      <c r="CQ37" s="363"/>
      <c r="CR37" s="363"/>
      <c r="CS37" s="175"/>
      <c r="CT37" s="175"/>
    </row>
    <row r="38" spans="1:98" x14ac:dyDescent="0.25">
      <c r="B38" s="216"/>
      <c r="C38" s="186"/>
      <c r="D38" s="174"/>
      <c r="E38" s="174"/>
      <c r="F38" s="174"/>
      <c r="G38" s="174"/>
      <c r="H38" s="174"/>
      <c r="I38" s="174"/>
      <c r="J38" s="174"/>
      <c r="K38" s="363"/>
      <c r="L38" s="175"/>
      <c r="M38" s="175"/>
      <c r="N38" s="362"/>
      <c r="O38" s="362"/>
      <c r="P38" s="362"/>
      <c r="Q38" s="362"/>
      <c r="R38" s="362"/>
      <c r="S38" s="362"/>
      <c r="T38" s="362"/>
      <c r="U38" s="362"/>
      <c r="V38" s="362"/>
      <c r="W38" s="362"/>
      <c r="X38" s="362"/>
      <c r="Y38" s="362"/>
      <c r="Z38" s="362"/>
      <c r="AA38" s="362"/>
      <c r="AB38" s="362"/>
      <c r="AC38" s="362"/>
      <c r="AD38" s="362"/>
      <c r="AE38" s="362"/>
      <c r="AF38" s="362"/>
      <c r="AG38" s="362"/>
      <c r="AH38" s="362"/>
      <c r="AI38" s="464"/>
      <c r="AJ38" s="395"/>
      <c r="AK38" s="396"/>
      <c r="AL38" s="464"/>
      <c r="AM38" s="395"/>
      <c r="AN38" s="396"/>
      <c r="AO38" s="464"/>
      <c r="AP38" s="395"/>
      <c r="AQ38" s="396"/>
      <c r="AR38" s="171"/>
      <c r="AS38" s="186"/>
      <c r="AT38" s="361"/>
      <c r="AU38" s="361"/>
      <c r="AV38" s="361"/>
      <c r="AW38" s="446"/>
      <c r="AX38" s="361"/>
      <c r="AY38" s="446"/>
      <c r="AZ38" s="361"/>
      <c r="BA38" s="411"/>
      <c r="BB38" s="411"/>
      <c r="BC38" s="411"/>
      <c r="BD38" s="186"/>
      <c r="BE38" s="364"/>
      <c r="BF38" s="364"/>
      <c r="BG38" s="361"/>
      <c r="BH38" s="361"/>
      <c r="BI38" s="361"/>
      <c r="BJ38" s="361"/>
      <c r="BK38" s="361"/>
      <c r="BL38" s="361"/>
      <c r="BM38" s="361"/>
      <c r="BN38" s="361"/>
      <c r="BO38" s="361"/>
      <c r="BP38" s="446"/>
      <c r="BQ38" s="446"/>
      <c r="BR38" s="446"/>
      <c r="BS38" s="174"/>
      <c r="BT38" s="174"/>
      <c r="BU38" s="174"/>
      <c r="BV38" s="174"/>
      <c r="BW38" s="174"/>
      <c r="BX38" s="174"/>
      <c r="BY38" s="395"/>
      <c r="BZ38" s="395"/>
      <c r="CA38" s="395"/>
      <c r="CB38" s="468"/>
      <c r="CC38" s="395"/>
      <c r="CD38" s="395"/>
      <c r="CE38" s="468"/>
      <c r="CF38" s="395"/>
      <c r="CG38" s="187"/>
      <c r="CH38" s="171"/>
      <c r="CI38" s="186"/>
      <c r="CJ38" s="361"/>
      <c r="CK38" s="174"/>
      <c r="CL38" s="174"/>
      <c r="CM38" s="174"/>
      <c r="CN38" s="174"/>
      <c r="CO38" s="174"/>
      <c r="CP38" s="361"/>
      <c r="CQ38" s="363"/>
      <c r="CR38" s="363"/>
      <c r="CS38" s="175"/>
      <c r="CT38" s="175"/>
    </row>
    <row r="39" spans="1:98" x14ac:dyDescent="0.25">
      <c r="B39" s="216"/>
      <c r="C39" s="186"/>
      <c r="D39" s="174"/>
      <c r="E39" s="174"/>
      <c r="F39" s="174"/>
      <c r="G39" s="174"/>
      <c r="H39" s="174"/>
      <c r="I39" s="174"/>
      <c r="J39" s="174"/>
      <c r="K39" s="363"/>
      <c r="L39" s="175"/>
      <c r="M39" s="175"/>
      <c r="N39" s="362"/>
      <c r="O39" s="362"/>
      <c r="P39" s="362"/>
      <c r="Q39" s="362"/>
      <c r="R39" s="362"/>
      <c r="S39" s="362"/>
      <c r="T39" s="362"/>
      <c r="U39" s="362"/>
      <c r="V39" s="362"/>
      <c r="W39" s="362"/>
      <c r="X39" s="362"/>
      <c r="Y39" s="362"/>
      <c r="Z39" s="362"/>
      <c r="AA39" s="362"/>
      <c r="AB39" s="362"/>
      <c r="AC39" s="362"/>
      <c r="AD39" s="362"/>
      <c r="AE39" s="362"/>
      <c r="AF39" s="362"/>
      <c r="AG39" s="362"/>
      <c r="AH39" s="362"/>
      <c r="AI39" s="464"/>
      <c r="AJ39" s="395"/>
      <c r="AK39" s="396"/>
      <c r="AL39" s="464"/>
      <c r="AM39" s="395"/>
      <c r="AN39" s="396"/>
      <c r="AO39" s="464"/>
      <c r="AP39" s="395"/>
      <c r="AQ39" s="396"/>
      <c r="AR39" s="171"/>
      <c r="AS39" s="186"/>
      <c r="AT39" s="361"/>
      <c r="AU39" s="361"/>
      <c r="AV39" s="361"/>
      <c r="AW39" s="446"/>
      <c r="AX39" s="361"/>
      <c r="AY39" s="446"/>
      <c r="AZ39" s="361"/>
      <c r="BA39" s="411"/>
      <c r="BB39" s="411"/>
      <c r="BC39" s="411"/>
      <c r="BD39" s="186"/>
      <c r="BE39" s="364"/>
      <c r="BF39" s="364"/>
      <c r="BG39" s="361"/>
      <c r="BH39" s="361"/>
      <c r="BI39" s="361"/>
      <c r="BJ39" s="361"/>
      <c r="BK39" s="361"/>
      <c r="BL39" s="361"/>
      <c r="BM39" s="361"/>
      <c r="BN39" s="361"/>
      <c r="BO39" s="361"/>
      <c r="BP39" s="446"/>
      <c r="BQ39" s="446"/>
      <c r="BR39" s="446"/>
      <c r="BS39" s="174"/>
      <c r="BT39" s="174"/>
      <c r="BU39" s="174"/>
      <c r="BV39" s="174"/>
      <c r="BW39" s="174"/>
      <c r="BX39" s="174"/>
      <c r="BY39" s="395"/>
      <c r="BZ39" s="395"/>
      <c r="CA39" s="395"/>
      <c r="CB39" s="468"/>
      <c r="CC39" s="395"/>
      <c r="CD39" s="395"/>
      <c r="CE39" s="468"/>
      <c r="CF39" s="395"/>
      <c r="CG39" s="187"/>
      <c r="CH39" s="171"/>
      <c r="CI39" s="186"/>
      <c r="CJ39" s="361"/>
      <c r="CK39" s="174"/>
      <c r="CL39" s="174"/>
      <c r="CM39" s="174"/>
      <c r="CN39" s="174"/>
      <c r="CO39" s="174"/>
      <c r="CP39" s="361"/>
      <c r="CQ39" s="363"/>
      <c r="CR39" s="363"/>
      <c r="CS39" s="175"/>
      <c r="CT39" s="175"/>
    </row>
    <row r="40" spans="1:98" x14ac:dyDescent="0.25">
      <c r="B40" s="216"/>
      <c r="C40" s="186"/>
      <c r="D40" s="174"/>
      <c r="E40" s="174"/>
      <c r="F40" s="174"/>
      <c r="G40" s="174"/>
      <c r="H40" s="174"/>
      <c r="I40" s="174"/>
      <c r="J40" s="174"/>
      <c r="K40" s="363"/>
      <c r="L40" s="175"/>
      <c r="M40" s="175"/>
      <c r="N40" s="362"/>
      <c r="O40" s="362"/>
      <c r="P40" s="362"/>
      <c r="Q40" s="362"/>
      <c r="R40" s="362"/>
      <c r="S40" s="362"/>
      <c r="T40" s="362"/>
      <c r="U40" s="362"/>
      <c r="V40" s="362"/>
      <c r="W40" s="362"/>
      <c r="X40" s="362"/>
      <c r="Y40" s="362"/>
      <c r="Z40" s="362"/>
      <c r="AA40" s="362"/>
      <c r="AB40" s="362"/>
      <c r="AC40" s="362"/>
      <c r="AD40" s="362"/>
      <c r="AE40" s="362"/>
      <c r="AF40" s="362"/>
      <c r="AG40" s="362"/>
      <c r="AH40" s="362"/>
      <c r="AI40" s="464"/>
      <c r="AJ40" s="395"/>
      <c r="AK40" s="396"/>
      <c r="AL40" s="464"/>
      <c r="AM40" s="395"/>
      <c r="AN40" s="396"/>
      <c r="AO40" s="464"/>
      <c r="AP40" s="395"/>
      <c r="AQ40" s="396"/>
      <c r="AR40" s="171"/>
      <c r="AS40" s="186"/>
      <c r="AT40" s="361"/>
      <c r="AU40" s="361"/>
      <c r="AV40" s="361"/>
      <c r="AW40" s="446"/>
      <c r="AX40" s="361"/>
      <c r="AY40" s="446"/>
      <c r="AZ40" s="361"/>
      <c r="BA40" s="411"/>
      <c r="BB40" s="411"/>
      <c r="BC40" s="411"/>
      <c r="BD40" s="186"/>
      <c r="BE40" s="364"/>
      <c r="BF40" s="364"/>
      <c r="BG40" s="361"/>
      <c r="BH40" s="361"/>
      <c r="BI40" s="361"/>
      <c r="BJ40" s="361"/>
      <c r="BK40" s="361"/>
      <c r="BL40" s="361"/>
      <c r="BM40" s="361"/>
      <c r="BN40" s="361"/>
      <c r="BO40" s="361"/>
      <c r="BP40" s="446"/>
      <c r="BQ40" s="446"/>
      <c r="BR40" s="446"/>
      <c r="BS40" s="174"/>
      <c r="BT40" s="174"/>
      <c r="BU40" s="174"/>
      <c r="BV40" s="174"/>
      <c r="BW40" s="174"/>
      <c r="BX40" s="174"/>
      <c r="BY40" s="395"/>
      <c r="BZ40" s="395"/>
      <c r="CA40" s="395"/>
      <c r="CB40" s="468"/>
      <c r="CC40" s="395"/>
      <c r="CD40" s="395"/>
      <c r="CE40" s="468"/>
      <c r="CF40" s="395"/>
      <c r="CG40" s="187"/>
      <c r="CH40" s="171"/>
      <c r="CI40" s="186"/>
      <c r="CJ40" s="361"/>
      <c r="CK40" s="174"/>
      <c r="CL40" s="174"/>
      <c r="CM40" s="174"/>
      <c r="CN40" s="174"/>
      <c r="CO40" s="174"/>
      <c r="CP40" s="361"/>
      <c r="CQ40" s="363"/>
      <c r="CR40" s="363"/>
      <c r="CS40" s="175"/>
      <c r="CT40" s="175"/>
    </row>
    <row r="41" spans="1:98" x14ac:dyDescent="0.25">
      <c r="B41" s="216"/>
      <c r="C41" s="186"/>
      <c r="D41" s="174"/>
      <c r="E41" s="174"/>
      <c r="F41" s="174"/>
      <c r="G41" s="174"/>
      <c r="H41" s="174"/>
      <c r="I41" s="174"/>
      <c r="J41" s="174"/>
      <c r="K41" s="363"/>
      <c r="L41" s="175"/>
      <c r="M41" s="175"/>
      <c r="N41" s="362"/>
      <c r="O41" s="362"/>
      <c r="P41" s="362"/>
      <c r="Q41" s="362"/>
      <c r="R41" s="362"/>
      <c r="S41" s="362"/>
      <c r="T41" s="362"/>
      <c r="U41" s="362"/>
      <c r="V41" s="362"/>
      <c r="W41" s="362"/>
      <c r="X41" s="362"/>
      <c r="Y41" s="362"/>
      <c r="Z41" s="362"/>
      <c r="AA41" s="362"/>
      <c r="AB41" s="362"/>
      <c r="AC41" s="362"/>
      <c r="AD41" s="362"/>
      <c r="AE41" s="362"/>
      <c r="AF41" s="362"/>
      <c r="AG41" s="362"/>
      <c r="AH41" s="362"/>
      <c r="AI41" s="464"/>
      <c r="AJ41" s="395"/>
      <c r="AK41" s="396"/>
      <c r="AL41" s="464"/>
      <c r="AM41" s="395"/>
      <c r="AN41" s="396"/>
      <c r="AO41" s="464"/>
      <c r="AP41" s="395"/>
      <c r="AQ41" s="396"/>
      <c r="AR41" s="171"/>
      <c r="AS41" s="186"/>
      <c r="AT41" s="361"/>
      <c r="AU41" s="361"/>
      <c r="AV41" s="361"/>
      <c r="AW41" s="446"/>
      <c r="AX41" s="361"/>
      <c r="AY41" s="446"/>
      <c r="AZ41" s="361"/>
      <c r="BA41" s="411"/>
      <c r="BB41" s="411"/>
      <c r="BC41" s="411"/>
      <c r="BD41" s="186"/>
      <c r="BE41" s="364"/>
      <c r="BF41" s="364"/>
      <c r="BG41" s="361"/>
      <c r="BH41" s="361"/>
      <c r="BI41" s="361"/>
      <c r="BJ41" s="361"/>
      <c r="BK41" s="361"/>
      <c r="BL41" s="361"/>
      <c r="BM41" s="361"/>
      <c r="BN41" s="361"/>
      <c r="BO41" s="361"/>
      <c r="BP41" s="446"/>
      <c r="BQ41" s="446"/>
      <c r="BR41" s="446"/>
      <c r="BS41" s="174"/>
      <c r="BT41" s="174"/>
      <c r="BU41" s="174"/>
      <c r="BV41" s="174"/>
      <c r="BW41" s="174"/>
      <c r="BX41" s="174"/>
      <c r="BY41" s="395"/>
      <c r="BZ41" s="395"/>
      <c r="CA41" s="395"/>
      <c r="CB41" s="468"/>
      <c r="CC41" s="395"/>
      <c r="CD41" s="395"/>
      <c r="CE41" s="468"/>
      <c r="CF41" s="395"/>
      <c r="CG41" s="187"/>
      <c r="CH41" s="171"/>
      <c r="CI41" s="186"/>
      <c r="CJ41" s="361"/>
      <c r="CK41" s="174"/>
      <c r="CL41" s="174"/>
      <c r="CM41" s="174"/>
      <c r="CN41" s="174"/>
      <c r="CO41" s="174"/>
      <c r="CP41" s="361"/>
      <c r="CQ41" s="363"/>
      <c r="CR41" s="363"/>
      <c r="CS41" s="175"/>
      <c r="CT41" s="175"/>
    </row>
    <row r="42" spans="1:98" x14ac:dyDescent="0.25">
      <c r="B42" s="216"/>
      <c r="C42" s="186"/>
      <c r="D42" s="174"/>
      <c r="E42" s="174"/>
      <c r="F42" s="174"/>
      <c r="G42" s="174"/>
      <c r="H42" s="174"/>
      <c r="I42" s="174"/>
      <c r="J42" s="174"/>
      <c r="K42" s="363"/>
      <c r="L42" s="175"/>
      <c r="M42" s="175"/>
      <c r="N42" s="362"/>
      <c r="O42" s="362"/>
      <c r="P42" s="362"/>
      <c r="Q42" s="362"/>
      <c r="R42" s="362"/>
      <c r="S42" s="362"/>
      <c r="T42" s="362"/>
      <c r="U42" s="362"/>
      <c r="V42" s="362"/>
      <c r="W42" s="362"/>
      <c r="X42" s="362"/>
      <c r="Y42" s="362"/>
      <c r="Z42" s="362"/>
      <c r="AA42" s="362"/>
      <c r="AB42" s="362"/>
      <c r="AC42" s="362"/>
      <c r="AD42" s="362"/>
      <c r="AE42" s="362"/>
      <c r="AF42" s="362"/>
      <c r="AG42" s="362"/>
      <c r="AH42" s="362"/>
      <c r="AI42" s="464"/>
      <c r="AJ42" s="395"/>
      <c r="AK42" s="396"/>
      <c r="AL42" s="464"/>
      <c r="AM42" s="395"/>
      <c r="AN42" s="396"/>
      <c r="AO42" s="464"/>
      <c r="AP42" s="395"/>
      <c r="AQ42" s="396"/>
      <c r="AR42" s="171"/>
      <c r="AS42" s="186"/>
      <c r="AT42" s="361"/>
      <c r="AU42" s="361"/>
      <c r="AV42" s="361"/>
      <c r="AW42" s="446"/>
      <c r="AX42" s="361"/>
      <c r="AY42" s="446"/>
      <c r="AZ42" s="361"/>
      <c r="BA42" s="411"/>
      <c r="BB42" s="411"/>
      <c r="BC42" s="411"/>
      <c r="BD42" s="186"/>
      <c r="BE42" s="364"/>
      <c r="BF42" s="364"/>
      <c r="BG42" s="361"/>
      <c r="BH42" s="361"/>
      <c r="BI42" s="361"/>
      <c r="BJ42" s="361"/>
      <c r="BK42" s="361"/>
      <c r="BL42" s="361"/>
      <c r="BM42" s="361"/>
      <c r="BN42" s="361"/>
      <c r="BO42" s="361"/>
      <c r="BP42" s="446"/>
      <c r="BQ42" s="446"/>
      <c r="BR42" s="446"/>
      <c r="BS42" s="174"/>
      <c r="BT42" s="174"/>
      <c r="BU42" s="174"/>
      <c r="BV42" s="174"/>
      <c r="BW42" s="174"/>
      <c r="BX42" s="174"/>
      <c r="BY42" s="395"/>
      <c r="BZ42" s="395"/>
      <c r="CA42" s="395"/>
      <c r="CB42" s="468"/>
      <c r="CC42" s="395"/>
      <c r="CD42" s="395"/>
      <c r="CE42" s="468"/>
      <c r="CF42" s="395"/>
      <c r="CG42" s="187"/>
      <c r="CH42" s="171"/>
      <c r="CI42" s="186"/>
      <c r="CJ42" s="361"/>
      <c r="CK42" s="174"/>
      <c r="CL42" s="174"/>
      <c r="CM42" s="174"/>
      <c r="CN42" s="174"/>
      <c r="CO42" s="174"/>
      <c r="CP42" s="361"/>
      <c r="CQ42" s="363"/>
      <c r="CR42" s="363"/>
      <c r="CS42" s="175"/>
      <c r="CT42" s="175"/>
    </row>
    <row r="43" spans="1:98" x14ac:dyDescent="0.25">
      <c r="B43" s="216"/>
      <c r="C43" s="186"/>
      <c r="D43" s="174"/>
      <c r="E43" s="174"/>
      <c r="F43" s="174"/>
      <c r="G43" s="174"/>
      <c r="H43" s="174"/>
      <c r="I43" s="174"/>
      <c r="J43" s="174"/>
      <c r="K43" s="363"/>
      <c r="L43" s="175"/>
      <c r="M43" s="175"/>
      <c r="N43" s="362"/>
      <c r="O43" s="362"/>
      <c r="P43" s="362"/>
      <c r="Q43" s="362"/>
      <c r="R43" s="362"/>
      <c r="S43" s="362"/>
      <c r="T43" s="362"/>
      <c r="U43" s="362"/>
      <c r="V43" s="362"/>
      <c r="W43" s="362"/>
      <c r="X43" s="362"/>
      <c r="Y43" s="362"/>
      <c r="Z43" s="362"/>
      <c r="AA43" s="362"/>
      <c r="AB43" s="362"/>
      <c r="AC43" s="362"/>
      <c r="AD43" s="362"/>
      <c r="AE43" s="362"/>
      <c r="AF43" s="362"/>
      <c r="AG43" s="362"/>
      <c r="AH43" s="362"/>
      <c r="AI43" s="464"/>
      <c r="AJ43" s="395"/>
      <c r="AK43" s="396"/>
      <c r="AL43" s="464"/>
      <c r="AM43" s="395"/>
      <c r="AN43" s="396"/>
      <c r="AO43" s="464"/>
      <c r="AP43" s="395"/>
      <c r="AQ43" s="396"/>
      <c r="AR43" s="171"/>
      <c r="AS43" s="186"/>
      <c r="AT43" s="361"/>
      <c r="AU43" s="361"/>
      <c r="AV43" s="361"/>
      <c r="AW43" s="446"/>
      <c r="AX43" s="361"/>
      <c r="AY43" s="446"/>
      <c r="AZ43" s="361"/>
      <c r="BA43" s="411"/>
      <c r="BB43" s="411"/>
      <c r="BC43" s="411"/>
      <c r="BD43" s="186"/>
      <c r="BE43" s="364"/>
      <c r="BF43" s="364"/>
      <c r="BG43" s="361"/>
      <c r="BH43" s="361"/>
      <c r="BI43" s="361"/>
      <c r="BJ43" s="361"/>
      <c r="BK43" s="361"/>
      <c r="BL43" s="361"/>
      <c r="BM43" s="361"/>
      <c r="BN43" s="361"/>
      <c r="BO43" s="361"/>
      <c r="BP43" s="446"/>
      <c r="BQ43" s="446"/>
      <c r="BR43" s="446"/>
      <c r="BS43" s="174"/>
      <c r="BT43" s="174"/>
      <c r="BU43" s="174"/>
      <c r="BV43" s="174"/>
      <c r="BW43" s="174"/>
      <c r="BX43" s="174"/>
      <c r="BY43" s="395"/>
      <c r="BZ43" s="395"/>
      <c r="CA43" s="395"/>
      <c r="CB43" s="468"/>
      <c r="CC43" s="395"/>
      <c r="CD43" s="395"/>
      <c r="CE43" s="468"/>
      <c r="CF43" s="395"/>
      <c r="CG43" s="187"/>
      <c r="CH43" s="171"/>
      <c r="CI43" s="186"/>
      <c r="CJ43" s="361"/>
      <c r="CK43" s="174"/>
      <c r="CL43" s="174"/>
      <c r="CM43" s="174"/>
      <c r="CN43" s="174"/>
      <c r="CO43" s="174"/>
      <c r="CP43" s="361"/>
      <c r="CQ43" s="363"/>
      <c r="CR43" s="363"/>
      <c r="CS43" s="175"/>
      <c r="CT43" s="175"/>
    </row>
    <row r="44" spans="1:98" x14ac:dyDescent="0.25">
      <c r="B44" s="216"/>
      <c r="C44" s="186"/>
      <c r="D44" s="174"/>
      <c r="E44" s="174"/>
      <c r="F44" s="174"/>
      <c r="G44" s="174"/>
      <c r="H44" s="174"/>
      <c r="I44" s="174"/>
      <c r="J44" s="174"/>
      <c r="K44" s="363"/>
      <c r="L44" s="175"/>
      <c r="M44" s="175"/>
      <c r="N44" s="362"/>
      <c r="O44" s="362"/>
      <c r="P44" s="362"/>
      <c r="Q44" s="362"/>
      <c r="R44" s="362"/>
      <c r="S44" s="362"/>
      <c r="T44" s="362"/>
      <c r="U44" s="362"/>
      <c r="V44" s="362"/>
      <c r="W44" s="362"/>
      <c r="X44" s="362"/>
      <c r="Y44" s="362"/>
      <c r="Z44" s="362"/>
      <c r="AA44" s="362"/>
      <c r="AB44" s="362"/>
      <c r="AC44" s="362"/>
      <c r="AD44" s="362"/>
      <c r="AE44" s="362"/>
      <c r="AF44" s="362"/>
      <c r="AG44" s="362"/>
      <c r="AH44" s="362"/>
      <c r="AI44" s="464"/>
      <c r="AJ44" s="395"/>
      <c r="AK44" s="396"/>
      <c r="AL44" s="464"/>
      <c r="AM44" s="395"/>
      <c r="AN44" s="396"/>
      <c r="AO44" s="464"/>
      <c r="AP44" s="395"/>
      <c r="AQ44" s="396"/>
      <c r="AR44" s="171"/>
      <c r="AS44" s="186"/>
      <c r="AT44" s="361"/>
      <c r="AU44" s="361"/>
      <c r="AV44" s="361"/>
      <c r="AW44" s="446"/>
      <c r="AX44" s="361"/>
      <c r="AY44" s="446"/>
      <c r="AZ44" s="361"/>
      <c r="BA44" s="411"/>
      <c r="BB44" s="411"/>
      <c r="BC44" s="411"/>
      <c r="BD44" s="186"/>
      <c r="BE44" s="364"/>
      <c r="BF44" s="364"/>
      <c r="BG44" s="361"/>
      <c r="BH44" s="361"/>
      <c r="BI44" s="361"/>
      <c r="BJ44" s="361"/>
      <c r="BK44" s="361"/>
      <c r="BL44" s="361"/>
      <c r="BM44" s="361"/>
      <c r="BN44" s="361"/>
      <c r="BO44" s="361"/>
      <c r="BP44" s="446"/>
      <c r="BQ44" s="446"/>
      <c r="BR44" s="446"/>
      <c r="BS44" s="174"/>
      <c r="BT44" s="174"/>
      <c r="BU44" s="174"/>
      <c r="BV44" s="174"/>
      <c r="BW44" s="174"/>
      <c r="BX44" s="174"/>
      <c r="BY44" s="395"/>
      <c r="BZ44" s="395"/>
      <c r="CA44" s="395"/>
      <c r="CB44" s="468"/>
      <c r="CC44" s="395"/>
      <c r="CD44" s="395"/>
      <c r="CE44" s="468"/>
      <c r="CF44" s="395"/>
      <c r="CG44" s="187"/>
      <c r="CH44" s="171"/>
      <c r="CI44" s="186"/>
      <c r="CJ44" s="361"/>
      <c r="CK44" s="174"/>
      <c r="CL44" s="174"/>
      <c r="CM44" s="174"/>
      <c r="CN44" s="174"/>
      <c r="CO44" s="174"/>
      <c r="CP44" s="361"/>
      <c r="CQ44" s="363"/>
      <c r="CR44" s="363"/>
      <c r="CS44" s="175"/>
      <c r="CT44" s="175"/>
    </row>
    <row r="45" spans="1:98" x14ac:dyDescent="0.25">
      <c r="B45" s="216"/>
      <c r="C45" s="186"/>
      <c r="D45" s="174"/>
      <c r="E45" s="174"/>
      <c r="F45" s="174"/>
      <c r="G45" s="174"/>
      <c r="H45" s="174"/>
      <c r="I45" s="174"/>
      <c r="J45" s="174"/>
      <c r="K45" s="363"/>
      <c r="L45" s="175"/>
      <c r="M45" s="175"/>
      <c r="N45" s="362"/>
      <c r="O45" s="362"/>
      <c r="P45" s="362"/>
      <c r="Q45" s="362"/>
      <c r="R45" s="362"/>
      <c r="S45" s="362"/>
      <c r="T45" s="362"/>
      <c r="U45" s="362"/>
      <c r="V45" s="362"/>
      <c r="W45" s="362"/>
      <c r="X45" s="362"/>
      <c r="Y45" s="362"/>
      <c r="Z45" s="362"/>
      <c r="AA45" s="362"/>
      <c r="AB45" s="362"/>
      <c r="AC45" s="362"/>
      <c r="AD45" s="362"/>
      <c r="AE45" s="362"/>
      <c r="AF45" s="362"/>
      <c r="AG45" s="362"/>
      <c r="AH45" s="362"/>
      <c r="AI45" s="464"/>
      <c r="AJ45" s="395"/>
      <c r="AK45" s="396"/>
      <c r="AL45" s="464"/>
      <c r="AM45" s="395"/>
      <c r="AN45" s="396"/>
      <c r="AO45" s="464"/>
      <c r="AP45" s="395"/>
      <c r="AQ45" s="396"/>
      <c r="AR45" s="171"/>
      <c r="AS45" s="186"/>
      <c r="AT45" s="361"/>
      <c r="AU45" s="361"/>
      <c r="AV45" s="361"/>
      <c r="AW45" s="446"/>
      <c r="AX45" s="361"/>
      <c r="AY45" s="446"/>
      <c r="AZ45" s="361"/>
      <c r="BA45" s="411"/>
      <c r="BB45" s="411"/>
      <c r="BC45" s="411"/>
      <c r="BD45" s="186"/>
      <c r="BE45" s="364"/>
      <c r="BF45" s="364"/>
      <c r="BG45" s="361"/>
      <c r="BH45" s="361"/>
      <c r="BI45" s="361"/>
      <c r="BJ45" s="361"/>
      <c r="BK45" s="361"/>
      <c r="BL45" s="361"/>
      <c r="BM45" s="361"/>
      <c r="BN45" s="361"/>
      <c r="BO45" s="361"/>
      <c r="BP45" s="446"/>
      <c r="BQ45" s="446"/>
      <c r="BR45" s="446"/>
      <c r="BS45" s="174"/>
      <c r="BT45" s="174"/>
      <c r="BU45" s="174"/>
      <c r="BV45" s="174"/>
      <c r="BW45" s="174"/>
      <c r="BX45" s="174"/>
      <c r="BY45" s="395"/>
      <c r="BZ45" s="395"/>
      <c r="CA45" s="395"/>
      <c r="CB45" s="468"/>
      <c r="CC45" s="395"/>
      <c r="CD45" s="395"/>
      <c r="CE45" s="468"/>
      <c r="CF45" s="395"/>
      <c r="CG45" s="187"/>
      <c r="CH45" s="171"/>
      <c r="CI45" s="186"/>
      <c r="CJ45" s="361"/>
      <c r="CK45" s="174"/>
      <c r="CL45" s="174"/>
      <c r="CM45" s="174"/>
      <c r="CN45" s="174"/>
      <c r="CO45" s="174"/>
      <c r="CP45" s="361"/>
      <c r="CQ45" s="363"/>
      <c r="CR45" s="363"/>
      <c r="CS45" s="175"/>
      <c r="CT45" s="175"/>
    </row>
    <row r="46" spans="1:98" x14ac:dyDescent="0.25">
      <c r="B46" s="216"/>
      <c r="C46" s="186"/>
      <c r="D46" s="174"/>
      <c r="E46" s="174"/>
      <c r="F46" s="174"/>
      <c r="G46" s="174"/>
      <c r="H46" s="174"/>
      <c r="I46" s="174"/>
      <c r="J46" s="174"/>
      <c r="K46" s="363"/>
      <c r="L46" s="175"/>
      <c r="M46" s="175"/>
      <c r="N46" s="362"/>
      <c r="O46" s="362"/>
      <c r="P46" s="362"/>
      <c r="Q46" s="362"/>
      <c r="R46" s="362"/>
      <c r="S46" s="362"/>
      <c r="T46" s="362"/>
      <c r="U46" s="362"/>
      <c r="V46" s="362"/>
      <c r="W46" s="362"/>
      <c r="X46" s="362"/>
      <c r="Y46" s="362"/>
      <c r="Z46" s="362"/>
      <c r="AA46" s="362"/>
      <c r="AB46" s="362"/>
      <c r="AC46" s="362"/>
      <c r="AD46" s="362"/>
      <c r="AE46" s="362"/>
      <c r="AF46" s="362"/>
      <c r="AG46" s="362"/>
      <c r="AH46" s="362"/>
      <c r="AI46" s="464"/>
      <c r="AJ46" s="395"/>
      <c r="AK46" s="396"/>
      <c r="AL46" s="464"/>
      <c r="AM46" s="395"/>
      <c r="AN46" s="396"/>
      <c r="AO46" s="464"/>
      <c r="AP46" s="395"/>
      <c r="AQ46" s="396"/>
      <c r="AR46" s="171"/>
      <c r="AS46" s="186"/>
      <c r="AT46" s="361"/>
      <c r="AU46" s="361"/>
      <c r="AV46" s="361"/>
      <c r="AW46" s="446"/>
      <c r="AX46" s="361"/>
      <c r="AY46" s="446"/>
      <c r="AZ46" s="361"/>
      <c r="BA46" s="411"/>
      <c r="BB46" s="411"/>
      <c r="BC46" s="411"/>
      <c r="BD46" s="186"/>
      <c r="BE46" s="364"/>
      <c r="BF46" s="364"/>
      <c r="BG46" s="361"/>
      <c r="BH46" s="361"/>
      <c r="BI46" s="361"/>
      <c r="BJ46" s="361"/>
      <c r="BK46" s="361"/>
      <c r="BL46" s="361"/>
      <c r="BM46" s="361"/>
      <c r="BN46" s="361"/>
      <c r="BO46" s="361"/>
      <c r="BP46" s="446"/>
      <c r="BQ46" s="446"/>
      <c r="BR46" s="446"/>
      <c r="BS46" s="174"/>
      <c r="BT46" s="174"/>
      <c r="BU46" s="174"/>
      <c r="BV46" s="174"/>
      <c r="BW46" s="174"/>
      <c r="BX46" s="174"/>
      <c r="BY46" s="395"/>
      <c r="BZ46" s="395"/>
      <c r="CA46" s="395"/>
      <c r="CB46" s="468"/>
      <c r="CC46" s="395"/>
      <c r="CD46" s="395"/>
      <c r="CE46" s="468"/>
      <c r="CF46" s="395"/>
      <c r="CG46" s="187"/>
      <c r="CH46" s="171"/>
      <c r="CI46" s="186"/>
      <c r="CJ46" s="361"/>
      <c r="CK46" s="174"/>
      <c r="CL46" s="174"/>
      <c r="CM46" s="174"/>
      <c r="CN46" s="174"/>
      <c r="CO46" s="174"/>
      <c r="CP46" s="361"/>
      <c r="CQ46" s="363"/>
      <c r="CR46" s="363"/>
      <c r="CS46" s="175"/>
      <c r="CT46" s="175"/>
    </row>
    <row r="47" spans="1:98" x14ac:dyDescent="0.25">
      <c r="B47" s="216"/>
      <c r="C47" s="186"/>
      <c r="D47" s="174"/>
      <c r="E47" s="174"/>
      <c r="F47" s="174"/>
      <c r="G47" s="174"/>
      <c r="H47" s="174"/>
      <c r="I47" s="174"/>
      <c r="J47" s="174"/>
      <c r="K47" s="363"/>
      <c r="L47" s="175"/>
      <c r="M47" s="175"/>
      <c r="N47" s="362"/>
      <c r="O47" s="362"/>
      <c r="P47" s="362"/>
      <c r="Q47" s="362"/>
      <c r="R47" s="362"/>
      <c r="S47" s="362"/>
      <c r="T47" s="362"/>
      <c r="U47" s="362"/>
      <c r="V47" s="362"/>
      <c r="W47" s="362"/>
      <c r="X47" s="362"/>
      <c r="Y47" s="362"/>
      <c r="Z47" s="362"/>
      <c r="AA47" s="362"/>
      <c r="AB47" s="362"/>
      <c r="AC47" s="362"/>
      <c r="AD47" s="362"/>
      <c r="AE47" s="362"/>
      <c r="AF47" s="362"/>
      <c r="AG47" s="362"/>
      <c r="AH47" s="362"/>
      <c r="AI47" s="464"/>
      <c r="AJ47" s="395"/>
      <c r="AK47" s="396"/>
      <c r="AL47" s="464"/>
      <c r="AM47" s="395"/>
      <c r="AN47" s="396"/>
      <c r="AO47" s="464"/>
      <c r="AP47" s="395"/>
      <c r="AQ47" s="396"/>
      <c r="AR47" s="171"/>
      <c r="AS47" s="186"/>
      <c r="AT47" s="361"/>
      <c r="AU47" s="361"/>
      <c r="AV47" s="361"/>
      <c r="AW47" s="446"/>
      <c r="AX47" s="361"/>
      <c r="AY47" s="446"/>
      <c r="AZ47" s="361"/>
      <c r="BA47" s="411"/>
      <c r="BB47" s="411"/>
      <c r="BC47" s="411"/>
      <c r="BD47" s="186"/>
      <c r="BE47" s="364"/>
      <c r="BF47" s="364"/>
      <c r="BG47" s="361"/>
      <c r="BH47" s="361"/>
      <c r="BI47" s="361"/>
      <c r="BJ47" s="361"/>
      <c r="BK47" s="361"/>
      <c r="BL47" s="361"/>
      <c r="BM47" s="361"/>
      <c r="BN47" s="361"/>
      <c r="BO47" s="361"/>
      <c r="BP47" s="446"/>
      <c r="BQ47" s="446"/>
      <c r="BR47" s="446"/>
      <c r="BS47" s="174"/>
      <c r="BT47" s="174"/>
      <c r="BU47" s="174"/>
      <c r="BV47" s="174"/>
      <c r="BW47" s="174"/>
      <c r="BX47" s="174"/>
      <c r="BY47" s="395"/>
      <c r="BZ47" s="395"/>
      <c r="CA47" s="395"/>
      <c r="CB47" s="468"/>
      <c r="CC47" s="395"/>
      <c r="CD47" s="395"/>
      <c r="CE47" s="468"/>
      <c r="CF47" s="395"/>
      <c r="CG47" s="187"/>
      <c r="CH47" s="171"/>
      <c r="CI47" s="186"/>
      <c r="CJ47" s="361"/>
      <c r="CK47" s="174"/>
      <c r="CL47" s="174"/>
      <c r="CM47" s="174"/>
      <c r="CN47" s="174"/>
      <c r="CO47" s="174"/>
      <c r="CP47" s="361"/>
      <c r="CQ47" s="363"/>
      <c r="CR47" s="363"/>
      <c r="CS47" s="175"/>
      <c r="CT47" s="175"/>
    </row>
    <row r="48" spans="1:98" x14ac:dyDescent="0.25">
      <c r="A48" s="206">
        <f t="shared" ref="A48:A87" si="0">A47-1</f>
        <v>-1</v>
      </c>
      <c r="B48" s="216"/>
      <c r="C48" s="186"/>
      <c r="D48" s="174"/>
      <c r="E48" s="174"/>
      <c r="F48" s="174"/>
      <c r="G48" s="174"/>
      <c r="H48" s="174"/>
      <c r="I48" s="174"/>
      <c r="J48" s="174"/>
      <c r="K48" s="363"/>
      <c r="L48" s="175"/>
      <c r="M48" s="175"/>
      <c r="N48" s="362"/>
      <c r="O48" s="362"/>
      <c r="P48" s="362"/>
      <c r="Q48" s="362"/>
      <c r="R48" s="362"/>
      <c r="S48" s="362"/>
      <c r="T48" s="362"/>
      <c r="U48" s="362"/>
      <c r="V48" s="362"/>
      <c r="W48" s="362"/>
      <c r="X48" s="362"/>
      <c r="Y48" s="362"/>
      <c r="Z48" s="362"/>
      <c r="AA48" s="362"/>
      <c r="AB48" s="362"/>
      <c r="AC48" s="362"/>
      <c r="AD48" s="362"/>
      <c r="AE48" s="362"/>
      <c r="AF48" s="362"/>
      <c r="AG48" s="362"/>
      <c r="AH48" s="362"/>
      <c r="AI48" s="464"/>
      <c r="AJ48" s="395"/>
      <c r="AK48" s="396"/>
      <c r="AL48" s="464"/>
      <c r="AM48" s="395"/>
      <c r="AN48" s="396"/>
      <c r="AO48" s="464"/>
      <c r="AP48" s="395"/>
      <c r="AQ48" s="396"/>
      <c r="AR48" s="171"/>
      <c r="AS48" s="186"/>
      <c r="AT48" s="361"/>
      <c r="AU48" s="361"/>
      <c r="AV48" s="361"/>
      <c r="AW48" s="446"/>
      <c r="AX48" s="361"/>
      <c r="AY48" s="446"/>
      <c r="AZ48" s="361"/>
      <c r="BA48" s="411"/>
      <c r="BB48" s="411"/>
      <c r="BC48" s="411"/>
      <c r="BD48" s="186"/>
      <c r="BE48" s="364"/>
      <c r="BF48" s="364"/>
      <c r="BG48" s="361"/>
      <c r="BH48" s="361"/>
      <c r="BI48" s="361"/>
      <c r="BJ48" s="361"/>
      <c r="BK48" s="361"/>
      <c r="BL48" s="361"/>
      <c r="BM48" s="361"/>
      <c r="BN48" s="361"/>
      <c r="BO48" s="361"/>
      <c r="BP48" s="446"/>
      <c r="BQ48" s="446"/>
      <c r="BR48" s="446"/>
      <c r="BS48" s="174"/>
      <c r="BT48" s="174"/>
      <c r="BU48" s="174"/>
      <c r="BV48" s="174"/>
      <c r="BW48" s="174"/>
      <c r="BX48" s="174"/>
      <c r="BY48" s="395"/>
      <c r="BZ48" s="395"/>
      <c r="CA48" s="395"/>
      <c r="CB48" s="468"/>
      <c r="CC48" s="395"/>
      <c r="CD48" s="395"/>
      <c r="CE48" s="468"/>
      <c r="CF48" s="395"/>
      <c r="CG48" s="187"/>
      <c r="CH48" s="171"/>
      <c r="CI48" s="186"/>
      <c r="CJ48" s="361"/>
      <c r="CK48" s="174"/>
      <c r="CL48" s="174"/>
      <c r="CM48" s="174"/>
      <c r="CN48" s="174"/>
      <c r="CO48" s="174"/>
      <c r="CP48" s="361"/>
      <c r="CQ48" s="363"/>
      <c r="CR48" s="363"/>
      <c r="CS48" s="175"/>
      <c r="CT48" s="175"/>
    </row>
    <row r="49" spans="1:98" x14ac:dyDescent="0.25">
      <c r="A49" s="206">
        <f t="shared" si="0"/>
        <v>-2</v>
      </c>
      <c r="B49" s="216"/>
      <c r="C49" s="186"/>
      <c r="D49" s="174"/>
      <c r="E49" s="174"/>
      <c r="F49" s="174"/>
      <c r="G49" s="174"/>
      <c r="H49" s="174"/>
      <c r="I49" s="174"/>
      <c r="J49" s="174"/>
      <c r="K49" s="363"/>
      <c r="L49" s="175"/>
      <c r="M49" s="175"/>
      <c r="N49" s="362"/>
      <c r="O49" s="362"/>
      <c r="P49" s="362"/>
      <c r="Q49" s="362"/>
      <c r="R49" s="362"/>
      <c r="S49" s="362"/>
      <c r="T49" s="362"/>
      <c r="U49" s="362"/>
      <c r="V49" s="362"/>
      <c r="W49" s="362"/>
      <c r="X49" s="362"/>
      <c r="Y49" s="362"/>
      <c r="Z49" s="362"/>
      <c r="AA49" s="362"/>
      <c r="AB49" s="362"/>
      <c r="AC49" s="362"/>
      <c r="AD49" s="362"/>
      <c r="AE49" s="362"/>
      <c r="AF49" s="362"/>
      <c r="AG49" s="362"/>
      <c r="AH49" s="362"/>
      <c r="AI49" s="464"/>
      <c r="AJ49" s="395"/>
      <c r="AK49" s="396"/>
      <c r="AL49" s="464"/>
      <c r="AM49" s="395"/>
      <c r="AN49" s="396"/>
      <c r="AO49" s="464"/>
      <c r="AP49" s="395"/>
      <c r="AQ49" s="396"/>
      <c r="AR49" s="171"/>
      <c r="AS49" s="186"/>
      <c r="AT49" s="361"/>
      <c r="AU49" s="361"/>
      <c r="AV49" s="361"/>
      <c r="AW49" s="446"/>
      <c r="AX49" s="361"/>
      <c r="AY49" s="446"/>
      <c r="AZ49" s="361"/>
      <c r="BA49" s="411"/>
      <c r="BB49" s="411"/>
      <c r="BC49" s="411"/>
      <c r="BD49" s="186"/>
      <c r="BE49" s="364"/>
      <c r="BF49" s="364"/>
      <c r="BG49" s="361"/>
      <c r="BH49" s="361"/>
      <c r="BI49" s="361"/>
      <c r="BJ49" s="361"/>
      <c r="BK49" s="361"/>
      <c r="BL49" s="361"/>
      <c r="BM49" s="361"/>
      <c r="BN49" s="361"/>
      <c r="BO49" s="361"/>
      <c r="BP49" s="446"/>
      <c r="BQ49" s="446"/>
      <c r="BR49" s="446"/>
      <c r="BS49" s="174"/>
      <c r="BT49" s="174"/>
      <c r="BU49" s="174"/>
      <c r="BV49" s="174"/>
      <c r="BW49" s="174"/>
      <c r="BX49" s="174"/>
      <c r="BY49" s="395"/>
      <c r="BZ49" s="395"/>
      <c r="CA49" s="395"/>
      <c r="CB49" s="468"/>
      <c r="CC49" s="395"/>
      <c r="CD49" s="395"/>
      <c r="CE49" s="468"/>
      <c r="CF49" s="395"/>
      <c r="CG49" s="187"/>
      <c r="CH49" s="171"/>
      <c r="CI49" s="186"/>
      <c r="CJ49" s="361"/>
      <c r="CK49" s="174"/>
      <c r="CL49" s="174"/>
      <c r="CM49" s="174"/>
      <c r="CN49" s="174"/>
      <c r="CO49" s="174"/>
      <c r="CP49" s="361"/>
      <c r="CQ49" s="363"/>
      <c r="CR49" s="363"/>
      <c r="CS49" s="175"/>
      <c r="CT49" s="175"/>
    </row>
    <row r="50" spans="1:98" x14ac:dyDescent="0.25">
      <c r="A50" s="206">
        <f t="shared" si="0"/>
        <v>-3</v>
      </c>
      <c r="B50" s="216"/>
      <c r="C50" s="186"/>
      <c r="D50" s="174"/>
      <c r="E50" s="174"/>
      <c r="F50" s="174"/>
      <c r="G50" s="174"/>
      <c r="H50" s="174"/>
      <c r="I50" s="174"/>
      <c r="J50" s="174"/>
      <c r="K50" s="363"/>
      <c r="L50" s="175"/>
      <c r="M50" s="175"/>
      <c r="N50" s="362"/>
      <c r="O50" s="362"/>
      <c r="P50" s="362"/>
      <c r="Q50" s="362"/>
      <c r="R50" s="362"/>
      <c r="S50" s="362"/>
      <c r="T50" s="362"/>
      <c r="U50" s="362"/>
      <c r="V50" s="362"/>
      <c r="W50" s="362"/>
      <c r="X50" s="362"/>
      <c r="Y50" s="362"/>
      <c r="Z50" s="362"/>
      <c r="AA50" s="362"/>
      <c r="AB50" s="362"/>
      <c r="AC50" s="362"/>
      <c r="AD50" s="362"/>
      <c r="AE50" s="362"/>
      <c r="AF50" s="362"/>
      <c r="AG50" s="362"/>
      <c r="AH50" s="362"/>
      <c r="AI50" s="464"/>
      <c r="AJ50" s="395"/>
      <c r="AK50" s="396"/>
      <c r="AL50" s="464"/>
      <c r="AM50" s="395"/>
      <c r="AN50" s="396"/>
      <c r="AO50" s="464"/>
      <c r="AP50" s="395"/>
      <c r="AQ50" s="396"/>
      <c r="AR50" s="171"/>
      <c r="AS50" s="186"/>
      <c r="AT50" s="361"/>
      <c r="AU50" s="361"/>
      <c r="AV50" s="361"/>
      <c r="AW50" s="446"/>
      <c r="AX50" s="361"/>
      <c r="AY50" s="446"/>
      <c r="AZ50" s="361"/>
      <c r="BA50" s="411"/>
      <c r="BB50" s="411"/>
      <c r="BC50" s="411"/>
      <c r="BD50" s="186"/>
      <c r="BE50" s="364"/>
      <c r="BF50" s="364"/>
      <c r="BG50" s="361"/>
      <c r="BH50" s="361"/>
      <c r="BI50" s="361"/>
      <c r="BJ50" s="361"/>
      <c r="BK50" s="361"/>
      <c r="BL50" s="361"/>
      <c r="BM50" s="361"/>
      <c r="BN50" s="361"/>
      <c r="BO50" s="361"/>
      <c r="BP50" s="446"/>
      <c r="BQ50" s="446"/>
      <c r="BR50" s="446"/>
      <c r="BS50" s="174"/>
      <c r="BT50" s="174"/>
      <c r="BU50" s="174"/>
      <c r="BV50" s="174"/>
      <c r="BW50" s="174"/>
      <c r="BX50" s="174"/>
      <c r="BY50" s="395"/>
      <c r="BZ50" s="395"/>
      <c r="CA50" s="395"/>
      <c r="CB50" s="468"/>
      <c r="CC50" s="395"/>
      <c r="CD50" s="395"/>
      <c r="CE50" s="468"/>
      <c r="CF50" s="395"/>
      <c r="CG50" s="187"/>
      <c r="CH50" s="171"/>
      <c r="CI50" s="186"/>
      <c r="CJ50" s="361"/>
      <c r="CK50" s="174"/>
      <c r="CL50" s="174"/>
      <c r="CM50" s="174"/>
      <c r="CN50" s="174"/>
      <c r="CO50" s="174"/>
      <c r="CP50" s="361"/>
      <c r="CQ50" s="363"/>
      <c r="CR50" s="363"/>
      <c r="CS50" s="175"/>
      <c r="CT50" s="175"/>
    </row>
    <row r="51" spans="1:98" x14ac:dyDescent="0.25">
      <c r="A51" s="206">
        <f t="shared" si="0"/>
        <v>-4</v>
      </c>
      <c r="B51" s="216"/>
      <c r="C51" s="186"/>
      <c r="D51" s="174"/>
      <c r="E51" s="174"/>
      <c r="F51" s="174"/>
      <c r="G51" s="174"/>
      <c r="H51" s="174"/>
      <c r="I51" s="174"/>
      <c r="J51" s="174"/>
      <c r="K51" s="363"/>
      <c r="L51" s="175"/>
      <c r="M51" s="175"/>
      <c r="N51" s="362"/>
      <c r="O51" s="362"/>
      <c r="P51" s="362"/>
      <c r="Q51" s="362"/>
      <c r="R51" s="362"/>
      <c r="S51" s="362"/>
      <c r="T51" s="362"/>
      <c r="U51" s="362"/>
      <c r="V51" s="362"/>
      <c r="W51" s="362"/>
      <c r="X51" s="362"/>
      <c r="Y51" s="362"/>
      <c r="Z51" s="362"/>
      <c r="AA51" s="362"/>
      <c r="AB51" s="362"/>
      <c r="AC51" s="362"/>
      <c r="AD51" s="362"/>
      <c r="AE51" s="362"/>
      <c r="AF51" s="362"/>
      <c r="AG51" s="362"/>
      <c r="AH51" s="362"/>
      <c r="AI51" s="464"/>
      <c r="AJ51" s="395"/>
      <c r="AK51" s="396"/>
      <c r="AL51" s="464"/>
      <c r="AM51" s="395"/>
      <c r="AN51" s="396"/>
      <c r="AO51" s="464"/>
      <c r="AP51" s="395"/>
      <c r="AQ51" s="396"/>
      <c r="AR51" s="171"/>
      <c r="AS51" s="186"/>
      <c r="AT51" s="361"/>
      <c r="AU51" s="361"/>
      <c r="AV51" s="361"/>
      <c r="AW51" s="446"/>
      <c r="AX51" s="361"/>
      <c r="AY51" s="446"/>
      <c r="AZ51" s="361"/>
      <c r="BA51" s="411"/>
      <c r="BB51" s="411"/>
      <c r="BC51" s="411"/>
      <c r="BD51" s="186"/>
      <c r="BE51" s="364"/>
      <c r="BF51" s="364"/>
      <c r="BG51" s="361"/>
      <c r="BH51" s="361"/>
      <c r="BI51" s="361"/>
      <c r="BJ51" s="361"/>
      <c r="BK51" s="361"/>
      <c r="BL51" s="361"/>
      <c r="BM51" s="361"/>
      <c r="BN51" s="361"/>
      <c r="BO51" s="361"/>
      <c r="BP51" s="446"/>
      <c r="BQ51" s="446"/>
      <c r="BR51" s="446"/>
      <c r="BS51" s="174"/>
      <c r="BT51" s="174"/>
      <c r="BU51" s="174"/>
      <c r="BV51" s="174"/>
      <c r="BW51" s="174"/>
      <c r="BX51" s="174"/>
      <c r="BY51" s="395"/>
      <c r="BZ51" s="395"/>
      <c r="CA51" s="395"/>
      <c r="CB51" s="468"/>
      <c r="CC51" s="395"/>
      <c r="CD51" s="395"/>
      <c r="CE51" s="468"/>
      <c r="CF51" s="395"/>
      <c r="CG51" s="187"/>
      <c r="CH51" s="171"/>
      <c r="CI51" s="186"/>
      <c r="CJ51" s="361"/>
      <c r="CK51" s="174"/>
      <c r="CL51" s="174"/>
      <c r="CM51" s="174"/>
      <c r="CN51" s="174"/>
      <c r="CO51" s="174"/>
      <c r="CP51" s="361"/>
      <c r="CQ51" s="363"/>
      <c r="CR51" s="363"/>
      <c r="CS51" s="175"/>
      <c r="CT51" s="175"/>
    </row>
    <row r="52" spans="1:98" x14ac:dyDescent="0.25">
      <c r="A52" s="206">
        <f t="shared" si="0"/>
        <v>-5</v>
      </c>
      <c r="B52" s="216"/>
      <c r="C52" s="186"/>
      <c r="D52" s="174"/>
      <c r="E52" s="174"/>
      <c r="F52" s="174"/>
      <c r="G52" s="174"/>
      <c r="H52" s="174"/>
      <c r="I52" s="174"/>
      <c r="J52" s="174"/>
      <c r="K52" s="363"/>
      <c r="L52" s="175"/>
      <c r="M52" s="175"/>
      <c r="N52" s="362"/>
      <c r="O52" s="362"/>
      <c r="P52" s="362"/>
      <c r="Q52" s="362"/>
      <c r="R52" s="362"/>
      <c r="S52" s="362"/>
      <c r="T52" s="362"/>
      <c r="U52" s="362"/>
      <c r="V52" s="362"/>
      <c r="W52" s="362"/>
      <c r="X52" s="362"/>
      <c r="Y52" s="362"/>
      <c r="Z52" s="362"/>
      <c r="AA52" s="362"/>
      <c r="AB52" s="362"/>
      <c r="AC52" s="362"/>
      <c r="AD52" s="362"/>
      <c r="AE52" s="362"/>
      <c r="AF52" s="362"/>
      <c r="AG52" s="362"/>
      <c r="AH52" s="362"/>
      <c r="AI52" s="464"/>
      <c r="AJ52" s="395"/>
      <c r="AK52" s="396"/>
      <c r="AL52" s="464"/>
      <c r="AM52" s="395"/>
      <c r="AN52" s="396"/>
      <c r="AO52" s="464"/>
      <c r="AP52" s="395"/>
      <c r="AQ52" s="396"/>
      <c r="AR52" s="171"/>
      <c r="AS52" s="186"/>
      <c r="AT52" s="361"/>
      <c r="AU52" s="361"/>
      <c r="AV52" s="361"/>
      <c r="AW52" s="446"/>
      <c r="AX52" s="361"/>
      <c r="AY52" s="446"/>
      <c r="AZ52" s="361"/>
      <c r="BA52" s="411"/>
      <c r="BB52" s="411"/>
      <c r="BC52" s="411"/>
      <c r="BD52" s="186"/>
      <c r="BE52" s="364"/>
      <c r="BF52" s="364"/>
      <c r="BG52" s="361"/>
      <c r="BH52" s="361"/>
      <c r="BI52" s="361"/>
      <c r="BJ52" s="361"/>
      <c r="BK52" s="361"/>
      <c r="BL52" s="361"/>
      <c r="BM52" s="361"/>
      <c r="BN52" s="361"/>
      <c r="BO52" s="361"/>
      <c r="BP52" s="446"/>
      <c r="BQ52" s="446"/>
      <c r="BR52" s="446"/>
      <c r="BS52" s="174"/>
      <c r="BT52" s="174"/>
      <c r="BU52" s="174"/>
      <c r="BV52" s="174"/>
      <c r="BW52" s="174"/>
      <c r="BX52" s="174"/>
      <c r="BY52" s="395"/>
      <c r="BZ52" s="395"/>
      <c r="CA52" s="395"/>
      <c r="CB52" s="468"/>
      <c r="CC52" s="395"/>
      <c r="CD52" s="395"/>
      <c r="CE52" s="468"/>
      <c r="CF52" s="395"/>
      <c r="CG52" s="187"/>
      <c r="CH52" s="171"/>
      <c r="CI52" s="186"/>
      <c r="CJ52" s="361"/>
      <c r="CK52" s="174"/>
      <c r="CL52" s="174"/>
      <c r="CM52" s="174"/>
      <c r="CN52" s="174"/>
      <c r="CO52" s="174"/>
      <c r="CP52" s="361"/>
      <c r="CQ52" s="363"/>
      <c r="CR52" s="363"/>
      <c r="CS52" s="175"/>
      <c r="CT52" s="175"/>
    </row>
    <row r="53" spans="1:98" x14ac:dyDescent="0.25">
      <c r="A53" s="206">
        <f t="shared" si="0"/>
        <v>-6</v>
      </c>
      <c r="B53" s="216"/>
      <c r="C53" s="186"/>
      <c r="D53" s="174"/>
      <c r="E53" s="174"/>
      <c r="F53" s="174"/>
      <c r="G53" s="174"/>
      <c r="H53" s="174"/>
      <c r="I53" s="174"/>
      <c r="J53" s="174"/>
      <c r="K53" s="363"/>
      <c r="L53" s="175"/>
      <c r="M53" s="175"/>
      <c r="N53" s="362"/>
      <c r="O53" s="362"/>
      <c r="P53" s="362"/>
      <c r="Q53" s="362"/>
      <c r="R53" s="362"/>
      <c r="S53" s="362"/>
      <c r="T53" s="362"/>
      <c r="U53" s="362"/>
      <c r="V53" s="362"/>
      <c r="W53" s="362"/>
      <c r="X53" s="362"/>
      <c r="Y53" s="362"/>
      <c r="Z53" s="362"/>
      <c r="AA53" s="362"/>
      <c r="AB53" s="362"/>
      <c r="AC53" s="362"/>
      <c r="AD53" s="362"/>
      <c r="AE53" s="362"/>
      <c r="AF53" s="362"/>
      <c r="AG53" s="362"/>
      <c r="AH53" s="362"/>
      <c r="AI53" s="464"/>
      <c r="AJ53" s="395"/>
      <c r="AK53" s="396"/>
      <c r="AL53" s="464"/>
      <c r="AM53" s="395"/>
      <c r="AN53" s="396"/>
      <c r="AO53" s="464"/>
      <c r="AP53" s="395"/>
      <c r="AQ53" s="396"/>
      <c r="AR53" s="171"/>
      <c r="AS53" s="186"/>
      <c r="AT53" s="361"/>
      <c r="AU53" s="361"/>
      <c r="AV53" s="361"/>
      <c r="AW53" s="446"/>
      <c r="AX53" s="361"/>
      <c r="AY53" s="446"/>
      <c r="AZ53" s="361"/>
      <c r="BA53" s="411"/>
      <c r="BB53" s="411"/>
      <c r="BC53" s="411"/>
      <c r="BD53" s="186"/>
      <c r="BE53" s="364"/>
      <c r="BF53" s="364"/>
      <c r="BG53" s="361"/>
      <c r="BH53" s="361"/>
      <c r="BI53" s="361"/>
      <c r="BJ53" s="361"/>
      <c r="BK53" s="361"/>
      <c r="BL53" s="361"/>
      <c r="BM53" s="361"/>
      <c r="BN53" s="361"/>
      <c r="BO53" s="361"/>
      <c r="BP53" s="446"/>
      <c r="BQ53" s="446"/>
      <c r="BR53" s="446"/>
      <c r="BS53" s="174"/>
      <c r="BT53" s="174"/>
      <c r="BU53" s="174"/>
      <c r="BV53" s="174"/>
      <c r="BW53" s="174"/>
      <c r="BX53" s="174"/>
      <c r="BY53" s="395"/>
      <c r="BZ53" s="395"/>
      <c r="CA53" s="395"/>
      <c r="CB53" s="468"/>
      <c r="CC53" s="395"/>
      <c r="CD53" s="395"/>
      <c r="CE53" s="468"/>
      <c r="CF53" s="395"/>
      <c r="CG53" s="187"/>
      <c r="CH53" s="171"/>
      <c r="CI53" s="186"/>
      <c r="CJ53" s="361"/>
      <c r="CK53" s="174"/>
      <c r="CL53" s="174"/>
      <c r="CM53" s="174"/>
      <c r="CN53" s="174"/>
      <c r="CO53" s="174"/>
      <c r="CP53" s="361"/>
      <c r="CQ53" s="363"/>
      <c r="CR53" s="363"/>
      <c r="CS53" s="175"/>
      <c r="CT53" s="175"/>
    </row>
    <row r="54" spans="1:98" x14ac:dyDescent="0.25">
      <c r="A54" s="206">
        <f t="shared" si="0"/>
        <v>-7</v>
      </c>
      <c r="B54" s="216"/>
      <c r="C54" s="186"/>
      <c r="D54" s="174"/>
      <c r="E54" s="174"/>
      <c r="F54" s="174"/>
      <c r="G54" s="174"/>
      <c r="H54" s="174"/>
      <c r="I54" s="174"/>
      <c r="J54" s="174"/>
      <c r="K54" s="363"/>
      <c r="L54" s="175"/>
      <c r="M54" s="175"/>
      <c r="N54" s="362"/>
      <c r="O54" s="362"/>
      <c r="P54" s="362"/>
      <c r="Q54" s="362"/>
      <c r="R54" s="362"/>
      <c r="S54" s="362"/>
      <c r="T54" s="362"/>
      <c r="U54" s="362"/>
      <c r="V54" s="362"/>
      <c r="W54" s="362"/>
      <c r="X54" s="362"/>
      <c r="Y54" s="362"/>
      <c r="Z54" s="362"/>
      <c r="AA54" s="362"/>
      <c r="AB54" s="362"/>
      <c r="AC54" s="362"/>
      <c r="AD54" s="362"/>
      <c r="AE54" s="362"/>
      <c r="AF54" s="362"/>
      <c r="AG54" s="362"/>
      <c r="AH54" s="362"/>
      <c r="AI54" s="464"/>
      <c r="AJ54" s="395"/>
      <c r="AK54" s="396"/>
      <c r="AL54" s="464"/>
      <c r="AM54" s="395"/>
      <c r="AN54" s="396"/>
      <c r="AO54" s="464"/>
      <c r="AP54" s="395"/>
      <c r="AQ54" s="396"/>
      <c r="AR54" s="171"/>
      <c r="AS54" s="186"/>
      <c r="AT54" s="361"/>
      <c r="AU54" s="361"/>
      <c r="AV54" s="361"/>
      <c r="AW54" s="446"/>
      <c r="AX54" s="361"/>
      <c r="AY54" s="446"/>
      <c r="AZ54" s="361"/>
      <c r="BA54" s="411"/>
      <c r="BB54" s="411"/>
      <c r="BC54" s="411"/>
      <c r="BD54" s="186"/>
      <c r="BE54" s="364"/>
      <c r="BF54" s="364"/>
      <c r="BG54" s="361"/>
      <c r="BH54" s="361"/>
      <c r="BI54" s="361"/>
      <c r="BJ54" s="361"/>
      <c r="BK54" s="361"/>
      <c r="BL54" s="361"/>
      <c r="BM54" s="361"/>
      <c r="BN54" s="361"/>
      <c r="BO54" s="361"/>
      <c r="BP54" s="446"/>
      <c r="BQ54" s="446"/>
      <c r="BR54" s="446"/>
      <c r="BS54" s="174"/>
      <c r="BT54" s="174"/>
      <c r="BU54" s="174"/>
      <c r="BV54" s="174"/>
      <c r="BW54" s="174"/>
      <c r="BX54" s="174"/>
      <c r="BY54" s="395"/>
      <c r="BZ54" s="395"/>
      <c r="CA54" s="395"/>
      <c r="CB54" s="468"/>
      <c r="CC54" s="395"/>
      <c r="CD54" s="395"/>
      <c r="CE54" s="468"/>
      <c r="CF54" s="395"/>
      <c r="CG54" s="187"/>
      <c r="CH54" s="171"/>
      <c r="CI54" s="186"/>
      <c r="CJ54" s="361"/>
      <c r="CK54" s="174"/>
      <c r="CL54" s="174"/>
      <c r="CM54" s="174"/>
      <c r="CN54" s="174"/>
      <c r="CO54" s="174"/>
      <c r="CP54" s="361"/>
      <c r="CQ54" s="363"/>
      <c r="CR54" s="363"/>
      <c r="CS54" s="175"/>
      <c r="CT54" s="175"/>
    </row>
    <row r="55" spans="1:98" x14ac:dyDescent="0.25">
      <c r="A55" s="206">
        <f t="shared" si="0"/>
        <v>-8</v>
      </c>
      <c r="B55" s="216"/>
      <c r="C55" s="186"/>
      <c r="D55" s="174"/>
      <c r="E55" s="174"/>
      <c r="F55" s="174"/>
      <c r="G55" s="174"/>
      <c r="H55" s="174"/>
      <c r="I55" s="174"/>
      <c r="J55" s="174"/>
      <c r="K55" s="363"/>
      <c r="L55" s="175"/>
      <c r="M55" s="175"/>
      <c r="N55" s="362"/>
      <c r="O55" s="362"/>
      <c r="P55" s="362"/>
      <c r="Q55" s="362"/>
      <c r="R55" s="362"/>
      <c r="S55" s="362"/>
      <c r="T55" s="362"/>
      <c r="U55" s="362"/>
      <c r="V55" s="362"/>
      <c r="W55" s="362"/>
      <c r="X55" s="362"/>
      <c r="Y55" s="362"/>
      <c r="Z55" s="362"/>
      <c r="AA55" s="362"/>
      <c r="AB55" s="362"/>
      <c r="AC55" s="362"/>
      <c r="AD55" s="362"/>
      <c r="AE55" s="362"/>
      <c r="AF55" s="362"/>
      <c r="AG55" s="362"/>
      <c r="AH55" s="362"/>
      <c r="AI55" s="464"/>
      <c r="AJ55" s="395"/>
      <c r="AK55" s="396"/>
      <c r="AL55" s="464"/>
      <c r="AM55" s="395"/>
      <c r="AN55" s="396"/>
      <c r="AO55" s="464"/>
      <c r="AP55" s="395"/>
      <c r="AQ55" s="396"/>
      <c r="AR55" s="171"/>
      <c r="AS55" s="186"/>
      <c r="AT55" s="361"/>
      <c r="AU55" s="361"/>
      <c r="AV55" s="361"/>
      <c r="AW55" s="446"/>
      <c r="AX55" s="361"/>
      <c r="AY55" s="446"/>
      <c r="AZ55" s="361"/>
      <c r="BA55" s="411"/>
      <c r="BB55" s="411"/>
      <c r="BC55" s="411"/>
      <c r="BD55" s="186"/>
      <c r="BE55" s="364"/>
      <c r="BF55" s="364"/>
      <c r="BG55" s="361"/>
      <c r="BH55" s="361"/>
      <c r="BI55" s="361"/>
      <c r="BJ55" s="361"/>
      <c r="BK55" s="361"/>
      <c r="BL55" s="361"/>
      <c r="BM55" s="361"/>
      <c r="BN55" s="361"/>
      <c r="BO55" s="361"/>
      <c r="BP55" s="446"/>
      <c r="BQ55" s="446"/>
      <c r="BR55" s="446"/>
      <c r="BS55" s="174"/>
      <c r="BT55" s="174"/>
      <c r="BU55" s="174"/>
      <c r="BV55" s="174"/>
      <c r="BW55" s="174"/>
      <c r="BX55" s="174"/>
      <c r="BY55" s="395"/>
      <c r="BZ55" s="395"/>
      <c r="CA55" s="395"/>
      <c r="CB55" s="468"/>
      <c r="CC55" s="395"/>
      <c r="CD55" s="395"/>
      <c r="CE55" s="468"/>
      <c r="CF55" s="395"/>
      <c r="CG55" s="187"/>
      <c r="CH55" s="171"/>
      <c r="CI55" s="186"/>
      <c r="CJ55" s="361"/>
      <c r="CK55" s="174"/>
      <c r="CL55" s="174"/>
      <c r="CM55" s="174"/>
      <c r="CN55" s="174"/>
      <c r="CO55" s="174"/>
      <c r="CP55" s="361"/>
      <c r="CQ55" s="363"/>
      <c r="CR55" s="363"/>
      <c r="CS55" s="175"/>
      <c r="CT55" s="175"/>
    </row>
    <row r="56" spans="1:98" x14ac:dyDescent="0.25">
      <c r="A56" s="206">
        <f t="shared" si="0"/>
        <v>-9</v>
      </c>
      <c r="B56" s="216"/>
      <c r="C56" s="186"/>
      <c r="D56" s="174"/>
      <c r="E56" s="174"/>
      <c r="F56" s="174"/>
      <c r="G56" s="174"/>
      <c r="H56" s="174"/>
      <c r="I56" s="174"/>
      <c r="J56" s="174"/>
      <c r="K56" s="363"/>
      <c r="L56" s="175"/>
      <c r="M56" s="175"/>
      <c r="N56" s="362"/>
      <c r="O56" s="362"/>
      <c r="P56" s="362"/>
      <c r="Q56" s="362"/>
      <c r="R56" s="362"/>
      <c r="S56" s="362"/>
      <c r="T56" s="362"/>
      <c r="U56" s="362"/>
      <c r="V56" s="362"/>
      <c r="W56" s="362"/>
      <c r="X56" s="362"/>
      <c r="Y56" s="362"/>
      <c r="Z56" s="362"/>
      <c r="AA56" s="362"/>
      <c r="AB56" s="362"/>
      <c r="AC56" s="362"/>
      <c r="AD56" s="362"/>
      <c r="AE56" s="362"/>
      <c r="AF56" s="362"/>
      <c r="AG56" s="362"/>
      <c r="AH56" s="362"/>
      <c r="AI56" s="464"/>
      <c r="AJ56" s="395"/>
      <c r="AK56" s="396"/>
      <c r="AL56" s="464"/>
      <c r="AM56" s="395"/>
      <c r="AN56" s="396"/>
      <c r="AO56" s="464"/>
      <c r="AP56" s="395"/>
      <c r="AQ56" s="396"/>
      <c r="AR56" s="171"/>
      <c r="AS56" s="186"/>
      <c r="AT56" s="361"/>
      <c r="AU56" s="361"/>
      <c r="AV56" s="361"/>
      <c r="AW56" s="446"/>
      <c r="AX56" s="361"/>
      <c r="AY56" s="446"/>
      <c r="AZ56" s="361"/>
      <c r="BA56" s="411"/>
      <c r="BB56" s="411"/>
      <c r="BC56" s="411"/>
      <c r="BD56" s="186"/>
      <c r="BE56" s="364"/>
      <c r="BF56" s="364"/>
      <c r="BG56" s="361"/>
      <c r="BH56" s="361"/>
      <c r="BI56" s="361"/>
      <c r="BJ56" s="361"/>
      <c r="BK56" s="361"/>
      <c r="BL56" s="361"/>
      <c r="BM56" s="361"/>
      <c r="BN56" s="361"/>
      <c r="BO56" s="361"/>
      <c r="BP56" s="446"/>
      <c r="BQ56" s="446"/>
      <c r="BR56" s="446"/>
      <c r="BS56" s="174"/>
      <c r="BT56" s="174"/>
      <c r="BU56" s="174"/>
      <c r="BV56" s="174"/>
      <c r="BW56" s="174"/>
      <c r="BX56" s="174"/>
      <c r="BY56" s="395"/>
      <c r="BZ56" s="395"/>
      <c r="CA56" s="395"/>
      <c r="CB56" s="468"/>
      <c r="CC56" s="395"/>
      <c r="CD56" s="395"/>
      <c r="CE56" s="468"/>
      <c r="CF56" s="395"/>
      <c r="CG56" s="187"/>
      <c r="CH56" s="171"/>
      <c r="CI56" s="186"/>
      <c r="CJ56" s="361"/>
      <c r="CK56" s="174"/>
      <c r="CL56" s="174"/>
      <c r="CM56" s="174"/>
      <c r="CN56" s="174"/>
      <c r="CO56" s="174"/>
      <c r="CP56" s="361"/>
      <c r="CQ56" s="363"/>
      <c r="CR56" s="363"/>
      <c r="CS56" s="175"/>
      <c r="CT56" s="175"/>
    </row>
    <row r="57" spans="1:98" x14ac:dyDescent="0.25">
      <c r="A57" s="206">
        <f t="shared" si="0"/>
        <v>-10</v>
      </c>
      <c r="B57" s="216"/>
      <c r="C57" s="186"/>
      <c r="D57" s="174"/>
      <c r="E57" s="174"/>
      <c r="F57" s="174"/>
      <c r="G57" s="174"/>
      <c r="H57" s="174"/>
      <c r="I57" s="174"/>
      <c r="J57" s="174"/>
      <c r="K57" s="363"/>
      <c r="L57" s="175"/>
      <c r="M57" s="175"/>
      <c r="N57" s="362"/>
      <c r="O57" s="362"/>
      <c r="P57" s="362"/>
      <c r="Q57" s="362"/>
      <c r="R57" s="362"/>
      <c r="S57" s="362"/>
      <c r="T57" s="362"/>
      <c r="U57" s="362"/>
      <c r="V57" s="362"/>
      <c r="W57" s="362"/>
      <c r="X57" s="362"/>
      <c r="Y57" s="362"/>
      <c r="Z57" s="362"/>
      <c r="AA57" s="362"/>
      <c r="AB57" s="362"/>
      <c r="AC57" s="362"/>
      <c r="AD57" s="362"/>
      <c r="AE57" s="362"/>
      <c r="AF57" s="362"/>
      <c r="AG57" s="362"/>
      <c r="AH57" s="362"/>
      <c r="AI57" s="464"/>
      <c r="AJ57" s="395"/>
      <c r="AK57" s="396"/>
      <c r="AL57" s="464"/>
      <c r="AM57" s="395"/>
      <c r="AN57" s="396"/>
      <c r="AO57" s="464"/>
      <c r="AP57" s="395"/>
      <c r="AQ57" s="396"/>
      <c r="AR57" s="171"/>
      <c r="AS57" s="186"/>
      <c r="AT57" s="361"/>
      <c r="AU57" s="361"/>
      <c r="AV57" s="361"/>
      <c r="AW57" s="446"/>
      <c r="AX57" s="361"/>
      <c r="AY57" s="446"/>
      <c r="AZ57" s="361"/>
      <c r="BA57" s="411"/>
      <c r="BB57" s="411"/>
      <c r="BC57" s="411"/>
      <c r="BD57" s="186"/>
      <c r="BE57" s="364"/>
      <c r="BF57" s="364"/>
      <c r="BG57" s="361"/>
      <c r="BH57" s="361"/>
      <c r="BI57" s="361"/>
      <c r="BJ57" s="361"/>
      <c r="BK57" s="361"/>
      <c r="BL57" s="361"/>
      <c r="BM57" s="361"/>
      <c r="BN57" s="361"/>
      <c r="BO57" s="361"/>
      <c r="BP57" s="446"/>
      <c r="BQ57" s="446"/>
      <c r="BR57" s="446"/>
      <c r="BS57" s="174"/>
      <c r="BT57" s="174"/>
      <c r="BU57" s="174"/>
      <c r="BV57" s="174"/>
      <c r="BW57" s="174"/>
      <c r="BX57" s="174"/>
      <c r="BY57" s="395"/>
      <c r="BZ57" s="395"/>
      <c r="CA57" s="395"/>
      <c r="CB57" s="468"/>
      <c r="CC57" s="395"/>
      <c r="CD57" s="395"/>
      <c r="CE57" s="468"/>
      <c r="CF57" s="395"/>
      <c r="CG57" s="187"/>
      <c r="CH57" s="171"/>
      <c r="CI57" s="186"/>
      <c r="CJ57" s="361"/>
      <c r="CK57" s="174"/>
      <c r="CL57" s="174"/>
      <c r="CM57" s="174"/>
      <c r="CN57" s="174"/>
      <c r="CO57" s="174"/>
      <c r="CP57" s="361"/>
      <c r="CQ57" s="363"/>
      <c r="CR57" s="363"/>
      <c r="CS57" s="175"/>
      <c r="CT57" s="175"/>
    </row>
    <row r="58" spans="1:98" x14ac:dyDescent="0.25">
      <c r="A58" s="206">
        <f t="shared" si="0"/>
        <v>-11</v>
      </c>
      <c r="B58" s="216"/>
      <c r="C58" s="186"/>
      <c r="D58" s="174"/>
      <c r="E58" s="174"/>
      <c r="F58" s="174"/>
      <c r="G58" s="174"/>
      <c r="H58" s="174"/>
      <c r="I58" s="174"/>
      <c r="J58" s="174"/>
      <c r="K58" s="363"/>
      <c r="L58" s="175"/>
      <c r="M58" s="175"/>
      <c r="N58" s="362"/>
      <c r="O58" s="362"/>
      <c r="P58" s="362"/>
      <c r="Q58" s="362"/>
      <c r="R58" s="362"/>
      <c r="S58" s="362"/>
      <c r="T58" s="362"/>
      <c r="U58" s="362"/>
      <c r="V58" s="362"/>
      <c r="W58" s="362"/>
      <c r="X58" s="362"/>
      <c r="Y58" s="362"/>
      <c r="Z58" s="362"/>
      <c r="AA58" s="362"/>
      <c r="AB58" s="362"/>
      <c r="AC58" s="362"/>
      <c r="AD58" s="362"/>
      <c r="AE58" s="362"/>
      <c r="AF58" s="362"/>
      <c r="AG58" s="362"/>
      <c r="AH58" s="362"/>
      <c r="AI58" s="464"/>
      <c r="AJ58" s="395"/>
      <c r="AK58" s="396"/>
      <c r="AL58" s="464"/>
      <c r="AM58" s="395"/>
      <c r="AN58" s="396"/>
      <c r="AO58" s="464"/>
      <c r="AP58" s="395"/>
      <c r="AQ58" s="396"/>
      <c r="AR58" s="171"/>
      <c r="AS58" s="186"/>
      <c r="AT58" s="361"/>
      <c r="AU58" s="361"/>
      <c r="AV58" s="361"/>
      <c r="AW58" s="446"/>
      <c r="AX58" s="361"/>
      <c r="AY58" s="446"/>
      <c r="AZ58" s="361"/>
      <c r="BA58" s="411"/>
      <c r="BB58" s="411"/>
      <c r="BC58" s="411"/>
      <c r="BD58" s="186"/>
      <c r="BE58" s="364"/>
      <c r="BF58" s="364"/>
      <c r="BG58" s="361"/>
      <c r="BH58" s="361"/>
      <c r="BI58" s="361"/>
      <c r="BJ58" s="361"/>
      <c r="BK58" s="361"/>
      <c r="BL58" s="361"/>
      <c r="BM58" s="361"/>
      <c r="BN58" s="361"/>
      <c r="BO58" s="361"/>
      <c r="BP58" s="446"/>
      <c r="BQ58" s="446"/>
      <c r="BR58" s="446"/>
      <c r="BS58" s="174"/>
      <c r="BT58" s="174"/>
      <c r="BU58" s="174"/>
      <c r="BV58" s="174"/>
      <c r="BW58" s="174"/>
      <c r="BX58" s="174"/>
      <c r="BY58" s="395"/>
      <c r="BZ58" s="395"/>
      <c r="CA58" s="395"/>
      <c r="CB58" s="468"/>
      <c r="CC58" s="395"/>
      <c r="CD58" s="395"/>
      <c r="CE58" s="468"/>
      <c r="CF58" s="395"/>
      <c r="CG58" s="187"/>
      <c r="CH58" s="171"/>
      <c r="CI58" s="186"/>
      <c r="CJ58" s="361"/>
      <c r="CK58" s="174"/>
      <c r="CL58" s="174"/>
      <c r="CM58" s="174"/>
      <c r="CN58" s="174"/>
      <c r="CO58" s="174"/>
      <c r="CP58" s="361"/>
      <c r="CQ58" s="363"/>
      <c r="CR58" s="363"/>
      <c r="CS58" s="175"/>
      <c r="CT58" s="175"/>
    </row>
    <row r="59" spans="1:98" x14ac:dyDescent="0.25">
      <c r="A59" s="206">
        <f t="shared" si="0"/>
        <v>-12</v>
      </c>
      <c r="B59" s="216"/>
      <c r="C59" s="186"/>
      <c r="D59" s="174"/>
      <c r="E59" s="174"/>
      <c r="F59" s="174"/>
      <c r="G59" s="174"/>
      <c r="H59" s="174"/>
      <c r="I59" s="174"/>
      <c r="J59" s="174"/>
      <c r="K59" s="363"/>
      <c r="L59" s="175"/>
      <c r="M59" s="175"/>
      <c r="N59" s="362"/>
      <c r="O59" s="362"/>
      <c r="P59" s="362"/>
      <c r="Q59" s="362"/>
      <c r="R59" s="362"/>
      <c r="S59" s="362"/>
      <c r="T59" s="362"/>
      <c r="U59" s="362"/>
      <c r="V59" s="362"/>
      <c r="W59" s="362"/>
      <c r="X59" s="362"/>
      <c r="Y59" s="362"/>
      <c r="Z59" s="362"/>
      <c r="AA59" s="362"/>
      <c r="AB59" s="362"/>
      <c r="AC59" s="362"/>
      <c r="AD59" s="362"/>
      <c r="AE59" s="362"/>
      <c r="AF59" s="362"/>
      <c r="AG59" s="362"/>
      <c r="AH59" s="362"/>
      <c r="AI59" s="464"/>
      <c r="AJ59" s="395"/>
      <c r="AK59" s="396"/>
      <c r="AL59" s="464"/>
      <c r="AM59" s="395"/>
      <c r="AN59" s="396"/>
      <c r="AO59" s="464"/>
      <c r="AP59" s="395"/>
      <c r="AQ59" s="396"/>
      <c r="AR59" s="171"/>
      <c r="AS59" s="186"/>
      <c r="AT59" s="361"/>
      <c r="AU59" s="361"/>
      <c r="AV59" s="361"/>
      <c r="AW59" s="446"/>
      <c r="AX59" s="361"/>
      <c r="AY59" s="446"/>
      <c r="AZ59" s="361"/>
      <c r="BA59" s="411"/>
      <c r="BB59" s="411"/>
      <c r="BC59" s="411"/>
      <c r="BD59" s="186"/>
      <c r="BE59" s="364"/>
      <c r="BF59" s="364"/>
      <c r="BG59" s="361"/>
      <c r="BH59" s="361"/>
      <c r="BI59" s="361"/>
      <c r="BJ59" s="361"/>
      <c r="BK59" s="361"/>
      <c r="BL59" s="361"/>
      <c r="BM59" s="361"/>
      <c r="BN59" s="361"/>
      <c r="BO59" s="361"/>
      <c r="BP59" s="446"/>
      <c r="BQ59" s="446"/>
      <c r="BR59" s="446"/>
      <c r="BS59" s="174"/>
      <c r="BT59" s="174"/>
      <c r="BU59" s="174"/>
      <c r="BV59" s="174"/>
      <c r="BW59" s="174"/>
      <c r="BX59" s="174"/>
      <c r="BY59" s="395"/>
      <c r="BZ59" s="395"/>
      <c r="CA59" s="395"/>
      <c r="CB59" s="468"/>
      <c r="CC59" s="395"/>
      <c r="CD59" s="395"/>
      <c r="CE59" s="468"/>
      <c r="CF59" s="395"/>
      <c r="CG59" s="187"/>
      <c r="CH59" s="171"/>
      <c r="CI59" s="186"/>
      <c r="CJ59" s="361"/>
      <c r="CK59" s="174"/>
      <c r="CL59" s="174"/>
      <c r="CM59" s="174"/>
      <c r="CN59" s="174"/>
      <c r="CO59" s="174"/>
      <c r="CP59" s="361"/>
      <c r="CQ59" s="363"/>
      <c r="CR59" s="363"/>
      <c r="CS59" s="175"/>
      <c r="CT59" s="175"/>
    </row>
    <row r="60" spans="1:98" x14ac:dyDescent="0.25">
      <c r="A60" s="206">
        <f t="shared" si="0"/>
        <v>-13</v>
      </c>
      <c r="B60" s="216"/>
      <c r="C60" s="186"/>
      <c r="D60" s="174"/>
      <c r="E60" s="174"/>
      <c r="F60" s="174"/>
      <c r="G60" s="174"/>
      <c r="H60" s="174"/>
      <c r="I60" s="174"/>
      <c r="J60" s="174"/>
      <c r="K60" s="363"/>
      <c r="L60" s="175"/>
      <c r="M60" s="175"/>
      <c r="N60" s="362"/>
      <c r="O60" s="362"/>
      <c r="P60" s="362"/>
      <c r="Q60" s="362"/>
      <c r="R60" s="362"/>
      <c r="S60" s="362"/>
      <c r="T60" s="362"/>
      <c r="U60" s="362"/>
      <c r="V60" s="362"/>
      <c r="W60" s="362"/>
      <c r="X60" s="362"/>
      <c r="Y60" s="362"/>
      <c r="Z60" s="362"/>
      <c r="AA60" s="362"/>
      <c r="AB60" s="362"/>
      <c r="AC60" s="362"/>
      <c r="AD60" s="362"/>
      <c r="AE60" s="362"/>
      <c r="AF60" s="362"/>
      <c r="AG60" s="362"/>
      <c r="AH60" s="362"/>
      <c r="AI60" s="464"/>
      <c r="AJ60" s="395"/>
      <c r="AK60" s="396"/>
      <c r="AL60" s="464"/>
      <c r="AM60" s="395"/>
      <c r="AN60" s="396"/>
      <c r="AO60" s="464"/>
      <c r="AP60" s="395"/>
      <c r="AQ60" s="396"/>
      <c r="AR60" s="171"/>
      <c r="AS60" s="186"/>
      <c r="AT60" s="361"/>
      <c r="AU60" s="361"/>
      <c r="AV60" s="361"/>
      <c r="AW60" s="446"/>
      <c r="AX60" s="361"/>
      <c r="AY60" s="446"/>
      <c r="AZ60" s="361"/>
      <c r="BA60" s="411"/>
      <c r="BB60" s="411"/>
      <c r="BC60" s="411"/>
      <c r="BD60" s="186"/>
      <c r="BE60" s="364"/>
      <c r="BF60" s="364"/>
      <c r="BG60" s="361"/>
      <c r="BH60" s="361"/>
      <c r="BI60" s="361"/>
      <c r="BJ60" s="361"/>
      <c r="BK60" s="361"/>
      <c r="BL60" s="361"/>
      <c r="BM60" s="361"/>
      <c r="BN60" s="361"/>
      <c r="BO60" s="361"/>
      <c r="BP60" s="446"/>
      <c r="BQ60" s="446"/>
      <c r="BR60" s="446"/>
      <c r="BS60" s="174"/>
      <c r="BT60" s="174"/>
      <c r="BU60" s="174"/>
      <c r="BV60" s="174"/>
      <c r="BW60" s="174"/>
      <c r="BX60" s="174"/>
      <c r="BY60" s="395"/>
      <c r="BZ60" s="395"/>
      <c r="CA60" s="395"/>
      <c r="CB60" s="468"/>
      <c r="CC60" s="395"/>
      <c r="CD60" s="395"/>
      <c r="CE60" s="468"/>
      <c r="CF60" s="395"/>
      <c r="CG60" s="187"/>
      <c r="CH60" s="171"/>
      <c r="CI60" s="186"/>
      <c r="CJ60" s="361"/>
      <c r="CK60" s="174"/>
      <c r="CL60" s="174"/>
      <c r="CM60" s="174"/>
      <c r="CN60" s="174"/>
      <c r="CO60" s="174"/>
      <c r="CP60" s="361"/>
      <c r="CQ60" s="363"/>
      <c r="CR60" s="363"/>
      <c r="CS60" s="175"/>
      <c r="CT60" s="175"/>
    </row>
    <row r="61" spans="1:98" x14ac:dyDescent="0.25">
      <c r="A61" s="206">
        <f t="shared" si="0"/>
        <v>-14</v>
      </c>
      <c r="B61" s="216"/>
      <c r="C61" s="186"/>
      <c r="D61" s="174"/>
      <c r="E61" s="174"/>
      <c r="F61" s="174"/>
      <c r="G61" s="174"/>
      <c r="H61" s="174"/>
      <c r="I61" s="174"/>
      <c r="J61" s="174"/>
      <c r="K61" s="363"/>
      <c r="L61" s="175"/>
      <c r="M61" s="175"/>
      <c r="N61" s="362"/>
      <c r="O61" s="362"/>
      <c r="P61" s="362"/>
      <c r="Q61" s="362"/>
      <c r="R61" s="362"/>
      <c r="S61" s="362"/>
      <c r="T61" s="362"/>
      <c r="U61" s="362"/>
      <c r="V61" s="362"/>
      <c r="W61" s="362"/>
      <c r="X61" s="362"/>
      <c r="Y61" s="362"/>
      <c r="Z61" s="362"/>
      <c r="AA61" s="362"/>
      <c r="AB61" s="362"/>
      <c r="AC61" s="362"/>
      <c r="AD61" s="362"/>
      <c r="AE61" s="362"/>
      <c r="AF61" s="362"/>
      <c r="AG61" s="362"/>
      <c r="AH61" s="362"/>
      <c r="AI61" s="464"/>
      <c r="AJ61" s="395"/>
      <c r="AK61" s="396"/>
      <c r="AL61" s="464"/>
      <c r="AM61" s="395"/>
      <c r="AN61" s="396"/>
      <c r="AO61" s="464"/>
      <c r="AP61" s="395"/>
      <c r="AQ61" s="396"/>
      <c r="AR61" s="171"/>
      <c r="AS61" s="186"/>
      <c r="AT61" s="361"/>
      <c r="AU61" s="361"/>
      <c r="AV61" s="361"/>
      <c r="AW61" s="446"/>
      <c r="AX61" s="361"/>
      <c r="AY61" s="446"/>
      <c r="AZ61" s="361"/>
      <c r="BA61" s="411"/>
      <c r="BB61" s="411"/>
      <c r="BC61" s="411"/>
      <c r="BD61" s="186"/>
      <c r="BE61" s="364"/>
      <c r="BF61" s="364"/>
      <c r="BG61" s="361"/>
      <c r="BH61" s="361"/>
      <c r="BI61" s="361"/>
      <c r="BJ61" s="361"/>
      <c r="BK61" s="361"/>
      <c r="BL61" s="361"/>
      <c r="BM61" s="361"/>
      <c r="BN61" s="361"/>
      <c r="BO61" s="361"/>
      <c r="BP61" s="446"/>
      <c r="BQ61" s="446"/>
      <c r="BR61" s="446"/>
      <c r="BS61" s="174"/>
      <c r="BT61" s="174"/>
      <c r="BU61" s="174"/>
      <c r="BV61" s="174"/>
      <c r="BW61" s="174"/>
      <c r="BX61" s="174"/>
      <c r="BY61" s="395"/>
      <c r="BZ61" s="395"/>
      <c r="CA61" s="395"/>
      <c r="CB61" s="468"/>
      <c r="CC61" s="395"/>
      <c r="CD61" s="395"/>
      <c r="CE61" s="468"/>
      <c r="CF61" s="395"/>
      <c r="CG61" s="187"/>
      <c r="CH61" s="171"/>
      <c r="CI61" s="186"/>
      <c r="CJ61" s="361"/>
      <c r="CK61" s="174"/>
      <c r="CL61" s="174"/>
      <c r="CM61" s="174"/>
      <c r="CN61" s="174"/>
      <c r="CO61" s="174"/>
      <c r="CP61" s="361"/>
      <c r="CQ61" s="363"/>
      <c r="CR61" s="363"/>
      <c r="CS61" s="175"/>
      <c r="CT61" s="175"/>
    </row>
    <row r="62" spans="1:98" x14ac:dyDescent="0.25">
      <c r="A62" s="206">
        <f t="shared" si="0"/>
        <v>-15</v>
      </c>
      <c r="B62" s="216"/>
      <c r="C62" s="186"/>
      <c r="D62" s="174"/>
      <c r="E62" s="174"/>
      <c r="F62" s="174"/>
      <c r="G62" s="174"/>
      <c r="H62" s="174"/>
      <c r="I62" s="174"/>
      <c r="J62" s="174"/>
      <c r="K62" s="363"/>
      <c r="L62" s="175"/>
      <c r="M62" s="175"/>
      <c r="N62" s="362"/>
      <c r="O62" s="362"/>
      <c r="P62" s="362"/>
      <c r="Q62" s="362"/>
      <c r="R62" s="362"/>
      <c r="S62" s="362"/>
      <c r="T62" s="362"/>
      <c r="U62" s="362"/>
      <c r="V62" s="362"/>
      <c r="W62" s="362"/>
      <c r="X62" s="362"/>
      <c r="Y62" s="362"/>
      <c r="Z62" s="362"/>
      <c r="AA62" s="362"/>
      <c r="AB62" s="362"/>
      <c r="AC62" s="362"/>
      <c r="AD62" s="362"/>
      <c r="AE62" s="362"/>
      <c r="AF62" s="362"/>
      <c r="AG62" s="362"/>
      <c r="AH62" s="362"/>
      <c r="AI62" s="464"/>
      <c r="AJ62" s="395"/>
      <c r="AK62" s="396"/>
      <c r="AL62" s="464"/>
      <c r="AM62" s="395"/>
      <c r="AN62" s="396"/>
      <c r="AO62" s="464"/>
      <c r="AP62" s="395"/>
      <c r="AQ62" s="396"/>
      <c r="AR62" s="171"/>
      <c r="AS62" s="186"/>
      <c r="AT62" s="361"/>
      <c r="AU62" s="361"/>
      <c r="AV62" s="361"/>
      <c r="AW62" s="446"/>
      <c r="AX62" s="361"/>
      <c r="AY62" s="446"/>
      <c r="AZ62" s="361"/>
      <c r="BA62" s="411"/>
      <c r="BB62" s="411"/>
      <c r="BC62" s="411"/>
      <c r="BD62" s="186"/>
      <c r="BE62" s="364"/>
      <c r="BF62" s="364"/>
      <c r="BG62" s="361"/>
      <c r="BH62" s="361"/>
      <c r="BI62" s="361"/>
      <c r="BJ62" s="361"/>
      <c r="BK62" s="361"/>
      <c r="BL62" s="361"/>
      <c r="BM62" s="361"/>
      <c r="BN62" s="361"/>
      <c r="BO62" s="361"/>
      <c r="BP62" s="446"/>
      <c r="BQ62" s="446"/>
      <c r="BR62" s="446"/>
      <c r="BS62" s="174"/>
      <c r="BT62" s="174"/>
      <c r="BU62" s="174"/>
      <c r="BV62" s="174"/>
      <c r="BW62" s="174"/>
      <c r="BX62" s="174"/>
      <c r="BY62" s="395"/>
      <c r="BZ62" s="395"/>
      <c r="CA62" s="395"/>
      <c r="CB62" s="468"/>
      <c r="CC62" s="395"/>
      <c r="CD62" s="395"/>
      <c r="CE62" s="468"/>
      <c r="CF62" s="395"/>
      <c r="CG62" s="187"/>
      <c r="CH62" s="171"/>
      <c r="CI62" s="186"/>
      <c r="CJ62" s="361"/>
      <c r="CK62" s="174"/>
      <c r="CL62" s="174"/>
      <c r="CM62" s="174"/>
      <c r="CN62" s="174"/>
      <c r="CO62" s="174"/>
      <c r="CP62" s="361"/>
      <c r="CQ62" s="363"/>
      <c r="CR62" s="363"/>
      <c r="CS62" s="175"/>
      <c r="CT62" s="175"/>
    </row>
    <row r="63" spans="1:98" x14ac:dyDescent="0.25">
      <c r="A63" s="206">
        <f t="shared" si="0"/>
        <v>-16</v>
      </c>
      <c r="B63" s="216"/>
      <c r="C63" s="186"/>
      <c r="D63" s="174"/>
      <c r="E63" s="174"/>
      <c r="F63" s="174"/>
      <c r="G63" s="174"/>
      <c r="H63" s="174"/>
      <c r="I63" s="174"/>
      <c r="J63" s="174"/>
      <c r="K63" s="363"/>
      <c r="L63" s="175"/>
      <c r="M63" s="175"/>
      <c r="N63" s="362"/>
      <c r="O63" s="362"/>
      <c r="P63" s="362"/>
      <c r="Q63" s="362"/>
      <c r="R63" s="362"/>
      <c r="S63" s="362"/>
      <c r="T63" s="362"/>
      <c r="U63" s="362"/>
      <c r="V63" s="362"/>
      <c r="W63" s="362"/>
      <c r="X63" s="362"/>
      <c r="Y63" s="362"/>
      <c r="Z63" s="362"/>
      <c r="AA63" s="362"/>
      <c r="AB63" s="362"/>
      <c r="AC63" s="362"/>
      <c r="AD63" s="362"/>
      <c r="AE63" s="362"/>
      <c r="AF63" s="362"/>
      <c r="AG63" s="362"/>
      <c r="AH63" s="362"/>
      <c r="AI63" s="464"/>
      <c r="AJ63" s="395"/>
      <c r="AK63" s="396"/>
      <c r="AL63" s="464"/>
      <c r="AM63" s="395"/>
      <c r="AN63" s="396"/>
      <c r="AO63" s="464"/>
      <c r="AP63" s="395"/>
      <c r="AQ63" s="396"/>
      <c r="AR63" s="171"/>
      <c r="AS63" s="186"/>
      <c r="AT63" s="361"/>
      <c r="AU63" s="361"/>
      <c r="AV63" s="361"/>
      <c r="AW63" s="446"/>
      <c r="AX63" s="361"/>
      <c r="AY63" s="446"/>
      <c r="AZ63" s="361"/>
      <c r="BA63" s="411"/>
      <c r="BB63" s="411"/>
      <c r="BC63" s="411"/>
      <c r="BD63" s="186"/>
      <c r="BE63" s="364"/>
      <c r="BF63" s="364"/>
      <c r="BG63" s="361"/>
      <c r="BH63" s="361"/>
      <c r="BI63" s="361"/>
      <c r="BJ63" s="361"/>
      <c r="BK63" s="361"/>
      <c r="BL63" s="361"/>
      <c r="BM63" s="361"/>
      <c r="BN63" s="361"/>
      <c r="BO63" s="361"/>
      <c r="BP63" s="446"/>
      <c r="BQ63" s="446"/>
      <c r="BR63" s="446"/>
      <c r="BS63" s="174"/>
      <c r="BT63" s="174"/>
      <c r="BU63" s="174"/>
      <c r="BV63" s="174"/>
      <c r="BW63" s="174"/>
      <c r="BX63" s="174"/>
      <c r="BY63" s="395"/>
      <c r="BZ63" s="395"/>
      <c r="CA63" s="395"/>
      <c r="CB63" s="468"/>
      <c r="CC63" s="395"/>
      <c r="CD63" s="395"/>
      <c r="CE63" s="468"/>
      <c r="CF63" s="395"/>
      <c r="CG63" s="187"/>
      <c r="CH63" s="171"/>
      <c r="CI63" s="186"/>
      <c r="CJ63" s="361"/>
      <c r="CK63" s="174"/>
      <c r="CL63" s="174"/>
      <c r="CM63" s="174"/>
      <c r="CN63" s="174"/>
      <c r="CO63" s="174"/>
      <c r="CP63" s="361"/>
      <c r="CQ63" s="363"/>
      <c r="CR63" s="363"/>
      <c r="CS63" s="175"/>
      <c r="CT63" s="175"/>
    </row>
    <row r="64" spans="1:98" x14ac:dyDescent="0.25">
      <c r="A64" s="206">
        <f t="shared" si="0"/>
        <v>-17</v>
      </c>
      <c r="B64" s="216"/>
      <c r="C64" s="186"/>
      <c r="D64" s="174"/>
      <c r="E64" s="174"/>
      <c r="F64" s="174"/>
      <c r="G64" s="174"/>
      <c r="H64" s="174"/>
      <c r="I64" s="174"/>
      <c r="J64" s="174"/>
      <c r="K64" s="363"/>
      <c r="L64" s="175"/>
      <c r="M64" s="175"/>
      <c r="N64" s="362"/>
      <c r="O64" s="362"/>
      <c r="P64" s="362"/>
      <c r="Q64" s="362"/>
      <c r="R64" s="362"/>
      <c r="S64" s="362"/>
      <c r="T64" s="362"/>
      <c r="U64" s="362"/>
      <c r="V64" s="362"/>
      <c r="W64" s="362"/>
      <c r="X64" s="362"/>
      <c r="Y64" s="362"/>
      <c r="Z64" s="362"/>
      <c r="AA64" s="362"/>
      <c r="AB64" s="362"/>
      <c r="AC64" s="362"/>
      <c r="AD64" s="362"/>
      <c r="AE64" s="362"/>
      <c r="AF64" s="362"/>
      <c r="AG64" s="362"/>
      <c r="AH64" s="362"/>
      <c r="AI64" s="464"/>
      <c r="AJ64" s="395"/>
      <c r="AK64" s="396"/>
      <c r="AL64" s="464"/>
      <c r="AM64" s="395"/>
      <c r="AN64" s="396"/>
      <c r="AO64" s="464"/>
      <c r="AP64" s="395"/>
      <c r="AQ64" s="396"/>
      <c r="AR64" s="171"/>
      <c r="AS64" s="186"/>
      <c r="AT64" s="361"/>
      <c r="AU64" s="361"/>
      <c r="AV64" s="361"/>
      <c r="AW64" s="446"/>
      <c r="AX64" s="361"/>
      <c r="AY64" s="446"/>
      <c r="AZ64" s="361"/>
      <c r="BA64" s="411"/>
      <c r="BB64" s="411"/>
      <c r="BC64" s="411"/>
      <c r="BD64" s="186"/>
      <c r="BE64" s="364"/>
      <c r="BF64" s="364"/>
      <c r="BG64" s="361"/>
      <c r="BH64" s="361"/>
      <c r="BI64" s="361"/>
      <c r="BJ64" s="361"/>
      <c r="BK64" s="361"/>
      <c r="BL64" s="361"/>
      <c r="BM64" s="361"/>
      <c r="BN64" s="361"/>
      <c r="BO64" s="361"/>
      <c r="BP64" s="446"/>
      <c r="BQ64" s="446"/>
      <c r="BR64" s="446"/>
      <c r="BS64" s="174"/>
      <c r="BT64" s="174"/>
      <c r="BU64" s="174"/>
      <c r="BV64" s="174"/>
      <c r="BW64" s="174"/>
      <c r="BX64" s="174"/>
      <c r="BY64" s="395"/>
      <c r="BZ64" s="395"/>
      <c r="CA64" s="395"/>
      <c r="CB64" s="468"/>
      <c r="CC64" s="395"/>
      <c r="CD64" s="395"/>
      <c r="CE64" s="468"/>
      <c r="CF64" s="395"/>
      <c r="CG64" s="187"/>
      <c r="CH64" s="171"/>
      <c r="CI64" s="186"/>
      <c r="CJ64" s="361"/>
      <c r="CK64" s="174"/>
      <c r="CL64" s="174"/>
      <c r="CM64" s="174"/>
      <c r="CN64" s="174"/>
      <c r="CO64" s="174"/>
      <c r="CP64" s="361"/>
      <c r="CQ64" s="363"/>
      <c r="CR64" s="363"/>
      <c r="CS64" s="175"/>
      <c r="CT64" s="175"/>
    </row>
    <row r="65" spans="1:98" x14ac:dyDescent="0.25">
      <c r="A65" s="206">
        <f t="shared" si="0"/>
        <v>-18</v>
      </c>
      <c r="B65" s="216"/>
      <c r="C65" s="186"/>
      <c r="D65" s="174"/>
      <c r="E65" s="174"/>
      <c r="F65" s="174"/>
      <c r="G65" s="174"/>
      <c r="H65" s="174"/>
      <c r="I65" s="174"/>
      <c r="J65" s="174"/>
      <c r="K65" s="363"/>
      <c r="L65" s="175"/>
      <c r="M65" s="175"/>
      <c r="N65" s="362"/>
      <c r="O65" s="362"/>
      <c r="P65" s="362"/>
      <c r="Q65" s="362"/>
      <c r="R65" s="362"/>
      <c r="S65" s="362"/>
      <c r="T65" s="362"/>
      <c r="U65" s="362"/>
      <c r="V65" s="362"/>
      <c r="W65" s="362"/>
      <c r="X65" s="362"/>
      <c r="Y65" s="362"/>
      <c r="Z65" s="362"/>
      <c r="AA65" s="362"/>
      <c r="AB65" s="362"/>
      <c r="AC65" s="362"/>
      <c r="AD65" s="362"/>
      <c r="AE65" s="362"/>
      <c r="AF65" s="362"/>
      <c r="AG65" s="362"/>
      <c r="AH65" s="362"/>
      <c r="AI65" s="464"/>
      <c r="AJ65" s="395"/>
      <c r="AK65" s="396"/>
      <c r="AL65" s="464"/>
      <c r="AM65" s="395"/>
      <c r="AN65" s="396"/>
      <c r="AO65" s="464"/>
      <c r="AP65" s="395"/>
      <c r="AQ65" s="396"/>
      <c r="AR65" s="171"/>
      <c r="AS65" s="186"/>
      <c r="AT65" s="361"/>
      <c r="AU65" s="361"/>
      <c r="AV65" s="361"/>
      <c r="AW65" s="446"/>
      <c r="AX65" s="361"/>
      <c r="AY65" s="446"/>
      <c r="AZ65" s="361"/>
      <c r="BA65" s="411"/>
      <c r="BB65" s="411"/>
      <c r="BC65" s="411"/>
      <c r="BD65" s="186"/>
      <c r="BE65" s="364"/>
      <c r="BF65" s="364"/>
      <c r="BG65" s="361"/>
      <c r="BH65" s="361"/>
      <c r="BI65" s="361"/>
      <c r="BJ65" s="361"/>
      <c r="BK65" s="361"/>
      <c r="BL65" s="361"/>
      <c r="BM65" s="361"/>
      <c r="BN65" s="361"/>
      <c r="BO65" s="361"/>
      <c r="BP65" s="446"/>
      <c r="BQ65" s="446"/>
      <c r="BR65" s="446"/>
      <c r="BS65" s="174"/>
      <c r="BT65" s="174"/>
      <c r="BU65" s="174"/>
      <c r="BV65" s="174"/>
      <c r="BW65" s="174"/>
      <c r="BX65" s="174"/>
      <c r="BY65" s="395"/>
      <c r="BZ65" s="395"/>
      <c r="CA65" s="395"/>
      <c r="CB65" s="468"/>
      <c r="CC65" s="395"/>
      <c r="CD65" s="395"/>
      <c r="CE65" s="468"/>
      <c r="CF65" s="395"/>
      <c r="CG65" s="187"/>
      <c r="CH65" s="171"/>
      <c r="CI65" s="186"/>
      <c r="CJ65" s="361"/>
      <c r="CK65" s="174"/>
      <c r="CL65" s="174"/>
      <c r="CM65" s="174"/>
      <c r="CN65" s="174"/>
      <c r="CO65" s="174"/>
      <c r="CP65" s="361"/>
      <c r="CQ65" s="363"/>
      <c r="CR65" s="363"/>
      <c r="CS65" s="175"/>
      <c r="CT65" s="175"/>
    </row>
    <row r="66" spans="1:98" x14ac:dyDescent="0.25">
      <c r="A66" s="206">
        <f t="shared" si="0"/>
        <v>-19</v>
      </c>
      <c r="B66" s="216"/>
      <c r="C66" s="186"/>
      <c r="D66" s="174"/>
      <c r="E66" s="174"/>
      <c r="F66" s="174"/>
      <c r="G66" s="174"/>
      <c r="H66" s="174"/>
      <c r="I66" s="174"/>
      <c r="J66" s="174"/>
      <c r="K66" s="363"/>
      <c r="L66" s="175"/>
      <c r="M66" s="175"/>
      <c r="N66" s="362"/>
      <c r="O66" s="362"/>
      <c r="P66" s="362"/>
      <c r="Q66" s="362"/>
      <c r="R66" s="362"/>
      <c r="S66" s="362"/>
      <c r="T66" s="362"/>
      <c r="U66" s="362"/>
      <c r="V66" s="362"/>
      <c r="W66" s="362"/>
      <c r="X66" s="362"/>
      <c r="Y66" s="362"/>
      <c r="Z66" s="362"/>
      <c r="AA66" s="362"/>
      <c r="AB66" s="362"/>
      <c r="AC66" s="362"/>
      <c r="AD66" s="362"/>
      <c r="AE66" s="362"/>
      <c r="AF66" s="362"/>
      <c r="AG66" s="362"/>
      <c r="AH66" s="362"/>
      <c r="AI66" s="464"/>
      <c r="AJ66" s="395"/>
      <c r="AK66" s="396"/>
      <c r="AL66" s="464"/>
      <c r="AM66" s="395"/>
      <c r="AN66" s="396"/>
      <c r="AO66" s="464"/>
      <c r="AP66" s="395"/>
      <c r="AQ66" s="396"/>
      <c r="AR66" s="171"/>
      <c r="AS66" s="186"/>
      <c r="AT66" s="361"/>
      <c r="AU66" s="361"/>
      <c r="AV66" s="361"/>
      <c r="AW66" s="446"/>
      <c r="AX66" s="361"/>
      <c r="AY66" s="446"/>
      <c r="AZ66" s="361"/>
      <c r="BA66" s="411"/>
      <c r="BB66" s="411"/>
      <c r="BC66" s="411"/>
      <c r="BD66" s="186"/>
      <c r="BE66" s="364"/>
      <c r="BF66" s="364"/>
      <c r="BG66" s="361"/>
      <c r="BH66" s="361"/>
      <c r="BI66" s="361"/>
      <c r="BJ66" s="361"/>
      <c r="BK66" s="361"/>
      <c r="BL66" s="361"/>
      <c r="BM66" s="361"/>
      <c r="BN66" s="361"/>
      <c r="BO66" s="361"/>
      <c r="BP66" s="446"/>
      <c r="BQ66" s="446"/>
      <c r="BR66" s="446"/>
      <c r="BS66" s="174"/>
      <c r="BT66" s="174"/>
      <c r="BU66" s="174"/>
      <c r="BV66" s="174"/>
      <c r="BW66" s="174"/>
      <c r="BX66" s="174"/>
      <c r="BY66" s="395"/>
      <c r="BZ66" s="395"/>
      <c r="CA66" s="395"/>
      <c r="CB66" s="468"/>
      <c r="CC66" s="395"/>
      <c r="CD66" s="395"/>
      <c r="CE66" s="468"/>
      <c r="CF66" s="395"/>
      <c r="CG66" s="187"/>
      <c r="CH66" s="171"/>
      <c r="CI66" s="186"/>
      <c r="CJ66" s="361"/>
      <c r="CK66" s="174"/>
      <c r="CL66" s="174"/>
      <c r="CM66" s="174"/>
      <c r="CN66" s="174"/>
      <c r="CO66" s="174"/>
      <c r="CP66" s="361"/>
      <c r="CQ66" s="363"/>
      <c r="CR66" s="363"/>
      <c r="CS66" s="175"/>
      <c r="CT66" s="175"/>
    </row>
    <row r="67" spans="1:98" x14ac:dyDescent="0.25">
      <c r="A67" s="206">
        <f t="shared" si="0"/>
        <v>-20</v>
      </c>
      <c r="B67" s="216"/>
      <c r="C67" s="186"/>
      <c r="D67" s="174"/>
      <c r="E67" s="174"/>
      <c r="F67" s="174"/>
      <c r="G67" s="174"/>
      <c r="H67" s="174"/>
      <c r="I67" s="174"/>
      <c r="J67" s="174"/>
      <c r="K67" s="363"/>
      <c r="L67" s="175"/>
      <c r="M67" s="175"/>
      <c r="N67" s="362"/>
      <c r="O67" s="362"/>
      <c r="P67" s="362"/>
      <c r="Q67" s="362"/>
      <c r="R67" s="362"/>
      <c r="S67" s="362"/>
      <c r="T67" s="362"/>
      <c r="U67" s="362"/>
      <c r="V67" s="362"/>
      <c r="W67" s="362"/>
      <c r="X67" s="362"/>
      <c r="Y67" s="362"/>
      <c r="Z67" s="362"/>
      <c r="AA67" s="362"/>
      <c r="AB67" s="362"/>
      <c r="AC67" s="362"/>
      <c r="AD67" s="362"/>
      <c r="AE67" s="362"/>
      <c r="AF67" s="362"/>
      <c r="AG67" s="362"/>
      <c r="AH67" s="362"/>
      <c r="AI67" s="464"/>
      <c r="AJ67" s="395"/>
      <c r="AK67" s="396"/>
      <c r="AL67" s="464"/>
      <c r="AM67" s="395"/>
      <c r="AN67" s="396"/>
      <c r="AO67" s="464"/>
      <c r="AP67" s="395"/>
      <c r="AQ67" s="396"/>
      <c r="AR67" s="171"/>
      <c r="AS67" s="186"/>
      <c r="AT67" s="361"/>
      <c r="AU67" s="361"/>
      <c r="AV67" s="361"/>
      <c r="AW67" s="446"/>
      <c r="AX67" s="361"/>
      <c r="AY67" s="446"/>
      <c r="AZ67" s="361"/>
      <c r="BA67" s="411"/>
      <c r="BB67" s="411"/>
      <c r="BC67" s="411"/>
      <c r="BD67" s="186"/>
      <c r="BE67" s="364"/>
      <c r="BF67" s="364"/>
      <c r="BG67" s="361"/>
      <c r="BH67" s="361"/>
      <c r="BI67" s="361"/>
      <c r="BJ67" s="361"/>
      <c r="BK67" s="361"/>
      <c r="BL67" s="361"/>
      <c r="BM67" s="361"/>
      <c r="BN67" s="361"/>
      <c r="BO67" s="361"/>
      <c r="BP67" s="446"/>
      <c r="BQ67" s="446"/>
      <c r="BR67" s="446"/>
      <c r="BS67" s="174"/>
      <c r="BT67" s="174"/>
      <c r="BU67" s="174"/>
      <c r="BV67" s="174"/>
      <c r="BW67" s="174"/>
      <c r="BX67" s="174"/>
      <c r="BY67" s="395"/>
      <c r="BZ67" s="395"/>
      <c r="CA67" s="395"/>
      <c r="CB67" s="468"/>
      <c r="CC67" s="395"/>
      <c r="CD67" s="395"/>
      <c r="CE67" s="468"/>
      <c r="CF67" s="395"/>
      <c r="CG67" s="187"/>
      <c r="CH67" s="171"/>
      <c r="CI67" s="186"/>
      <c r="CJ67" s="361"/>
      <c r="CK67" s="174"/>
      <c r="CL67" s="174"/>
      <c r="CM67" s="174"/>
      <c r="CN67" s="174"/>
      <c r="CO67" s="174"/>
      <c r="CP67" s="361"/>
      <c r="CQ67" s="363"/>
      <c r="CR67" s="363"/>
      <c r="CS67" s="175"/>
      <c r="CT67" s="175"/>
    </row>
    <row r="68" spans="1:98" x14ac:dyDescent="0.25">
      <c r="A68" s="206">
        <f t="shared" si="0"/>
        <v>-21</v>
      </c>
      <c r="B68" s="216"/>
      <c r="C68" s="186"/>
      <c r="D68" s="174"/>
      <c r="E68" s="174"/>
      <c r="F68" s="174"/>
      <c r="G68" s="174"/>
      <c r="H68" s="174"/>
      <c r="I68" s="174"/>
      <c r="J68" s="174"/>
      <c r="K68" s="363"/>
      <c r="L68" s="175"/>
      <c r="M68" s="175"/>
      <c r="N68" s="362"/>
      <c r="O68" s="362"/>
      <c r="P68" s="362"/>
      <c r="Q68" s="362"/>
      <c r="R68" s="362"/>
      <c r="S68" s="362"/>
      <c r="T68" s="362"/>
      <c r="U68" s="362"/>
      <c r="V68" s="362"/>
      <c r="W68" s="362"/>
      <c r="X68" s="362"/>
      <c r="Y68" s="362"/>
      <c r="Z68" s="362"/>
      <c r="AA68" s="362"/>
      <c r="AB68" s="362"/>
      <c r="AC68" s="362"/>
      <c r="AD68" s="362"/>
      <c r="AE68" s="362"/>
      <c r="AF68" s="362"/>
      <c r="AG68" s="362"/>
      <c r="AH68" s="362"/>
      <c r="AI68" s="464"/>
      <c r="AJ68" s="395"/>
      <c r="AK68" s="396"/>
      <c r="AL68" s="464"/>
      <c r="AM68" s="395"/>
      <c r="AN68" s="396"/>
      <c r="AO68" s="464"/>
      <c r="AP68" s="395"/>
      <c r="AQ68" s="396"/>
      <c r="AR68" s="171"/>
      <c r="AS68" s="186"/>
      <c r="AT68" s="361"/>
      <c r="AU68" s="361"/>
      <c r="AV68" s="361"/>
      <c r="AW68" s="446"/>
      <c r="AX68" s="361"/>
      <c r="AY68" s="446"/>
      <c r="AZ68" s="361"/>
      <c r="BA68" s="411"/>
      <c r="BB68" s="411"/>
      <c r="BC68" s="411"/>
      <c r="BD68" s="186"/>
      <c r="BE68" s="364"/>
      <c r="BF68" s="364"/>
      <c r="BG68" s="361"/>
      <c r="BH68" s="361"/>
      <c r="BI68" s="361"/>
      <c r="BJ68" s="361"/>
      <c r="BK68" s="361"/>
      <c r="BL68" s="361"/>
      <c r="BM68" s="361"/>
      <c r="BN68" s="361"/>
      <c r="BO68" s="361"/>
      <c r="BP68" s="446"/>
      <c r="BQ68" s="446"/>
      <c r="BR68" s="446"/>
      <c r="BS68" s="174"/>
      <c r="BT68" s="174"/>
      <c r="BU68" s="174"/>
      <c r="BV68" s="174"/>
      <c r="BW68" s="174"/>
      <c r="BX68" s="174"/>
      <c r="BY68" s="395"/>
      <c r="BZ68" s="395"/>
      <c r="CA68" s="395"/>
      <c r="CB68" s="468"/>
      <c r="CC68" s="395"/>
      <c r="CD68" s="395"/>
      <c r="CE68" s="468"/>
      <c r="CF68" s="395"/>
      <c r="CG68" s="187"/>
      <c r="CH68" s="171"/>
      <c r="CI68" s="186"/>
      <c r="CJ68" s="361"/>
      <c r="CK68" s="174"/>
      <c r="CL68" s="174"/>
      <c r="CM68" s="174"/>
      <c r="CN68" s="174"/>
      <c r="CO68" s="174"/>
      <c r="CP68" s="361"/>
      <c r="CQ68" s="363"/>
      <c r="CR68" s="363"/>
      <c r="CS68" s="175"/>
      <c r="CT68" s="175"/>
    </row>
    <row r="69" spans="1:98" x14ac:dyDescent="0.25">
      <c r="A69" s="206">
        <f t="shared" si="0"/>
        <v>-22</v>
      </c>
      <c r="B69" s="216"/>
      <c r="C69" s="186"/>
      <c r="D69" s="174"/>
      <c r="E69" s="174"/>
      <c r="F69" s="174"/>
      <c r="G69" s="174"/>
      <c r="H69" s="174"/>
      <c r="I69" s="174"/>
      <c r="J69" s="174"/>
      <c r="K69" s="363"/>
      <c r="L69" s="175"/>
      <c r="M69" s="175"/>
      <c r="N69" s="362"/>
      <c r="O69" s="362"/>
      <c r="P69" s="362"/>
      <c r="Q69" s="362"/>
      <c r="R69" s="362"/>
      <c r="S69" s="362"/>
      <c r="T69" s="362"/>
      <c r="U69" s="362"/>
      <c r="V69" s="362"/>
      <c r="W69" s="362"/>
      <c r="X69" s="362"/>
      <c r="Y69" s="362"/>
      <c r="Z69" s="362"/>
      <c r="AA69" s="362"/>
      <c r="AB69" s="362"/>
      <c r="AC69" s="362"/>
      <c r="AD69" s="362"/>
      <c r="AE69" s="362"/>
      <c r="AF69" s="362"/>
      <c r="AG69" s="362"/>
      <c r="AH69" s="362"/>
      <c r="AI69" s="464"/>
      <c r="AJ69" s="395"/>
      <c r="AK69" s="396"/>
      <c r="AL69" s="464"/>
      <c r="AM69" s="395"/>
      <c r="AN69" s="396"/>
      <c r="AO69" s="464"/>
      <c r="AP69" s="395"/>
      <c r="AQ69" s="396"/>
      <c r="AR69" s="171"/>
      <c r="AS69" s="186"/>
      <c r="AT69" s="361"/>
      <c r="AU69" s="361"/>
      <c r="AV69" s="361"/>
      <c r="AW69" s="446"/>
      <c r="AX69" s="361"/>
      <c r="AY69" s="446"/>
      <c r="AZ69" s="361"/>
      <c r="BA69" s="411"/>
      <c r="BB69" s="411"/>
      <c r="BC69" s="411"/>
      <c r="BD69" s="186"/>
      <c r="BE69" s="364"/>
      <c r="BF69" s="364"/>
      <c r="BG69" s="361"/>
      <c r="BH69" s="361"/>
      <c r="BI69" s="361"/>
      <c r="BJ69" s="361"/>
      <c r="BK69" s="361"/>
      <c r="BL69" s="361"/>
      <c r="BM69" s="361"/>
      <c r="BN69" s="361"/>
      <c r="BO69" s="361"/>
      <c r="BP69" s="446"/>
      <c r="BQ69" s="446"/>
      <c r="BR69" s="446"/>
      <c r="BS69" s="174"/>
      <c r="BT69" s="174"/>
      <c r="BU69" s="174"/>
      <c r="BV69" s="174"/>
      <c r="BW69" s="174"/>
      <c r="BX69" s="174"/>
      <c r="BY69" s="395"/>
      <c r="BZ69" s="395"/>
      <c r="CA69" s="395"/>
      <c r="CB69" s="468"/>
      <c r="CC69" s="395"/>
      <c r="CD69" s="395"/>
      <c r="CE69" s="468"/>
      <c r="CF69" s="395"/>
      <c r="CG69" s="187"/>
      <c r="CH69" s="171"/>
      <c r="CI69" s="186"/>
      <c r="CJ69" s="361"/>
      <c r="CK69" s="174"/>
      <c r="CL69" s="174"/>
      <c r="CM69" s="174"/>
      <c r="CN69" s="174"/>
      <c r="CO69" s="174"/>
      <c r="CP69" s="361"/>
      <c r="CQ69" s="363"/>
      <c r="CR69" s="363"/>
      <c r="CS69" s="175"/>
      <c r="CT69" s="175"/>
    </row>
    <row r="70" spans="1:98" x14ac:dyDescent="0.25">
      <c r="A70" s="206">
        <f t="shared" si="0"/>
        <v>-23</v>
      </c>
      <c r="B70" s="216"/>
      <c r="C70" s="186"/>
      <c r="D70" s="174"/>
      <c r="E70" s="174"/>
      <c r="F70" s="174"/>
      <c r="G70" s="174"/>
      <c r="H70" s="174"/>
      <c r="I70" s="174"/>
      <c r="J70" s="174"/>
      <c r="K70" s="363"/>
      <c r="L70" s="175"/>
      <c r="M70" s="175"/>
      <c r="N70" s="362"/>
      <c r="O70" s="362"/>
      <c r="P70" s="362"/>
      <c r="Q70" s="362"/>
      <c r="R70" s="362"/>
      <c r="S70" s="362"/>
      <c r="T70" s="362"/>
      <c r="U70" s="362"/>
      <c r="V70" s="362"/>
      <c r="W70" s="362"/>
      <c r="X70" s="362"/>
      <c r="Y70" s="362"/>
      <c r="Z70" s="362"/>
      <c r="AA70" s="362"/>
      <c r="AB70" s="362"/>
      <c r="AC70" s="362"/>
      <c r="AD70" s="362"/>
      <c r="AE70" s="362"/>
      <c r="AF70" s="362"/>
      <c r="AG70" s="362"/>
      <c r="AH70" s="362"/>
      <c r="AI70" s="464"/>
      <c r="AJ70" s="395"/>
      <c r="AK70" s="396"/>
      <c r="AL70" s="464"/>
      <c r="AM70" s="395"/>
      <c r="AN70" s="396"/>
      <c r="AO70" s="464"/>
      <c r="AP70" s="395"/>
      <c r="AQ70" s="396"/>
      <c r="AR70" s="171"/>
      <c r="AS70" s="186"/>
      <c r="AT70" s="361"/>
      <c r="AU70" s="361"/>
      <c r="AV70" s="361"/>
      <c r="AW70" s="446"/>
      <c r="AX70" s="361"/>
      <c r="AY70" s="446"/>
      <c r="AZ70" s="361"/>
      <c r="BA70" s="411"/>
      <c r="BB70" s="411"/>
      <c r="BC70" s="411"/>
      <c r="BD70" s="186"/>
      <c r="BE70" s="364"/>
      <c r="BF70" s="364"/>
      <c r="BG70" s="361"/>
      <c r="BH70" s="361"/>
      <c r="BI70" s="361"/>
      <c r="BJ70" s="361"/>
      <c r="BK70" s="361"/>
      <c r="BL70" s="361"/>
      <c r="BM70" s="361"/>
      <c r="BN70" s="361"/>
      <c r="BO70" s="361"/>
      <c r="BP70" s="446"/>
      <c r="BQ70" s="446"/>
      <c r="BR70" s="446"/>
      <c r="BS70" s="174"/>
      <c r="BT70" s="174"/>
      <c r="BU70" s="174"/>
      <c r="BV70" s="174"/>
      <c r="BW70" s="174"/>
      <c r="BX70" s="174"/>
      <c r="BY70" s="395"/>
      <c r="BZ70" s="395"/>
      <c r="CA70" s="395"/>
      <c r="CB70" s="468"/>
      <c r="CC70" s="395"/>
      <c r="CD70" s="395"/>
      <c r="CE70" s="468"/>
      <c r="CF70" s="395"/>
      <c r="CG70" s="187"/>
      <c r="CH70" s="171"/>
      <c r="CI70" s="186"/>
      <c r="CJ70" s="361"/>
      <c r="CK70" s="174"/>
      <c r="CL70" s="174"/>
      <c r="CM70" s="174"/>
      <c r="CN70" s="174"/>
      <c r="CO70" s="174"/>
      <c r="CP70" s="361"/>
      <c r="CQ70" s="363"/>
      <c r="CR70" s="363"/>
      <c r="CS70" s="175"/>
      <c r="CT70" s="175"/>
    </row>
    <row r="71" spans="1:98" x14ac:dyDescent="0.25">
      <c r="A71" s="206">
        <f t="shared" si="0"/>
        <v>-24</v>
      </c>
      <c r="B71" s="216"/>
      <c r="C71" s="186"/>
      <c r="D71" s="174"/>
      <c r="E71" s="174"/>
      <c r="F71" s="174"/>
      <c r="G71" s="174"/>
      <c r="H71" s="174"/>
      <c r="I71" s="174"/>
      <c r="J71" s="174"/>
      <c r="K71" s="363"/>
      <c r="L71" s="175"/>
      <c r="M71" s="175"/>
      <c r="N71" s="362"/>
      <c r="O71" s="362"/>
      <c r="P71" s="362"/>
      <c r="Q71" s="362"/>
      <c r="R71" s="362"/>
      <c r="S71" s="362"/>
      <c r="T71" s="362"/>
      <c r="U71" s="362"/>
      <c r="V71" s="362"/>
      <c r="W71" s="362"/>
      <c r="X71" s="362"/>
      <c r="Y71" s="362"/>
      <c r="Z71" s="362"/>
      <c r="AA71" s="362"/>
      <c r="AB71" s="362"/>
      <c r="AC71" s="362"/>
      <c r="AD71" s="362"/>
      <c r="AE71" s="362"/>
      <c r="AF71" s="362"/>
      <c r="AG71" s="362"/>
      <c r="AH71" s="362"/>
      <c r="AI71" s="464"/>
      <c r="AJ71" s="395"/>
      <c r="AK71" s="396"/>
      <c r="AL71" s="464"/>
      <c r="AM71" s="395"/>
      <c r="AN71" s="396"/>
      <c r="AO71" s="464"/>
      <c r="AP71" s="395"/>
      <c r="AQ71" s="396"/>
      <c r="AR71" s="171"/>
      <c r="AS71" s="186"/>
      <c r="AT71" s="361"/>
      <c r="AU71" s="361"/>
      <c r="AV71" s="361"/>
      <c r="AW71" s="446"/>
      <c r="AX71" s="361"/>
      <c r="AY71" s="446"/>
      <c r="AZ71" s="361"/>
      <c r="BA71" s="411"/>
      <c r="BB71" s="411"/>
      <c r="BC71" s="411"/>
      <c r="BD71" s="186"/>
      <c r="BE71" s="364"/>
      <c r="BF71" s="364"/>
      <c r="BG71" s="361"/>
      <c r="BH71" s="361"/>
      <c r="BI71" s="361"/>
      <c r="BJ71" s="361"/>
      <c r="BK71" s="361"/>
      <c r="BL71" s="361"/>
      <c r="BM71" s="361"/>
      <c r="BN71" s="361"/>
      <c r="BO71" s="361"/>
      <c r="BP71" s="446"/>
      <c r="BQ71" s="446"/>
      <c r="BR71" s="446"/>
      <c r="BS71" s="174"/>
      <c r="BT71" s="174"/>
      <c r="BU71" s="174"/>
      <c r="BV71" s="174"/>
      <c r="BW71" s="174"/>
      <c r="BX71" s="174"/>
      <c r="BY71" s="395"/>
      <c r="BZ71" s="395"/>
      <c r="CA71" s="395"/>
      <c r="CB71" s="468"/>
      <c r="CC71" s="395"/>
      <c r="CD71" s="395"/>
      <c r="CE71" s="468"/>
      <c r="CF71" s="395"/>
      <c r="CG71" s="187"/>
      <c r="CH71" s="171"/>
      <c r="CI71" s="186"/>
      <c r="CJ71" s="361"/>
      <c r="CK71" s="174"/>
      <c r="CL71" s="174"/>
      <c r="CM71" s="174"/>
      <c r="CN71" s="174"/>
      <c r="CO71" s="174"/>
      <c r="CP71" s="361"/>
      <c r="CQ71" s="363"/>
      <c r="CR71" s="363"/>
      <c r="CS71" s="175"/>
      <c r="CT71" s="175"/>
    </row>
    <row r="72" spans="1:98" x14ac:dyDescent="0.25">
      <c r="A72" s="206">
        <f t="shared" si="0"/>
        <v>-25</v>
      </c>
      <c r="B72" s="216"/>
      <c r="C72" s="186"/>
      <c r="D72" s="174"/>
      <c r="E72" s="174"/>
      <c r="F72" s="174"/>
      <c r="G72" s="174"/>
      <c r="H72" s="174"/>
      <c r="I72" s="174"/>
      <c r="J72" s="174"/>
      <c r="K72" s="363"/>
      <c r="L72" s="175"/>
      <c r="M72" s="175"/>
      <c r="N72" s="362"/>
      <c r="O72" s="362"/>
      <c r="P72" s="362"/>
      <c r="Q72" s="362"/>
      <c r="R72" s="362"/>
      <c r="S72" s="362"/>
      <c r="T72" s="362"/>
      <c r="U72" s="362"/>
      <c r="V72" s="362"/>
      <c r="W72" s="362"/>
      <c r="X72" s="362"/>
      <c r="Y72" s="362"/>
      <c r="Z72" s="362"/>
      <c r="AA72" s="362"/>
      <c r="AB72" s="362"/>
      <c r="AC72" s="362"/>
      <c r="AD72" s="362"/>
      <c r="AE72" s="362"/>
      <c r="AF72" s="362"/>
      <c r="AG72" s="362"/>
      <c r="AH72" s="362"/>
      <c r="AI72" s="464"/>
      <c r="AJ72" s="395"/>
      <c r="AK72" s="396"/>
      <c r="AL72" s="464"/>
      <c r="AM72" s="395"/>
      <c r="AN72" s="396"/>
      <c r="AO72" s="464"/>
      <c r="AP72" s="395"/>
      <c r="AQ72" s="396"/>
      <c r="AR72" s="171"/>
      <c r="AS72" s="186"/>
      <c r="AT72" s="361"/>
      <c r="AU72" s="361"/>
      <c r="AV72" s="361"/>
      <c r="AW72" s="446"/>
      <c r="AX72" s="361"/>
      <c r="AY72" s="446"/>
      <c r="AZ72" s="361"/>
      <c r="BA72" s="411"/>
      <c r="BB72" s="411"/>
      <c r="BC72" s="411"/>
      <c r="BD72" s="186"/>
      <c r="BE72" s="364"/>
      <c r="BF72" s="364"/>
      <c r="BG72" s="361"/>
      <c r="BH72" s="361"/>
      <c r="BI72" s="361"/>
      <c r="BJ72" s="361"/>
      <c r="BK72" s="361"/>
      <c r="BL72" s="361"/>
      <c r="BM72" s="361"/>
      <c r="BN72" s="361"/>
      <c r="BO72" s="361"/>
      <c r="BP72" s="446"/>
      <c r="BQ72" s="446"/>
      <c r="BR72" s="446"/>
      <c r="BS72" s="174"/>
      <c r="BT72" s="174"/>
      <c r="BU72" s="174"/>
      <c r="BV72" s="174"/>
      <c r="BW72" s="174"/>
      <c r="BX72" s="174"/>
      <c r="BY72" s="395"/>
      <c r="BZ72" s="395"/>
      <c r="CA72" s="395"/>
      <c r="CB72" s="468"/>
      <c r="CC72" s="395"/>
      <c r="CD72" s="395"/>
      <c r="CE72" s="468"/>
      <c r="CF72" s="395"/>
      <c r="CG72" s="187"/>
      <c r="CH72" s="171"/>
      <c r="CI72" s="186"/>
      <c r="CJ72" s="361"/>
      <c r="CK72" s="174"/>
      <c r="CL72" s="174"/>
      <c r="CM72" s="174"/>
      <c r="CN72" s="174"/>
      <c r="CO72" s="174"/>
      <c r="CP72" s="361"/>
      <c r="CQ72" s="363"/>
      <c r="CR72" s="363"/>
      <c r="CS72" s="175"/>
      <c r="CT72" s="175"/>
    </row>
    <row r="73" spans="1:98" x14ac:dyDescent="0.25">
      <c r="A73" s="206">
        <f t="shared" si="0"/>
        <v>-26</v>
      </c>
      <c r="B73" s="216"/>
      <c r="C73" s="186"/>
      <c r="D73" s="174"/>
      <c r="E73" s="174"/>
      <c r="F73" s="174"/>
      <c r="G73" s="174"/>
      <c r="H73" s="174"/>
      <c r="I73" s="174"/>
      <c r="J73" s="174"/>
      <c r="K73" s="363"/>
      <c r="L73" s="175"/>
      <c r="M73" s="175"/>
      <c r="N73" s="362"/>
      <c r="O73" s="362"/>
      <c r="P73" s="362"/>
      <c r="Q73" s="362"/>
      <c r="R73" s="362"/>
      <c r="S73" s="362"/>
      <c r="T73" s="362"/>
      <c r="U73" s="362"/>
      <c r="V73" s="362"/>
      <c r="W73" s="362"/>
      <c r="X73" s="362"/>
      <c r="Y73" s="362"/>
      <c r="Z73" s="362"/>
      <c r="AA73" s="362"/>
      <c r="AB73" s="362"/>
      <c r="AC73" s="362"/>
      <c r="AD73" s="362"/>
      <c r="AE73" s="362"/>
      <c r="AF73" s="362"/>
      <c r="AG73" s="362"/>
      <c r="AH73" s="362"/>
      <c r="AI73" s="464"/>
      <c r="AJ73" s="395"/>
      <c r="AK73" s="396"/>
      <c r="AL73" s="464"/>
      <c r="AM73" s="395"/>
      <c r="AN73" s="396"/>
      <c r="AO73" s="464"/>
      <c r="AP73" s="395"/>
      <c r="AQ73" s="396"/>
      <c r="AR73" s="171"/>
      <c r="AS73" s="186"/>
      <c r="AT73" s="361"/>
      <c r="AU73" s="361"/>
      <c r="AV73" s="361"/>
      <c r="AW73" s="446"/>
      <c r="AX73" s="361"/>
      <c r="AY73" s="446"/>
      <c r="AZ73" s="361"/>
      <c r="BA73" s="411"/>
      <c r="BB73" s="411"/>
      <c r="BC73" s="411"/>
      <c r="BD73" s="186"/>
      <c r="BE73" s="364"/>
      <c r="BF73" s="364"/>
      <c r="BG73" s="361"/>
      <c r="BH73" s="361"/>
      <c r="BI73" s="361"/>
      <c r="BJ73" s="361"/>
      <c r="BK73" s="361"/>
      <c r="BL73" s="361"/>
      <c r="BM73" s="361"/>
      <c r="BN73" s="361"/>
      <c r="BO73" s="361"/>
      <c r="BP73" s="446"/>
      <c r="BQ73" s="446"/>
      <c r="BR73" s="446"/>
      <c r="BS73" s="174"/>
      <c r="BT73" s="174"/>
      <c r="BU73" s="174"/>
      <c r="BV73" s="174"/>
      <c r="BW73" s="174"/>
      <c r="BX73" s="174"/>
      <c r="BY73" s="395"/>
      <c r="BZ73" s="395"/>
      <c r="CA73" s="395"/>
      <c r="CB73" s="468"/>
      <c r="CC73" s="395"/>
      <c r="CD73" s="395"/>
      <c r="CE73" s="468"/>
      <c r="CF73" s="395"/>
      <c r="CG73" s="187"/>
      <c r="CH73" s="171"/>
      <c r="CI73" s="186"/>
      <c r="CJ73" s="361"/>
      <c r="CK73" s="174"/>
      <c r="CL73" s="174"/>
      <c r="CM73" s="174"/>
      <c r="CN73" s="174"/>
      <c r="CO73" s="174"/>
      <c r="CP73" s="361"/>
      <c r="CQ73" s="363"/>
      <c r="CR73" s="363"/>
      <c r="CS73" s="175"/>
      <c r="CT73" s="175"/>
    </row>
    <row r="74" spans="1:98" x14ac:dyDescent="0.25">
      <c r="A74" s="206">
        <f t="shared" si="0"/>
        <v>-27</v>
      </c>
      <c r="B74" s="216"/>
      <c r="C74" s="186"/>
      <c r="D74" s="174"/>
      <c r="E74" s="174"/>
      <c r="F74" s="174"/>
      <c r="G74" s="174"/>
      <c r="H74" s="174"/>
      <c r="I74" s="174"/>
      <c r="J74" s="174"/>
      <c r="K74" s="363"/>
      <c r="L74" s="175"/>
      <c r="M74" s="175"/>
      <c r="N74" s="362"/>
      <c r="O74" s="362"/>
      <c r="P74" s="362"/>
      <c r="Q74" s="362"/>
      <c r="R74" s="362"/>
      <c r="S74" s="362"/>
      <c r="T74" s="362"/>
      <c r="U74" s="362"/>
      <c r="V74" s="362"/>
      <c r="W74" s="362"/>
      <c r="X74" s="362"/>
      <c r="Y74" s="362"/>
      <c r="Z74" s="362"/>
      <c r="AA74" s="362"/>
      <c r="AB74" s="362"/>
      <c r="AC74" s="362"/>
      <c r="AD74" s="362"/>
      <c r="AE74" s="362"/>
      <c r="AF74" s="362"/>
      <c r="AG74" s="362"/>
      <c r="AH74" s="362"/>
      <c r="AI74" s="464"/>
      <c r="AJ74" s="395"/>
      <c r="AK74" s="396"/>
      <c r="AL74" s="464"/>
      <c r="AM74" s="395"/>
      <c r="AN74" s="396"/>
      <c r="AO74" s="464"/>
      <c r="AP74" s="395"/>
      <c r="AQ74" s="396"/>
      <c r="AR74" s="171"/>
      <c r="AS74" s="186"/>
      <c r="AT74" s="361"/>
      <c r="AU74" s="361"/>
      <c r="AV74" s="361"/>
      <c r="AW74" s="446"/>
      <c r="AX74" s="361"/>
      <c r="AY74" s="446"/>
      <c r="AZ74" s="361"/>
      <c r="BA74" s="411"/>
      <c r="BB74" s="411"/>
      <c r="BC74" s="411"/>
      <c r="BD74" s="186"/>
      <c r="BE74" s="364"/>
      <c r="BF74" s="364"/>
      <c r="BG74" s="361"/>
      <c r="BH74" s="361"/>
      <c r="BI74" s="361"/>
      <c r="BJ74" s="361"/>
      <c r="BK74" s="361"/>
      <c r="BL74" s="361"/>
      <c r="BM74" s="361"/>
      <c r="BN74" s="361"/>
      <c r="BO74" s="361"/>
      <c r="BP74" s="446"/>
      <c r="BQ74" s="446"/>
      <c r="BR74" s="446"/>
      <c r="BS74" s="174"/>
      <c r="BT74" s="174"/>
      <c r="BU74" s="174"/>
      <c r="BV74" s="174"/>
      <c r="BW74" s="174"/>
      <c r="BX74" s="174"/>
      <c r="BY74" s="395"/>
      <c r="BZ74" s="395"/>
      <c r="CA74" s="395"/>
      <c r="CB74" s="468"/>
      <c r="CC74" s="395"/>
      <c r="CD74" s="395"/>
      <c r="CE74" s="468"/>
      <c r="CF74" s="395"/>
      <c r="CG74" s="187"/>
      <c r="CH74" s="171"/>
      <c r="CI74" s="186"/>
      <c r="CJ74" s="361"/>
      <c r="CK74" s="174"/>
      <c r="CL74" s="174"/>
      <c r="CM74" s="174"/>
      <c r="CN74" s="174"/>
      <c r="CO74" s="174"/>
      <c r="CP74" s="361"/>
      <c r="CQ74" s="363"/>
      <c r="CR74" s="363"/>
      <c r="CS74" s="175"/>
      <c r="CT74" s="175"/>
    </row>
    <row r="75" spans="1:98" x14ac:dyDescent="0.25">
      <c r="A75" s="206">
        <f t="shared" si="0"/>
        <v>-28</v>
      </c>
      <c r="B75" s="216"/>
      <c r="C75" s="186"/>
      <c r="D75" s="174"/>
      <c r="E75" s="174"/>
      <c r="F75" s="174"/>
      <c r="G75" s="174"/>
      <c r="H75" s="174"/>
      <c r="I75" s="174"/>
      <c r="J75" s="174"/>
      <c r="K75" s="363"/>
      <c r="L75" s="175"/>
      <c r="M75" s="175"/>
      <c r="N75" s="362"/>
      <c r="O75" s="362"/>
      <c r="P75" s="362"/>
      <c r="Q75" s="362"/>
      <c r="R75" s="362"/>
      <c r="S75" s="362"/>
      <c r="T75" s="362"/>
      <c r="U75" s="362"/>
      <c r="V75" s="362"/>
      <c r="W75" s="362"/>
      <c r="X75" s="362"/>
      <c r="Y75" s="362"/>
      <c r="Z75" s="362"/>
      <c r="AA75" s="362"/>
      <c r="AB75" s="362"/>
      <c r="AC75" s="362"/>
      <c r="AD75" s="362"/>
      <c r="AE75" s="362"/>
      <c r="AF75" s="362"/>
      <c r="AG75" s="362"/>
      <c r="AH75" s="362"/>
      <c r="AI75" s="464"/>
      <c r="AJ75" s="395"/>
      <c r="AK75" s="396"/>
      <c r="AL75" s="464"/>
      <c r="AM75" s="395"/>
      <c r="AN75" s="396"/>
      <c r="AO75" s="464"/>
      <c r="AP75" s="395"/>
      <c r="AQ75" s="396"/>
      <c r="AR75" s="171"/>
      <c r="AS75" s="186"/>
      <c r="AT75" s="361"/>
      <c r="AU75" s="361"/>
      <c r="AV75" s="361"/>
      <c r="AW75" s="446"/>
      <c r="AX75" s="361"/>
      <c r="AY75" s="446"/>
      <c r="AZ75" s="361"/>
      <c r="BA75" s="411"/>
      <c r="BB75" s="411"/>
      <c r="BC75" s="411"/>
      <c r="BD75" s="186"/>
      <c r="BE75" s="364"/>
      <c r="BF75" s="364"/>
      <c r="BG75" s="361"/>
      <c r="BH75" s="361"/>
      <c r="BI75" s="361"/>
      <c r="BJ75" s="361"/>
      <c r="BK75" s="361"/>
      <c r="BL75" s="361"/>
      <c r="BM75" s="361"/>
      <c r="BN75" s="361"/>
      <c r="BO75" s="361"/>
      <c r="BP75" s="446"/>
      <c r="BQ75" s="446"/>
      <c r="BR75" s="446"/>
      <c r="BS75" s="174"/>
      <c r="BT75" s="174"/>
      <c r="BU75" s="174"/>
      <c r="BV75" s="174"/>
      <c r="BW75" s="174"/>
      <c r="BX75" s="174"/>
      <c r="BY75" s="395"/>
      <c r="BZ75" s="395"/>
      <c r="CA75" s="395"/>
      <c r="CB75" s="468"/>
      <c r="CC75" s="395"/>
      <c r="CD75" s="395"/>
      <c r="CE75" s="468"/>
      <c r="CF75" s="395"/>
      <c r="CG75" s="187"/>
      <c r="CH75" s="171"/>
      <c r="CI75" s="186"/>
      <c r="CJ75" s="361"/>
      <c r="CK75" s="174"/>
      <c r="CL75" s="174"/>
      <c r="CM75" s="174"/>
      <c r="CN75" s="174"/>
      <c r="CO75" s="174"/>
      <c r="CP75" s="361"/>
      <c r="CQ75" s="363"/>
      <c r="CR75" s="363"/>
      <c r="CS75" s="175"/>
      <c r="CT75" s="175"/>
    </row>
    <row r="76" spans="1:98" x14ac:dyDescent="0.25">
      <c r="A76" s="206">
        <f t="shared" si="0"/>
        <v>-29</v>
      </c>
      <c r="B76" s="216"/>
      <c r="C76" s="186"/>
      <c r="D76" s="174"/>
      <c r="E76" s="174"/>
      <c r="F76" s="174"/>
      <c r="G76" s="174"/>
      <c r="H76" s="174"/>
      <c r="I76" s="174"/>
      <c r="J76" s="174"/>
      <c r="K76" s="363"/>
      <c r="L76" s="175"/>
      <c r="M76" s="175"/>
      <c r="N76" s="362"/>
      <c r="O76" s="362"/>
      <c r="P76" s="362"/>
      <c r="Q76" s="362"/>
      <c r="R76" s="362"/>
      <c r="S76" s="362"/>
      <c r="T76" s="362"/>
      <c r="U76" s="362"/>
      <c r="V76" s="362"/>
      <c r="W76" s="362"/>
      <c r="X76" s="362"/>
      <c r="Y76" s="362"/>
      <c r="Z76" s="362"/>
      <c r="AA76" s="362"/>
      <c r="AB76" s="362"/>
      <c r="AC76" s="362"/>
      <c r="AD76" s="362"/>
      <c r="AE76" s="362"/>
      <c r="AF76" s="362"/>
      <c r="AG76" s="362"/>
      <c r="AH76" s="362"/>
      <c r="AI76" s="464"/>
      <c r="AJ76" s="395"/>
      <c r="AK76" s="396"/>
      <c r="AL76" s="464"/>
      <c r="AM76" s="395"/>
      <c r="AN76" s="396"/>
      <c r="AO76" s="464"/>
      <c r="AP76" s="395"/>
      <c r="AQ76" s="396"/>
      <c r="AR76" s="171"/>
      <c r="AS76" s="186"/>
      <c r="AT76" s="361"/>
      <c r="AU76" s="361"/>
      <c r="AV76" s="361"/>
      <c r="AW76" s="446"/>
      <c r="AX76" s="361"/>
      <c r="AY76" s="446"/>
      <c r="AZ76" s="361"/>
      <c r="BA76" s="411"/>
      <c r="BB76" s="411"/>
      <c r="BC76" s="411"/>
      <c r="BD76" s="186"/>
      <c r="BE76" s="364"/>
      <c r="BF76" s="364"/>
      <c r="BG76" s="361"/>
      <c r="BH76" s="361"/>
      <c r="BI76" s="361"/>
      <c r="BJ76" s="361"/>
      <c r="BK76" s="361"/>
      <c r="BL76" s="361"/>
      <c r="BM76" s="361"/>
      <c r="BN76" s="361"/>
      <c r="BO76" s="361"/>
      <c r="BP76" s="446"/>
      <c r="BQ76" s="446"/>
      <c r="BR76" s="446"/>
      <c r="BS76" s="174"/>
      <c r="BT76" s="174"/>
      <c r="BU76" s="174"/>
      <c r="BV76" s="174"/>
      <c r="BW76" s="174"/>
      <c r="BX76" s="174"/>
      <c r="BY76" s="395"/>
      <c r="BZ76" s="395"/>
      <c r="CA76" s="395"/>
      <c r="CB76" s="468"/>
      <c r="CC76" s="395"/>
      <c r="CD76" s="395"/>
      <c r="CE76" s="468"/>
      <c r="CF76" s="395"/>
      <c r="CG76" s="187"/>
      <c r="CH76" s="171"/>
      <c r="CI76" s="186"/>
      <c r="CJ76" s="361"/>
      <c r="CK76" s="174"/>
      <c r="CL76" s="174"/>
      <c r="CM76" s="174"/>
      <c r="CN76" s="174"/>
      <c r="CO76" s="174"/>
      <c r="CP76" s="361"/>
      <c r="CQ76" s="363"/>
      <c r="CR76" s="363"/>
      <c r="CS76" s="175"/>
      <c r="CT76" s="175"/>
    </row>
    <row r="77" spans="1:98" x14ac:dyDescent="0.25">
      <c r="A77" s="206">
        <f t="shared" si="0"/>
        <v>-30</v>
      </c>
      <c r="B77" s="216"/>
      <c r="C77" s="186"/>
      <c r="D77" s="174"/>
      <c r="E77" s="174"/>
      <c r="F77" s="174"/>
      <c r="G77" s="174"/>
      <c r="H77" s="174"/>
      <c r="I77" s="174"/>
      <c r="J77" s="174"/>
      <c r="K77" s="363"/>
      <c r="L77" s="175"/>
      <c r="M77" s="175"/>
      <c r="N77" s="362"/>
      <c r="O77" s="362"/>
      <c r="P77" s="362"/>
      <c r="Q77" s="362"/>
      <c r="R77" s="362"/>
      <c r="S77" s="362"/>
      <c r="T77" s="362"/>
      <c r="U77" s="362"/>
      <c r="V77" s="362"/>
      <c r="W77" s="362"/>
      <c r="X77" s="362"/>
      <c r="Y77" s="362"/>
      <c r="Z77" s="362"/>
      <c r="AA77" s="362"/>
      <c r="AB77" s="362"/>
      <c r="AC77" s="362"/>
      <c r="AD77" s="362"/>
      <c r="AE77" s="362"/>
      <c r="AF77" s="362"/>
      <c r="AG77" s="362"/>
      <c r="AH77" s="362"/>
      <c r="AI77" s="464"/>
      <c r="AJ77" s="395"/>
      <c r="AK77" s="396"/>
      <c r="AL77" s="464"/>
      <c r="AM77" s="395"/>
      <c r="AN77" s="396"/>
      <c r="AO77" s="464"/>
      <c r="AP77" s="395"/>
      <c r="AQ77" s="396"/>
      <c r="AR77" s="171"/>
      <c r="AS77" s="186"/>
      <c r="AT77" s="361"/>
      <c r="AU77" s="361"/>
      <c r="AV77" s="361"/>
      <c r="AW77" s="446"/>
      <c r="AX77" s="361"/>
      <c r="AY77" s="446"/>
      <c r="AZ77" s="361"/>
      <c r="BA77" s="411"/>
      <c r="BB77" s="411"/>
      <c r="BC77" s="411"/>
      <c r="BD77" s="186"/>
      <c r="BE77" s="364"/>
      <c r="BF77" s="364"/>
      <c r="BG77" s="361"/>
      <c r="BH77" s="361"/>
      <c r="BI77" s="361"/>
      <c r="BJ77" s="361"/>
      <c r="BK77" s="361"/>
      <c r="BL77" s="361"/>
      <c r="BM77" s="361"/>
      <c r="BN77" s="361"/>
      <c r="BO77" s="361"/>
      <c r="BP77" s="446"/>
      <c r="BQ77" s="446"/>
      <c r="BR77" s="446"/>
      <c r="BS77" s="174"/>
      <c r="BT77" s="174"/>
      <c r="BU77" s="174"/>
      <c r="BV77" s="174"/>
      <c r="BW77" s="174"/>
      <c r="BX77" s="174"/>
      <c r="BY77" s="395"/>
      <c r="BZ77" s="395"/>
      <c r="CA77" s="395"/>
      <c r="CB77" s="468"/>
      <c r="CC77" s="395"/>
      <c r="CD77" s="395"/>
      <c r="CE77" s="468"/>
      <c r="CF77" s="395"/>
      <c r="CG77" s="187"/>
      <c r="CH77" s="171"/>
      <c r="CI77" s="186"/>
      <c r="CJ77" s="361"/>
      <c r="CK77" s="174"/>
      <c r="CL77" s="174"/>
      <c r="CM77" s="174"/>
      <c r="CN77" s="174"/>
      <c r="CO77" s="174"/>
      <c r="CP77" s="361"/>
      <c r="CQ77" s="363"/>
      <c r="CR77" s="363"/>
      <c r="CS77" s="175"/>
      <c r="CT77" s="175"/>
    </row>
    <row r="78" spans="1:98" x14ac:dyDescent="0.25">
      <c r="A78" s="206">
        <f t="shared" si="0"/>
        <v>-31</v>
      </c>
      <c r="B78" s="216"/>
      <c r="C78" s="186"/>
      <c r="D78" s="174"/>
      <c r="E78" s="174"/>
      <c r="F78" s="174"/>
      <c r="G78" s="174"/>
      <c r="H78" s="174"/>
      <c r="I78" s="174"/>
      <c r="J78" s="174"/>
      <c r="K78" s="363"/>
      <c r="L78" s="175"/>
      <c r="M78" s="175"/>
      <c r="N78" s="362"/>
      <c r="O78" s="362"/>
      <c r="P78" s="362"/>
      <c r="Q78" s="362"/>
      <c r="R78" s="362"/>
      <c r="S78" s="362"/>
      <c r="T78" s="362"/>
      <c r="U78" s="362"/>
      <c r="V78" s="362"/>
      <c r="W78" s="362"/>
      <c r="X78" s="362"/>
      <c r="Y78" s="362"/>
      <c r="Z78" s="362"/>
      <c r="AA78" s="362"/>
      <c r="AB78" s="362"/>
      <c r="AC78" s="362"/>
      <c r="AD78" s="362"/>
      <c r="AE78" s="362"/>
      <c r="AF78" s="362"/>
      <c r="AG78" s="362"/>
      <c r="AH78" s="362"/>
      <c r="AI78" s="464"/>
      <c r="AJ78" s="395"/>
      <c r="AK78" s="396"/>
      <c r="AL78" s="464"/>
      <c r="AM78" s="395"/>
      <c r="AN78" s="396"/>
      <c r="AO78" s="464"/>
      <c r="AP78" s="395"/>
      <c r="AQ78" s="396"/>
      <c r="AR78" s="171"/>
      <c r="AS78" s="186"/>
      <c r="AT78" s="361"/>
      <c r="AU78" s="361"/>
      <c r="AV78" s="361"/>
      <c r="AW78" s="446"/>
      <c r="AX78" s="361"/>
      <c r="AY78" s="446"/>
      <c r="AZ78" s="361"/>
      <c r="BA78" s="411"/>
      <c r="BB78" s="411"/>
      <c r="BC78" s="411"/>
      <c r="BD78" s="186"/>
      <c r="BE78" s="364"/>
      <c r="BF78" s="364"/>
      <c r="BG78" s="361"/>
      <c r="BH78" s="361"/>
      <c r="BI78" s="361"/>
      <c r="BJ78" s="361"/>
      <c r="BK78" s="361"/>
      <c r="BL78" s="361"/>
      <c r="BM78" s="361"/>
      <c r="BN78" s="361"/>
      <c r="BO78" s="361"/>
      <c r="BP78" s="446"/>
      <c r="BQ78" s="446"/>
      <c r="BR78" s="446"/>
      <c r="BS78" s="174"/>
      <c r="BT78" s="174"/>
      <c r="BU78" s="174"/>
      <c r="BV78" s="174"/>
      <c r="BW78" s="174"/>
      <c r="BX78" s="174"/>
      <c r="BY78" s="395"/>
      <c r="BZ78" s="395"/>
      <c r="CA78" s="395"/>
      <c r="CB78" s="468"/>
      <c r="CC78" s="395"/>
      <c r="CD78" s="395"/>
      <c r="CE78" s="468"/>
      <c r="CF78" s="395"/>
      <c r="CG78" s="187"/>
      <c r="CH78" s="171"/>
      <c r="CI78" s="186"/>
      <c r="CJ78" s="361"/>
      <c r="CK78" s="174"/>
      <c r="CL78" s="174"/>
      <c r="CM78" s="174"/>
      <c r="CN78" s="174"/>
      <c r="CO78" s="174"/>
      <c r="CP78" s="361"/>
      <c r="CQ78" s="363"/>
      <c r="CR78" s="363"/>
      <c r="CS78" s="175"/>
      <c r="CT78" s="175"/>
    </row>
    <row r="79" spans="1:98" x14ac:dyDescent="0.25">
      <c r="A79" s="206">
        <f t="shared" si="0"/>
        <v>-32</v>
      </c>
      <c r="B79" s="216"/>
      <c r="C79" s="186"/>
      <c r="D79" s="174"/>
      <c r="E79" s="174"/>
      <c r="F79" s="174"/>
      <c r="G79" s="174"/>
      <c r="H79" s="174"/>
      <c r="I79" s="174"/>
      <c r="J79" s="174"/>
      <c r="K79" s="363"/>
      <c r="L79" s="175"/>
      <c r="M79" s="175"/>
      <c r="N79" s="362"/>
      <c r="O79" s="362"/>
      <c r="P79" s="362"/>
      <c r="Q79" s="362"/>
      <c r="R79" s="362"/>
      <c r="S79" s="362"/>
      <c r="T79" s="362"/>
      <c r="U79" s="362"/>
      <c r="V79" s="362"/>
      <c r="W79" s="362"/>
      <c r="X79" s="362"/>
      <c r="Y79" s="362"/>
      <c r="Z79" s="362"/>
      <c r="AA79" s="362"/>
      <c r="AB79" s="362"/>
      <c r="AC79" s="362"/>
      <c r="AD79" s="362"/>
      <c r="AE79" s="362"/>
      <c r="AF79" s="362"/>
      <c r="AG79" s="362"/>
      <c r="AH79" s="362"/>
      <c r="AI79" s="464"/>
      <c r="AJ79" s="395"/>
      <c r="AK79" s="396"/>
      <c r="AL79" s="464"/>
      <c r="AM79" s="395"/>
      <c r="AN79" s="396"/>
      <c r="AO79" s="464"/>
      <c r="AP79" s="395"/>
      <c r="AQ79" s="396"/>
      <c r="AR79" s="171"/>
      <c r="AS79" s="186"/>
      <c r="AT79" s="361"/>
      <c r="AU79" s="361"/>
      <c r="AV79" s="361"/>
      <c r="AW79" s="446"/>
      <c r="AX79" s="361"/>
      <c r="AY79" s="446"/>
      <c r="AZ79" s="361"/>
      <c r="BA79" s="411"/>
      <c r="BB79" s="411"/>
      <c r="BC79" s="411"/>
      <c r="BD79" s="186"/>
      <c r="BE79" s="364"/>
      <c r="BF79" s="364"/>
      <c r="BG79" s="361"/>
      <c r="BH79" s="361"/>
      <c r="BI79" s="361"/>
      <c r="BJ79" s="361"/>
      <c r="BK79" s="361"/>
      <c r="BL79" s="361"/>
      <c r="BM79" s="361"/>
      <c r="BN79" s="361"/>
      <c r="BO79" s="361"/>
      <c r="BP79" s="446"/>
      <c r="BQ79" s="446"/>
      <c r="BR79" s="446"/>
      <c r="BS79" s="174"/>
      <c r="BT79" s="174"/>
      <c r="BU79" s="174"/>
      <c r="BV79" s="174"/>
      <c r="BW79" s="174"/>
      <c r="BX79" s="174"/>
      <c r="BY79" s="395"/>
      <c r="BZ79" s="395"/>
      <c r="CA79" s="395"/>
      <c r="CB79" s="468"/>
      <c r="CC79" s="395"/>
      <c r="CD79" s="395"/>
      <c r="CE79" s="468"/>
      <c r="CF79" s="395"/>
      <c r="CG79" s="187"/>
      <c r="CH79" s="171"/>
      <c r="CI79" s="186"/>
      <c r="CJ79" s="361"/>
      <c r="CK79" s="174"/>
      <c r="CL79" s="174"/>
      <c r="CM79" s="174"/>
      <c r="CN79" s="174"/>
      <c r="CO79" s="174"/>
      <c r="CP79" s="361"/>
      <c r="CQ79" s="363"/>
      <c r="CR79" s="363"/>
      <c r="CS79" s="175"/>
      <c r="CT79" s="175"/>
    </row>
    <row r="80" spans="1:98" x14ac:dyDescent="0.25">
      <c r="A80" s="206">
        <f t="shared" si="0"/>
        <v>-33</v>
      </c>
      <c r="B80" s="216"/>
      <c r="C80" s="186"/>
      <c r="D80" s="174"/>
      <c r="E80" s="174"/>
      <c r="F80" s="174"/>
      <c r="G80" s="174"/>
      <c r="H80" s="174"/>
      <c r="I80" s="174"/>
      <c r="J80" s="174"/>
      <c r="K80" s="363"/>
      <c r="L80" s="175"/>
      <c r="M80" s="175"/>
      <c r="N80" s="362"/>
      <c r="O80" s="362"/>
      <c r="P80" s="362"/>
      <c r="Q80" s="362"/>
      <c r="R80" s="362"/>
      <c r="S80" s="362"/>
      <c r="T80" s="362"/>
      <c r="U80" s="362"/>
      <c r="V80" s="362"/>
      <c r="W80" s="362"/>
      <c r="X80" s="362"/>
      <c r="Y80" s="362"/>
      <c r="Z80" s="362"/>
      <c r="AA80" s="362"/>
      <c r="AB80" s="362"/>
      <c r="AC80" s="362"/>
      <c r="AD80" s="362"/>
      <c r="AE80" s="362"/>
      <c r="AF80" s="362"/>
      <c r="AG80" s="362"/>
      <c r="AH80" s="362"/>
      <c r="AI80" s="464"/>
      <c r="AJ80" s="395"/>
      <c r="AK80" s="396"/>
      <c r="AL80" s="464"/>
      <c r="AM80" s="395"/>
      <c r="AN80" s="396"/>
      <c r="AO80" s="464"/>
      <c r="AP80" s="395"/>
      <c r="AQ80" s="396"/>
      <c r="AR80" s="171"/>
      <c r="AS80" s="186"/>
      <c r="AT80" s="361"/>
      <c r="AU80" s="361"/>
      <c r="AV80" s="361"/>
      <c r="AW80" s="446"/>
      <c r="AX80" s="361"/>
      <c r="AY80" s="446"/>
      <c r="AZ80" s="361"/>
      <c r="BA80" s="411"/>
      <c r="BB80" s="411"/>
      <c r="BC80" s="411"/>
      <c r="BD80" s="186"/>
      <c r="BE80" s="364"/>
      <c r="BF80" s="364"/>
      <c r="BG80" s="361"/>
      <c r="BH80" s="361"/>
      <c r="BI80" s="361"/>
      <c r="BJ80" s="361"/>
      <c r="BK80" s="361"/>
      <c r="BL80" s="361"/>
      <c r="BM80" s="361"/>
      <c r="BN80" s="361"/>
      <c r="BO80" s="361"/>
      <c r="BP80" s="446"/>
      <c r="BQ80" s="446"/>
      <c r="BR80" s="446"/>
      <c r="BS80" s="174"/>
      <c r="BT80" s="174"/>
      <c r="BU80" s="174"/>
      <c r="BV80" s="174"/>
      <c r="BW80" s="174"/>
      <c r="BX80" s="174"/>
      <c r="BY80" s="395"/>
      <c r="BZ80" s="395"/>
      <c r="CA80" s="395"/>
      <c r="CB80" s="468"/>
      <c r="CC80" s="395"/>
      <c r="CD80" s="395"/>
      <c r="CE80" s="468"/>
      <c r="CF80" s="395"/>
      <c r="CG80" s="187"/>
      <c r="CH80" s="171"/>
      <c r="CI80" s="186"/>
      <c r="CJ80" s="361"/>
      <c r="CK80" s="174"/>
      <c r="CL80" s="174"/>
      <c r="CM80" s="174"/>
      <c r="CN80" s="174"/>
      <c r="CO80" s="174"/>
      <c r="CP80" s="361"/>
      <c r="CQ80" s="363"/>
      <c r="CR80" s="363"/>
      <c r="CS80" s="175"/>
      <c r="CT80" s="175"/>
    </row>
    <row r="81" spans="1:98" x14ac:dyDescent="0.25">
      <c r="A81" s="206">
        <f t="shared" si="0"/>
        <v>-34</v>
      </c>
      <c r="B81" s="216"/>
      <c r="C81" s="186"/>
      <c r="D81" s="174"/>
      <c r="E81" s="174"/>
      <c r="F81" s="174"/>
      <c r="G81" s="174"/>
      <c r="H81" s="174"/>
      <c r="I81" s="174"/>
      <c r="J81" s="174"/>
      <c r="K81" s="363"/>
      <c r="L81" s="175"/>
      <c r="M81" s="175"/>
      <c r="N81" s="362"/>
      <c r="O81" s="362"/>
      <c r="P81" s="362"/>
      <c r="Q81" s="362"/>
      <c r="R81" s="362"/>
      <c r="S81" s="362"/>
      <c r="T81" s="362"/>
      <c r="U81" s="362"/>
      <c r="V81" s="362"/>
      <c r="W81" s="362"/>
      <c r="X81" s="362"/>
      <c r="Y81" s="362"/>
      <c r="Z81" s="362"/>
      <c r="AA81" s="362"/>
      <c r="AB81" s="362"/>
      <c r="AC81" s="362"/>
      <c r="AD81" s="362"/>
      <c r="AE81" s="362"/>
      <c r="AF81" s="362"/>
      <c r="AG81" s="362"/>
      <c r="AH81" s="362"/>
      <c r="AI81" s="464"/>
      <c r="AJ81" s="395"/>
      <c r="AK81" s="396"/>
      <c r="AL81" s="464"/>
      <c r="AM81" s="395"/>
      <c r="AN81" s="396"/>
      <c r="AO81" s="464"/>
      <c r="AP81" s="395"/>
      <c r="AQ81" s="396"/>
      <c r="AR81" s="171"/>
      <c r="AS81" s="186"/>
      <c r="AT81" s="361"/>
      <c r="AU81" s="361"/>
      <c r="AV81" s="361"/>
      <c r="AW81" s="446"/>
      <c r="AX81" s="361"/>
      <c r="AY81" s="446"/>
      <c r="AZ81" s="361"/>
      <c r="BA81" s="411"/>
      <c r="BB81" s="411"/>
      <c r="BC81" s="411"/>
      <c r="BD81" s="186"/>
      <c r="BE81" s="364"/>
      <c r="BF81" s="364"/>
      <c r="BG81" s="361"/>
      <c r="BH81" s="361"/>
      <c r="BI81" s="361"/>
      <c r="BJ81" s="361"/>
      <c r="BK81" s="361"/>
      <c r="BL81" s="361"/>
      <c r="BM81" s="361"/>
      <c r="BN81" s="361"/>
      <c r="BO81" s="361"/>
      <c r="BP81" s="446"/>
      <c r="BQ81" s="446"/>
      <c r="BR81" s="446"/>
      <c r="BS81" s="174"/>
      <c r="BT81" s="174"/>
      <c r="BU81" s="174"/>
      <c r="BV81" s="174"/>
      <c r="BW81" s="174"/>
      <c r="BX81" s="174"/>
      <c r="BY81" s="395"/>
      <c r="BZ81" s="395"/>
      <c r="CA81" s="395"/>
      <c r="CB81" s="468"/>
      <c r="CC81" s="395"/>
      <c r="CD81" s="395"/>
      <c r="CE81" s="468"/>
      <c r="CF81" s="395"/>
      <c r="CG81" s="187"/>
      <c r="CH81" s="171"/>
      <c r="CI81" s="186"/>
      <c r="CJ81" s="361"/>
      <c r="CK81" s="174"/>
      <c r="CL81" s="174"/>
      <c r="CM81" s="174"/>
      <c r="CN81" s="174"/>
      <c r="CO81" s="174"/>
      <c r="CP81" s="361"/>
      <c r="CQ81" s="363"/>
      <c r="CR81" s="363"/>
      <c r="CS81" s="175"/>
      <c r="CT81" s="175"/>
    </row>
    <row r="82" spans="1:98" x14ac:dyDescent="0.25">
      <c r="A82" s="206">
        <f t="shared" si="0"/>
        <v>-35</v>
      </c>
      <c r="B82" s="216"/>
      <c r="C82" s="186"/>
      <c r="D82" s="174"/>
      <c r="E82" s="174"/>
      <c r="F82" s="174"/>
      <c r="G82" s="174"/>
      <c r="H82" s="174"/>
      <c r="I82" s="174"/>
      <c r="J82" s="174"/>
      <c r="K82" s="363"/>
      <c r="L82" s="175"/>
      <c r="M82" s="175"/>
      <c r="N82" s="362"/>
      <c r="O82" s="362"/>
      <c r="P82" s="362"/>
      <c r="Q82" s="362"/>
      <c r="R82" s="362"/>
      <c r="S82" s="362"/>
      <c r="T82" s="362"/>
      <c r="U82" s="362"/>
      <c r="V82" s="362"/>
      <c r="W82" s="362"/>
      <c r="X82" s="362"/>
      <c r="Y82" s="362"/>
      <c r="Z82" s="362"/>
      <c r="AA82" s="362"/>
      <c r="AB82" s="362"/>
      <c r="AC82" s="362"/>
      <c r="AD82" s="362"/>
      <c r="AE82" s="362"/>
      <c r="AF82" s="362"/>
      <c r="AG82" s="362"/>
      <c r="AH82" s="362"/>
      <c r="AI82" s="464"/>
      <c r="AJ82" s="395"/>
      <c r="AK82" s="396"/>
      <c r="AL82" s="464"/>
      <c r="AM82" s="395"/>
      <c r="AN82" s="396"/>
      <c r="AO82" s="464"/>
      <c r="AP82" s="395"/>
      <c r="AQ82" s="396"/>
      <c r="AR82" s="171"/>
      <c r="AS82" s="186"/>
      <c r="AT82" s="361"/>
      <c r="AU82" s="361"/>
      <c r="AV82" s="361"/>
      <c r="AW82" s="446"/>
      <c r="AX82" s="361"/>
      <c r="AY82" s="446"/>
      <c r="AZ82" s="361"/>
      <c r="BA82" s="411"/>
      <c r="BB82" s="411"/>
      <c r="BC82" s="411"/>
      <c r="BD82" s="186"/>
      <c r="BE82" s="364"/>
      <c r="BF82" s="364"/>
      <c r="BG82" s="361"/>
      <c r="BH82" s="361"/>
      <c r="BI82" s="361"/>
      <c r="BJ82" s="361"/>
      <c r="BK82" s="361"/>
      <c r="BL82" s="361"/>
      <c r="BM82" s="361"/>
      <c r="BN82" s="361"/>
      <c r="BO82" s="361"/>
      <c r="BP82" s="446"/>
      <c r="BQ82" s="446"/>
      <c r="BR82" s="446"/>
      <c r="BS82" s="174"/>
      <c r="BT82" s="174"/>
      <c r="BU82" s="174"/>
      <c r="BV82" s="174"/>
      <c r="BW82" s="174"/>
      <c r="BX82" s="174"/>
      <c r="BY82" s="395"/>
      <c r="BZ82" s="395"/>
      <c r="CA82" s="395"/>
      <c r="CB82" s="468"/>
      <c r="CC82" s="395"/>
      <c r="CD82" s="395"/>
      <c r="CE82" s="468"/>
      <c r="CF82" s="395"/>
      <c r="CG82" s="187"/>
      <c r="CH82" s="171"/>
      <c r="CI82" s="186"/>
      <c r="CJ82" s="361"/>
      <c r="CK82" s="174"/>
      <c r="CL82" s="174"/>
      <c r="CM82" s="174"/>
      <c r="CN82" s="174"/>
      <c r="CO82" s="174"/>
      <c r="CP82" s="361"/>
      <c r="CQ82" s="363"/>
      <c r="CR82" s="363"/>
      <c r="CS82" s="175"/>
      <c r="CT82" s="175"/>
    </row>
    <row r="83" spans="1:98" x14ac:dyDescent="0.25">
      <c r="A83" s="206">
        <f t="shared" si="0"/>
        <v>-36</v>
      </c>
      <c r="B83" s="216"/>
      <c r="C83" s="186"/>
      <c r="D83" s="174"/>
      <c r="E83" s="174"/>
      <c r="F83" s="174"/>
      <c r="G83" s="174"/>
      <c r="H83" s="174"/>
      <c r="I83" s="174"/>
      <c r="J83" s="174"/>
      <c r="K83" s="363"/>
      <c r="L83" s="175"/>
      <c r="M83" s="175"/>
      <c r="N83" s="362"/>
      <c r="O83" s="362"/>
      <c r="P83" s="362"/>
      <c r="Q83" s="362"/>
      <c r="R83" s="362"/>
      <c r="S83" s="362"/>
      <c r="T83" s="362"/>
      <c r="U83" s="362"/>
      <c r="V83" s="362"/>
      <c r="W83" s="362"/>
      <c r="X83" s="362"/>
      <c r="Y83" s="362"/>
      <c r="Z83" s="362"/>
      <c r="AA83" s="362"/>
      <c r="AB83" s="362"/>
      <c r="AC83" s="362"/>
      <c r="AD83" s="362"/>
      <c r="AE83" s="362"/>
      <c r="AF83" s="362"/>
      <c r="AG83" s="362"/>
      <c r="AH83" s="362"/>
      <c r="AI83" s="464"/>
      <c r="AJ83" s="395"/>
      <c r="AK83" s="396"/>
      <c r="AL83" s="464"/>
      <c r="AM83" s="395"/>
      <c r="AN83" s="396"/>
      <c r="AO83" s="464"/>
      <c r="AP83" s="395"/>
      <c r="AQ83" s="396"/>
      <c r="AR83" s="171"/>
      <c r="AS83" s="186"/>
      <c r="AT83" s="361"/>
      <c r="AU83" s="361"/>
      <c r="AV83" s="361"/>
      <c r="AW83" s="446"/>
      <c r="AX83" s="361"/>
      <c r="AY83" s="446"/>
      <c r="AZ83" s="361"/>
      <c r="BA83" s="411"/>
      <c r="BB83" s="411"/>
      <c r="BC83" s="411"/>
      <c r="BD83" s="186"/>
      <c r="BE83" s="364"/>
      <c r="BF83" s="364"/>
      <c r="BG83" s="361"/>
      <c r="BH83" s="361"/>
      <c r="BI83" s="361"/>
      <c r="BJ83" s="361"/>
      <c r="BK83" s="361"/>
      <c r="BL83" s="361"/>
      <c r="BM83" s="361"/>
      <c r="BN83" s="361"/>
      <c r="BO83" s="361"/>
      <c r="BP83" s="446"/>
      <c r="BQ83" s="446"/>
      <c r="BR83" s="446"/>
      <c r="BS83" s="174"/>
      <c r="BT83" s="174"/>
      <c r="BU83" s="174"/>
      <c r="BV83" s="174"/>
      <c r="BW83" s="174"/>
      <c r="BX83" s="174"/>
      <c r="BY83" s="395"/>
      <c r="BZ83" s="395"/>
      <c r="CA83" s="395"/>
      <c r="CB83" s="468"/>
      <c r="CC83" s="395"/>
      <c r="CD83" s="395"/>
      <c r="CE83" s="468"/>
      <c r="CF83" s="395"/>
      <c r="CG83" s="187"/>
      <c r="CH83" s="171"/>
      <c r="CI83" s="186"/>
      <c r="CJ83" s="361"/>
      <c r="CK83" s="174"/>
      <c r="CL83" s="174"/>
      <c r="CM83" s="174"/>
      <c r="CN83" s="174"/>
      <c r="CO83" s="174"/>
      <c r="CP83" s="361"/>
      <c r="CQ83" s="363"/>
      <c r="CR83" s="363"/>
      <c r="CS83" s="175"/>
      <c r="CT83" s="175"/>
    </row>
    <row r="84" spans="1:98" x14ac:dyDescent="0.25">
      <c r="A84" s="206">
        <f t="shared" si="0"/>
        <v>-37</v>
      </c>
      <c r="B84" s="216"/>
      <c r="C84" s="186"/>
      <c r="D84" s="174"/>
      <c r="E84" s="174"/>
      <c r="F84" s="174"/>
      <c r="G84" s="174"/>
      <c r="H84" s="174"/>
      <c r="I84" s="174"/>
      <c r="J84" s="174"/>
      <c r="K84" s="363"/>
      <c r="L84" s="175"/>
      <c r="M84" s="175"/>
      <c r="N84" s="362"/>
      <c r="O84" s="362"/>
      <c r="P84" s="362"/>
      <c r="Q84" s="362"/>
      <c r="R84" s="362"/>
      <c r="S84" s="362"/>
      <c r="T84" s="362"/>
      <c r="U84" s="362"/>
      <c r="V84" s="362"/>
      <c r="W84" s="362"/>
      <c r="X84" s="362"/>
      <c r="Y84" s="362"/>
      <c r="Z84" s="362"/>
      <c r="AA84" s="362"/>
      <c r="AB84" s="362"/>
      <c r="AC84" s="362"/>
      <c r="AD84" s="362"/>
      <c r="AE84" s="362"/>
      <c r="AF84" s="362"/>
      <c r="AG84" s="362"/>
      <c r="AH84" s="362"/>
      <c r="AI84" s="464"/>
      <c r="AJ84" s="395"/>
      <c r="AK84" s="396"/>
      <c r="AL84" s="464"/>
      <c r="AM84" s="395"/>
      <c r="AN84" s="396"/>
      <c r="AO84" s="464"/>
      <c r="AP84" s="395"/>
      <c r="AQ84" s="396"/>
      <c r="AR84" s="171"/>
      <c r="AS84" s="186"/>
      <c r="AT84" s="361"/>
      <c r="AU84" s="361"/>
      <c r="AV84" s="361"/>
      <c r="AW84" s="446"/>
      <c r="AX84" s="361"/>
      <c r="AY84" s="446"/>
      <c r="AZ84" s="361"/>
      <c r="BA84" s="411"/>
      <c r="BB84" s="411"/>
      <c r="BC84" s="411"/>
      <c r="BD84" s="186"/>
      <c r="BE84" s="364"/>
      <c r="BF84" s="364"/>
      <c r="BG84" s="361"/>
      <c r="BH84" s="361"/>
      <c r="BI84" s="361"/>
      <c r="BJ84" s="361"/>
      <c r="BK84" s="361"/>
      <c r="BL84" s="361"/>
      <c r="BM84" s="361"/>
      <c r="BN84" s="361"/>
      <c r="BO84" s="361"/>
      <c r="BP84" s="446"/>
      <c r="BQ84" s="446"/>
      <c r="BR84" s="446"/>
      <c r="BS84" s="174"/>
      <c r="BT84" s="174"/>
      <c r="BU84" s="174"/>
      <c r="BV84" s="174"/>
      <c r="BW84" s="174"/>
      <c r="BX84" s="174"/>
      <c r="BY84" s="395"/>
      <c r="BZ84" s="395"/>
      <c r="CA84" s="395"/>
      <c r="CB84" s="468"/>
      <c r="CC84" s="395"/>
      <c r="CD84" s="395"/>
      <c r="CE84" s="468"/>
      <c r="CF84" s="395"/>
      <c r="CG84" s="187"/>
      <c r="CH84" s="171"/>
      <c r="CI84" s="186"/>
      <c r="CJ84" s="361"/>
      <c r="CK84" s="174"/>
      <c r="CL84" s="174"/>
      <c r="CM84" s="174"/>
      <c r="CN84" s="174"/>
      <c r="CO84" s="174"/>
      <c r="CP84" s="361"/>
      <c r="CQ84" s="363"/>
      <c r="CR84" s="363"/>
      <c r="CS84" s="175"/>
      <c r="CT84" s="175"/>
    </row>
    <row r="85" spans="1:98" x14ac:dyDescent="0.25">
      <c r="A85" s="206">
        <f t="shared" si="0"/>
        <v>-38</v>
      </c>
      <c r="B85" s="216"/>
      <c r="C85" s="186"/>
      <c r="D85" s="174"/>
      <c r="E85" s="174"/>
      <c r="F85" s="174"/>
      <c r="G85" s="174"/>
      <c r="H85" s="174"/>
      <c r="I85" s="174"/>
      <c r="J85" s="174"/>
      <c r="K85" s="363"/>
      <c r="L85" s="175"/>
      <c r="M85" s="175"/>
      <c r="N85" s="362"/>
      <c r="O85" s="362"/>
      <c r="P85" s="362"/>
      <c r="Q85" s="362"/>
      <c r="R85" s="362"/>
      <c r="S85" s="362"/>
      <c r="T85" s="362"/>
      <c r="U85" s="362"/>
      <c r="V85" s="362"/>
      <c r="W85" s="362"/>
      <c r="X85" s="362"/>
      <c r="Y85" s="362"/>
      <c r="Z85" s="362"/>
      <c r="AA85" s="362"/>
      <c r="AB85" s="362"/>
      <c r="AC85" s="362"/>
      <c r="AD85" s="362"/>
      <c r="AE85" s="362"/>
      <c r="AF85" s="362"/>
      <c r="AG85" s="362"/>
      <c r="AH85" s="362"/>
      <c r="AI85" s="464"/>
      <c r="AJ85" s="395"/>
      <c r="AK85" s="396"/>
      <c r="AL85" s="464"/>
      <c r="AM85" s="395"/>
      <c r="AN85" s="396"/>
      <c r="AO85" s="464"/>
      <c r="AP85" s="395"/>
      <c r="AQ85" s="396"/>
      <c r="AR85" s="171"/>
      <c r="AS85" s="186"/>
      <c r="AT85" s="361"/>
      <c r="AU85" s="361"/>
      <c r="AV85" s="361"/>
      <c r="AW85" s="446"/>
      <c r="AX85" s="361"/>
      <c r="AY85" s="446"/>
      <c r="AZ85" s="361"/>
      <c r="BA85" s="411"/>
      <c r="BB85" s="411"/>
      <c r="BC85" s="411"/>
      <c r="BD85" s="186"/>
      <c r="BE85" s="364"/>
      <c r="BF85" s="364"/>
      <c r="BG85" s="361"/>
      <c r="BH85" s="361"/>
      <c r="BI85" s="361"/>
      <c r="BJ85" s="361"/>
      <c r="BK85" s="361"/>
      <c r="BL85" s="361"/>
      <c r="BM85" s="361"/>
      <c r="BN85" s="361"/>
      <c r="BO85" s="361"/>
      <c r="BP85" s="446"/>
      <c r="BQ85" s="446"/>
      <c r="BR85" s="446"/>
      <c r="BS85" s="174"/>
      <c r="BT85" s="174"/>
      <c r="BU85" s="174"/>
      <c r="BV85" s="174"/>
      <c r="BW85" s="174"/>
      <c r="BX85" s="174"/>
      <c r="BY85" s="395"/>
      <c r="BZ85" s="395"/>
      <c r="CA85" s="395"/>
      <c r="CB85" s="468"/>
      <c r="CC85" s="395"/>
      <c r="CD85" s="395"/>
      <c r="CE85" s="468"/>
      <c r="CF85" s="395"/>
      <c r="CG85" s="187"/>
      <c r="CH85" s="171"/>
      <c r="CI85" s="186"/>
      <c r="CJ85" s="361"/>
      <c r="CK85" s="174"/>
      <c r="CL85" s="174"/>
      <c r="CM85" s="174"/>
      <c r="CN85" s="174"/>
      <c r="CO85" s="174"/>
      <c r="CP85" s="361"/>
      <c r="CQ85" s="363"/>
      <c r="CR85" s="363"/>
      <c r="CS85" s="175"/>
      <c r="CT85" s="175"/>
    </row>
    <row r="86" spans="1:98" x14ac:dyDescent="0.25">
      <c r="A86" s="206">
        <f t="shared" si="0"/>
        <v>-39</v>
      </c>
      <c r="B86" s="216"/>
      <c r="C86" s="365"/>
      <c r="D86" s="176"/>
      <c r="E86" s="176"/>
      <c r="F86" s="176"/>
      <c r="G86" s="176"/>
      <c r="H86" s="176"/>
      <c r="I86" s="176"/>
      <c r="J86" s="176"/>
      <c r="K86" s="363"/>
      <c r="L86" s="175"/>
      <c r="M86" s="175"/>
      <c r="N86" s="367"/>
      <c r="O86" s="367"/>
      <c r="P86" s="367"/>
      <c r="Q86" s="367"/>
      <c r="R86" s="367"/>
      <c r="S86" s="367"/>
      <c r="T86" s="367"/>
      <c r="U86" s="367"/>
      <c r="V86" s="367"/>
      <c r="W86" s="367"/>
      <c r="X86" s="367"/>
      <c r="Y86" s="367"/>
      <c r="Z86" s="367"/>
      <c r="AA86" s="367"/>
      <c r="AB86" s="367"/>
      <c r="AC86" s="367"/>
      <c r="AD86" s="367"/>
      <c r="AE86" s="367"/>
      <c r="AF86" s="367"/>
      <c r="AG86" s="367"/>
      <c r="AH86" s="367"/>
      <c r="AI86" s="464"/>
      <c r="AJ86" s="395"/>
      <c r="AK86" s="396"/>
      <c r="AL86" s="464"/>
      <c r="AM86" s="395"/>
      <c r="AN86" s="396"/>
      <c r="AO86" s="464"/>
      <c r="AP86" s="395"/>
      <c r="AQ86" s="396"/>
      <c r="AR86" s="171"/>
      <c r="AS86" s="409"/>
      <c r="AT86" s="404"/>
      <c r="AU86" s="404"/>
      <c r="AV86" s="404"/>
      <c r="AW86" s="447"/>
      <c r="AX86" s="404"/>
      <c r="AY86" s="447"/>
      <c r="AZ86" s="404"/>
      <c r="BA86" s="412"/>
      <c r="BB86" s="412"/>
      <c r="BC86" s="412"/>
      <c r="BD86" s="409"/>
      <c r="BE86" s="413"/>
      <c r="BF86" s="413"/>
      <c r="BG86" s="404"/>
      <c r="BH86" s="404"/>
      <c r="BI86" s="404"/>
      <c r="BJ86" s="404"/>
      <c r="BK86" s="404"/>
      <c r="BL86" s="404"/>
      <c r="BM86" s="404"/>
      <c r="BN86" s="404"/>
      <c r="BO86" s="404"/>
      <c r="BP86" s="447"/>
      <c r="BQ86" s="447"/>
      <c r="BR86" s="447"/>
      <c r="BS86" s="188"/>
      <c r="BT86" s="188"/>
      <c r="BU86" s="188"/>
      <c r="BV86" s="188"/>
      <c r="BW86" s="188"/>
      <c r="BX86" s="188"/>
      <c r="BY86" s="416"/>
      <c r="BZ86" s="416"/>
      <c r="CA86" s="416"/>
      <c r="CB86" s="469"/>
      <c r="CC86" s="416"/>
      <c r="CD86" s="416"/>
      <c r="CE86" s="469"/>
      <c r="CF86" s="416"/>
      <c r="CG86" s="418"/>
      <c r="CH86" s="171"/>
      <c r="CI86" s="365"/>
      <c r="CJ86" s="366"/>
      <c r="CK86" s="176"/>
      <c r="CL86" s="176"/>
      <c r="CM86" s="176"/>
      <c r="CN86" s="176"/>
      <c r="CO86" s="176"/>
      <c r="CP86" s="366"/>
      <c r="CQ86" s="363"/>
      <c r="CR86" s="363"/>
      <c r="CS86" s="175"/>
      <c r="CT86" s="175"/>
    </row>
    <row r="87" spans="1:98" ht="13" thickBot="1" x14ac:dyDescent="0.3">
      <c r="A87" s="206">
        <f t="shared" si="0"/>
        <v>-40</v>
      </c>
      <c r="B87" s="217"/>
      <c r="C87" s="368"/>
      <c r="D87" s="177"/>
      <c r="E87" s="177"/>
      <c r="F87" s="445"/>
      <c r="G87" s="177"/>
      <c r="H87" s="445"/>
      <c r="I87" s="507"/>
      <c r="J87" s="177"/>
      <c r="K87" s="371"/>
      <c r="L87" s="178"/>
      <c r="M87" s="178"/>
      <c r="N87" s="370"/>
      <c r="O87" s="370"/>
      <c r="P87" s="370"/>
      <c r="Q87" s="370"/>
      <c r="R87" s="370"/>
      <c r="S87" s="370"/>
      <c r="T87" s="370"/>
      <c r="U87" s="370"/>
      <c r="V87" s="370"/>
      <c r="W87" s="370"/>
      <c r="X87" s="370"/>
      <c r="Y87" s="370"/>
      <c r="Z87" s="370"/>
      <c r="AA87" s="370"/>
      <c r="AB87" s="370"/>
      <c r="AC87" s="370"/>
      <c r="AD87" s="370"/>
      <c r="AE87" s="370"/>
      <c r="AF87" s="370"/>
      <c r="AG87" s="370"/>
      <c r="AH87" s="370"/>
      <c r="AI87" s="465"/>
      <c r="AJ87" s="466"/>
      <c r="AK87" s="467"/>
      <c r="AL87" s="465"/>
      <c r="AM87" s="466"/>
      <c r="AN87" s="467"/>
      <c r="AO87" s="465"/>
      <c r="AP87" s="466"/>
      <c r="AQ87" s="467"/>
      <c r="AR87" s="171"/>
      <c r="AS87" s="410"/>
      <c r="AT87" s="405"/>
      <c r="AU87" s="405"/>
      <c r="AV87" s="405"/>
      <c r="AW87" s="405"/>
      <c r="AX87" s="405"/>
      <c r="AY87" s="508"/>
      <c r="AZ87" s="405"/>
      <c r="BA87" s="414"/>
      <c r="BB87" s="414"/>
      <c r="BC87" s="414"/>
      <c r="BD87" s="410"/>
      <c r="BE87" s="415"/>
      <c r="BF87" s="415"/>
      <c r="BG87" s="405"/>
      <c r="BH87" s="405"/>
      <c r="BI87" s="405"/>
      <c r="BJ87" s="405"/>
      <c r="BK87" s="405"/>
      <c r="BL87" s="405"/>
      <c r="BM87" s="405"/>
      <c r="BN87" s="405"/>
      <c r="BO87" s="405"/>
      <c r="BP87" s="405"/>
      <c r="BQ87" s="405"/>
      <c r="BR87" s="405"/>
      <c r="BS87" s="189"/>
      <c r="BT87" s="189"/>
      <c r="BU87" s="189"/>
      <c r="BV87" s="189"/>
      <c r="BW87" s="189"/>
      <c r="BX87" s="189"/>
      <c r="BY87" s="417"/>
      <c r="BZ87" s="417"/>
      <c r="CA87" s="470"/>
      <c r="CB87" s="415"/>
      <c r="CC87" s="417"/>
      <c r="CD87" s="470"/>
      <c r="CE87" s="415"/>
      <c r="CF87" s="417"/>
      <c r="CG87" s="419"/>
      <c r="CH87" s="171"/>
      <c r="CI87" s="368"/>
      <c r="CJ87" s="369"/>
      <c r="CK87" s="177"/>
      <c r="CL87" s="177"/>
      <c r="CM87" s="177"/>
      <c r="CN87" s="177"/>
      <c r="CO87" s="177"/>
      <c r="CP87" s="369"/>
      <c r="CQ87" s="371"/>
      <c r="CR87" s="371"/>
      <c r="CS87" s="178"/>
      <c r="CT87" s="178"/>
    </row>
    <row r="88" spans="1:98" x14ac:dyDescent="0.25">
      <c r="K88" s="3"/>
      <c r="L88" s="3"/>
      <c r="M88" s="3"/>
      <c r="CL88" s="3"/>
      <c r="CM88" s="3"/>
      <c r="CN88" s="3"/>
      <c r="CR88" s="3"/>
      <c r="CS88" s="3"/>
      <c r="CT88" s="3"/>
    </row>
  </sheetData>
  <mergeCells count="36">
    <mergeCell ref="I14:I15"/>
    <mergeCell ref="CI12:CT13"/>
    <mergeCell ref="BC14:BC15"/>
    <mergeCell ref="CI14:CI15"/>
    <mergeCell ref="CJ14:CJ15"/>
    <mergeCell ref="CK14:CK15"/>
    <mergeCell ref="CL14:CL15"/>
    <mergeCell ref="CM14:CM15"/>
    <mergeCell ref="CP14:CP15"/>
    <mergeCell ref="CQ14:CQ15"/>
    <mergeCell ref="CR14:CR15"/>
    <mergeCell ref="CS14:CS15"/>
    <mergeCell ref="CT14:CT15"/>
    <mergeCell ref="CN14:CN15"/>
    <mergeCell ref="CO14:CO15"/>
    <mergeCell ref="B14:B15"/>
    <mergeCell ref="C14:C15"/>
    <mergeCell ref="D14:D15"/>
    <mergeCell ref="E14:E15"/>
    <mergeCell ref="F14:F15"/>
    <mergeCell ref="G14:G15"/>
    <mergeCell ref="J14:J15"/>
    <mergeCell ref="K14:K15"/>
    <mergeCell ref="BB14:BB15"/>
    <mergeCell ref="BA14:BA15"/>
    <mergeCell ref="AT14:AT15"/>
    <mergeCell ref="AU14:AU15"/>
    <mergeCell ref="AV14:AV15"/>
    <mergeCell ref="AS14:AS15"/>
    <mergeCell ref="H14:H15"/>
    <mergeCell ref="L14:L15"/>
    <mergeCell ref="AX14:AX15"/>
    <mergeCell ref="AZ14:AZ15"/>
    <mergeCell ref="AW14:AW15"/>
    <mergeCell ref="AY14:AY15"/>
    <mergeCell ref="M14:M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Y121"/>
  <sheetViews>
    <sheetView showGridLines="0" zoomScale="90" zoomScaleNormal="90" workbookViewId="0">
      <selection activeCell="H29" sqref="H29"/>
    </sheetView>
  </sheetViews>
  <sheetFormatPr defaultColWidth="9.1796875" defaultRowHeight="12.5" x14ac:dyDescent="0.25"/>
  <cols>
    <col min="1" max="1" width="3" customWidth="1"/>
    <col min="2" max="2" width="18" bestFit="1" customWidth="1"/>
    <col min="3" max="3" width="16" customWidth="1"/>
    <col min="4" max="4" width="1.26953125" customWidth="1"/>
    <col min="5" max="23" width="20.1796875" customWidth="1"/>
    <col min="24" max="24" width="2.453125" customWidth="1"/>
    <col min="25" max="43" width="20.1796875" customWidth="1"/>
    <col min="44" max="44" width="2.453125" customWidth="1"/>
    <col min="46" max="46" width="20.1796875" customWidth="1"/>
    <col min="48" max="48" width="12.453125" bestFit="1" customWidth="1"/>
    <col min="49" max="49" width="14.81640625" bestFit="1" customWidth="1"/>
    <col min="51" max="51" width="20.1796875" customWidth="1"/>
  </cols>
  <sheetData>
    <row r="3" spans="2:51" x14ac:dyDescent="0.25">
      <c r="AD3" s="5"/>
    </row>
    <row r="7" spans="2:51" ht="15.5" x14ac:dyDescent="0.25">
      <c r="B7" s="762" t="s">
        <v>1240</v>
      </c>
      <c r="C7" s="751"/>
      <c r="D7" s="751"/>
      <c r="E7" s="751"/>
      <c r="F7" s="731"/>
      <c r="G7" s="731"/>
      <c r="H7" s="731"/>
      <c r="I7" s="731"/>
      <c r="J7" s="731"/>
      <c r="K7" s="731"/>
      <c r="L7" s="731"/>
      <c r="M7" s="751"/>
      <c r="N7" s="751"/>
      <c r="O7" s="751"/>
      <c r="P7" s="731"/>
      <c r="Q7" s="731"/>
      <c r="R7" s="731"/>
      <c r="S7" s="751"/>
      <c r="T7" s="751"/>
      <c r="U7" s="751"/>
      <c r="V7" s="751"/>
      <c r="W7" s="751"/>
      <c r="X7" s="751"/>
      <c r="Y7" s="731"/>
      <c r="Z7" s="731"/>
      <c r="AA7" s="731"/>
      <c r="AB7" s="731"/>
      <c r="AC7" s="731"/>
      <c r="AD7" s="731"/>
      <c r="AE7" s="731"/>
      <c r="AF7" s="731"/>
      <c r="AG7" s="731"/>
      <c r="AH7" s="731"/>
      <c r="AI7" s="731"/>
      <c r="AJ7" s="731"/>
      <c r="AK7" s="731"/>
      <c r="AL7" s="731"/>
      <c r="AM7" s="731"/>
      <c r="AN7" s="731"/>
      <c r="AO7" s="731"/>
      <c r="AP7" s="731"/>
      <c r="AQ7" s="731"/>
      <c r="AR7" s="731"/>
    </row>
    <row r="8" spans="2:51" x14ac:dyDescent="0.25">
      <c r="W8" s="4"/>
      <c r="AD8" s="5"/>
      <c r="AQ8" s="4"/>
      <c r="AT8" s="4"/>
    </row>
    <row r="9" spans="2:51" x14ac:dyDescent="0.25">
      <c r="G9" s="5"/>
      <c r="AC9" s="4"/>
    </row>
    <row r="10" spans="2:51" ht="13" thickBot="1" x14ac:dyDescent="0.3">
      <c r="W10" s="4"/>
      <c r="AQ10" s="4"/>
      <c r="AT10" s="4"/>
    </row>
    <row r="11" spans="2:51" ht="13.5" customHeight="1" thickBot="1" x14ac:dyDescent="0.3">
      <c r="B11" s="840" t="s">
        <v>1169</v>
      </c>
      <c r="C11" s="840"/>
      <c r="E11" s="763" t="s">
        <v>216</v>
      </c>
      <c r="F11" s="764"/>
      <c r="G11" s="764"/>
      <c r="H11" s="764"/>
      <c r="I11" s="764"/>
      <c r="J11" s="764"/>
      <c r="K11" s="764"/>
      <c r="L11" s="764"/>
      <c r="M11" s="764"/>
      <c r="N11" s="764"/>
      <c r="O11" s="764"/>
      <c r="P11" s="764"/>
      <c r="Q11" s="764"/>
      <c r="R11" s="764"/>
      <c r="S11" s="764"/>
      <c r="T11" s="764"/>
      <c r="U11" s="764"/>
      <c r="V11" s="764"/>
      <c r="W11" s="765"/>
      <c r="Y11" s="397" t="s">
        <v>217</v>
      </c>
      <c r="Z11" s="398"/>
      <c r="AA11" s="398"/>
      <c r="AB11" s="398"/>
      <c r="AC11" s="398"/>
      <c r="AD11" s="398"/>
      <c r="AE11" s="398"/>
      <c r="AF11" s="398"/>
      <c r="AG11" s="398"/>
      <c r="AH11" s="398"/>
      <c r="AI11" s="398"/>
      <c r="AJ11" s="398"/>
      <c r="AK11" s="398"/>
      <c r="AL11" s="398"/>
      <c r="AM11" s="398"/>
      <c r="AN11" s="398"/>
      <c r="AO11" s="398"/>
      <c r="AP11" s="398"/>
      <c r="AQ11" s="399"/>
      <c r="AT11" s="448"/>
      <c r="AY11" s="519"/>
    </row>
    <row r="12" spans="2:51" ht="49.5" customHeight="1" thickBot="1" x14ac:dyDescent="0.3">
      <c r="B12" s="167" t="s">
        <v>96</v>
      </c>
      <c r="C12" s="168" t="s">
        <v>97</v>
      </c>
      <c r="E12" s="438" t="s">
        <v>139</v>
      </c>
      <c r="F12" s="439" t="s">
        <v>140</v>
      </c>
      <c r="G12" s="439" t="s">
        <v>141</v>
      </c>
      <c r="H12" s="439" t="s">
        <v>142</v>
      </c>
      <c r="I12" s="439" t="s">
        <v>143</v>
      </c>
      <c r="J12" s="439" t="s">
        <v>144</v>
      </c>
      <c r="K12" s="439" t="s">
        <v>145</v>
      </c>
      <c r="L12" s="439" t="s">
        <v>146</v>
      </c>
      <c r="M12" s="439" t="s">
        <v>147</v>
      </c>
      <c r="N12" s="440" t="s">
        <v>148</v>
      </c>
      <c r="O12" s="440" t="s">
        <v>149</v>
      </c>
      <c r="P12" s="437" t="s">
        <v>150</v>
      </c>
      <c r="Q12" s="437" t="s">
        <v>151</v>
      </c>
      <c r="R12" s="437" t="s">
        <v>249</v>
      </c>
      <c r="S12" s="437" t="s">
        <v>152</v>
      </c>
      <c r="T12" s="437" t="s">
        <v>153</v>
      </c>
      <c r="U12" s="437" t="s">
        <v>154</v>
      </c>
      <c r="V12" s="437" t="s">
        <v>155</v>
      </c>
      <c r="W12" s="372" t="s">
        <v>214</v>
      </c>
      <c r="Y12" s="400" t="s">
        <v>139</v>
      </c>
      <c r="Z12" s="401" t="s">
        <v>140</v>
      </c>
      <c r="AA12" s="401" t="s">
        <v>141</v>
      </c>
      <c r="AB12" s="401" t="s">
        <v>142</v>
      </c>
      <c r="AC12" s="401" t="s">
        <v>143</v>
      </c>
      <c r="AD12" s="401" t="s">
        <v>144</v>
      </c>
      <c r="AE12" s="401" t="s">
        <v>145</v>
      </c>
      <c r="AF12" s="401" t="s">
        <v>146</v>
      </c>
      <c r="AG12" s="401" t="s">
        <v>147</v>
      </c>
      <c r="AH12" s="402" t="s">
        <v>148</v>
      </c>
      <c r="AI12" s="402" t="s">
        <v>149</v>
      </c>
      <c r="AJ12" s="403" t="s">
        <v>150</v>
      </c>
      <c r="AK12" s="403" t="s">
        <v>151</v>
      </c>
      <c r="AL12" s="403" t="s">
        <v>249</v>
      </c>
      <c r="AM12" s="403" t="s">
        <v>152</v>
      </c>
      <c r="AN12" s="403" t="s">
        <v>153</v>
      </c>
      <c r="AO12" s="403" t="s">
        <v>154</v>
      </c>
      <c r="AP12" s="403" t="s">
        <v>155</v>
      </c>
      <c r="AQ12" s="372" t="s">
        <v>214</v>
      </c>
      <c r="AT12" s="372" t="s">
        <v>2</v>
      </c>
      <c r="AV12" s="501" t="s">
        <v>245</v>
      </c>
      <c r="AW12" s="501" t="s">
        <v>246</v>
      </c>
      <c r="AY12" s="518" t="s">
        <v>247</v>
      </c>
    </row>
    <row r="13" spans="2:51" s="2" customFormat="1" ht="13" x14ac:dyDescent="0.3">
      <c r="B13" s="472"/>
      <c r="C13" s="473"/>
      <c r="E13" s="476"/>
      <c r="F13" s="477"/>
      <c r="G13" s="477"/>
      <c r="H13" s="478"/>
      <c r="I13" s="477"/>
      <c r="J13" s="477"/>
      <c r="K13" s="477"/>
      <c r="L13" s="477"/>
      <c r="M13" s="479"/>
      <c r="N13" s="479"/>
      <c r="O13" s="480"/>
      <c r="P13" s="480"/>
      <c r="Q13" s="481">
        <f t="shared" ref="Q13" si="0">I13+J13+K13+L13+M13+N13+O13+P13</f>
        <v>0</v>
      </c>
      <c r="R13" s="480"/>
      <c r="S13" s="480"/>
      <c r="T13" s="480"/>
      <c r="U13" s="481"/>
      <c r="V13" s="482"/>
      <c r="W13" s="474"/>
      <c r="Y13" s="476"/>
      <c r="Z13" s="477"/>
      <c r="AA13" s="477"/>
      <c r="AB13" s="478"/>
      <c r="AC13" s="477"/>
      <c r="AD13" s="477"/>
      <c r="AE13" s="477"/>
      <c r="AF13" s="477"/>
      <c r="AG13" s="479"/>
      <c r="AH13" s="479"/>
      <c r="AI13" s="480"/>
      <c r="AJ13" s="480"/>
      <c r="AK13" s="481"/>
      <c r="AL13" s="480"/>
      <c r="AM13" s="480"/>
      <c r="AN13" s="480"/>
      <c r="AO13" s="481"/>
      <c r="AP13" s="482"/>
      <c r="AQ13" s="474"/>
      <c r="AT13" s="474"/>
      <c r="AU13" s="475"/>
      <c r="AV13" s="502"/>
      <c r="AW13" s="502"/>
      <c r="AY13" s="480"/>
    </row>
    <row r="14" spans="2:51" s="2" customFormat="1" ht="13" x14ac:dyDescent="0.3">
      <c r="B14" s="472"/>
      <c r="C14" s="473"/>
      <c r="E14" s="476"/>
      <c r="F14" s="477"/>
      <c r="G14" s="477"/>
      <c r="H14" s="478"/>
      <c r="I14" s="477"/>
      <c r="J14" s="477"/>
      <c r="K14" s="477"/>
      <c r="L14" s="477"/>
      <c r="M14" s="479"/>
      <c r="N14" s="479"/>
      <c r="O14" s="480"/>
      <c r="P14" s="480"/>
      <c r="Q14" s="481"/>
      <c r="R14" s="480"/>
      <c r="S14" s="480"/>
      <c r="T14" s="480"/>
      <c r="U14" s="481"/>
      <c r="V14" s="482"/>
      <c r="W14" s="474"/>
      <c r="Y14" s="476"/>
      <c r="Z14" s="477"/>
      <c r="AA14" s="477"/>
      <c r="AB14" s="478"/>
      <c r="AC14" s="477"/>
      <c r="AD14" s="477"/>
      <c r="AE14" s="477"/>
      <c r="AF14" s="477"/>
      <c r="AG14" s="479"/>
      <c r="AH14" s="479"/>
      <c r="AI14" s="480"/>
      <c r="AJ14" s="480"/>
      <c r="AK14" s="481"/>
      <c r="AL14" s="480"/>
      <c r="AM14" s="480"/>
      <c r="AN14" s="480"/>
      <c r="AO14" s="481"/>
      <c r="AP14" s="482"/>
      <c r="AQ14" s="474"/>
      <c r="AT14" s="474"/>
      <c r="AU14" s="475"/>
      <c r="AV14" s="502"/>
      <c r="AW14" s="502"/>
      <c r="AY14" s="480"/>
    </row>
    <row r="15" spans="2:51" ht="13" x14ac:dyDescent="0.3">
      <c r="B15" s="183"/>
      <c r="C15" s="184"/>
      <c r="D15" s="170"/>
      <c r="E15" s="373"/>
      <c r="F15" s="374"/>
      <c r="G15" s="374"/>
      <c r="H15" s="375"/>
      <c r="I15" s="374"/>
      <c r="J15" s="374"/>
      <c r="K15" s="374"/>
      <c r="L15" s="374"/>
      <c r="M15" s="181"/>
      <c r="N15" s="181"/>
      <c r="O15" s="182"/>
      <c r="P15" s="182"/>
      <c r="Q15" s="376"/>
      <c r="R15" s="182"/>
      <c r="S15" s="182"/>
      <c r="T15" s="182"/>
      <c r="U15" s="376"/>
      <c r="V15" s="377"/>
      <c r="W15" s="185"/>
      <c r="X15" s="170"/>
      <c r="Y15" s="373"/>
      <c r="Z15" s="374"/>
      <c r="AA15" s="374"/>
      <c r="AB15" s="375"/>
      <c r="AC15" s="374"/>
      <c r="AD15" s="374"/>
      <c r="AE15" s="374"/>
      <c r="AF15" s="374"/>
      <c r="AG15" s="181"/>
      <c r="AH15" s="181"/>
      <c r="AI15" s="182"/>
      <c r="AJ15" s="182"/>
      <c r="AK15" s="376"/>
      <c r="AL15" s="182"/>
      <c r="AM15" s="182"/>
      <c r="AN15" s="182"/>
      <c r="AO15" s="376"/>
      <c r="AP15" s="377"/>
      <c r="AQ15" s="185"/>
      <c r="AR15" s="170"/>
      <c r="AT15" s="449"/>
      <c r="AU15" s="5"/>
      <c r="AV15" s="502"/>
      <c r="AW15" s="502"/>
      <c r="AY15" s="182"/>
    </row>
    <row r="16" spans="2:51" ht="13" x14ac:dyDescent="0.3">
      <c r="B16" s="183"/>
      <c r="C16" s="184"/>
      <c r="D16" s="170"/>
      <c r="E16" s="373"/>
      <c r="F16" s="374"/>
      <c r="G16" s="374"/>
      <c r="H16" s="375"/>
      <c r="I16" s="374"/>
      <c r="J16" s="374"/>
      <c r="K16" s="374"/>
      <c r="L16" s="374"/>
      <c r="M16" s="181"/>
      <c r="N16" s="181"/>
      <c r="O16" s="182"/>
      <c r="P16" s="182"/>
      <c r="Q16" s="376"/>
      <c r="R16" s="182"/>
      <c r="S16" s="182"/>
      <c r="T16" s="182"/>
      <c r="U16" s="376"/>
      <c r="V16" s="377"/>
      <c r="W16" s="185"/>
      <c r="X16" s="170"/>
      <c r="Y16" s="373"/>
      <c r="Z16" s="374"/>
      <c r="AA16" s="374"/>
      <c r="AB16" s="375"/>
      <c r="AC16" s="374"/>
      <c r="AD16" s="374"/>
      <c r="AE16" s="374"/>
      <c r="AF16" s="374"/>
      <c r="AG16" s="181"/>
      <c r="AH16" s="181"/>
      <c r="AI16" s="182"/>
      <c r="AJ16" s="182"/>
      <c r="AK16" s="376"/>
      <c r="AL16" s="182"/>
      <c r="AM16" s="182"/>
      <c r="AN16" s="182"/>
      <c r="AO16" s="376"/>
      <c r="AP16" s="377"/>
      <c r="AQ16" s="185"/>
      <c r="AR16" s="170"/>
      <c r="AT16" s="185"/>
      <c r="AV16" s="502"/>
      <c r="AW16" s="502"/>
      <c r="AY16" s="182"/>
    </row>
    <row r="17" spans="2:51" ht="13" x14ac:dyDescent="0.3">
      <c r="B17" s="183"/>
      <c r="C17" s="184"/>
      <c r="D17" s="170"/>
      <c r="E17" s="373"/>
      <c r="F17" s="374"/>
      <c r="G17" s="374"/>
      <c r="H17" s="375"/>
      <c r="I17" s="374"/>
      <c r="J17" s="374"/>
      <c r="K17" s="374"/>
      <c r="L17" s="374"/>
      <c r="M17" s="181"/>
      <c r="N17" s="181"/>
      <c r="O17" s="182"/>
      <c r="P17" s="182"/>
      <c r="Q17" s="376"/>
      <c r="R17" s="182"/>
      <c r="S17" s="182"/>
      <c r="T17" s="182"/>
      <c r="U17" s="376"/>
      <c r="V17" s="377"/>
      <c r="W17" s="185"/>
      <c r="X17" s="170"/>
      <c r="Y17" s="373"/>
      <c r="Z17" s="374"/>
      <c r="AA17" s="374"/>
      <c r="AB17" s="375"/>
      <c r="AC17" s="374"/>
      <c r="AD17" s="374"/>
      <c r="AE17" s="374"/>
      <c r="AF17" s="374"/>
      <c r="AG17" s="181"/>
      <c r="AH17" s="181"/>
      <c r="AI17" s="182"/>
      <c r="AJ17" s="182"/>
      <c r="AK17" s="376"/>
      <c r="AL17" s="182"/>
      <c r="AM17" s="182"/>
      <c r="AN17" s="182"/>
      <c r="AO17" s="376"/>
      <c r="AP17" s="377"/>
      <c r="AQ17" s="185"/>
      <c r="AR17" s="170"/>
      <c r="AT17" s="185"/>
      <c r="AV17" s="502"/>
      <c r="AW17" s="502"/>
      <c r="AY17" s="182"/>
    </row>
    <row r="18" spans="2:51" ht="13" x14ac:dyDescent="0.3">
      <c r="B18" s="183"/>
      <c r="C18" s="184"/>
      <c r="D18" s="170"/>
      <c r="E18" s="373"/>
      <c r="F18" s="374"/>
      <c r="G18" s="374"/>
      <c r="H18" s="375"/>
      <c r="I18" s="374"/>
      <c r="J18" s="374"/>
      <c r="K18" s="374"/>
      <c r="L18" s="374"/>
      <c r="M18" s="181"/>
      <c r="N18" s="181"/>
      <c r="O18" s="182"/>
      <c r="P18" s="182"/>
      <c r="Q18" s="376"/>
      <c r="R18" s="182"/>
      <c r="S18" s="182"/>
      <c r="T18" s="182"/>
      <c r="U18" s="376"/>
      <c r="V18" s="377"/>
      <c r="W18" s="185"/>
      <c r="X18" s="170"/>
      <c r="Y18" s="373"/>
      <c r="Z18" s="374"/>
      <c r="AA18" s="374"/>
      <c r="AB18" s="375"/>
      <c r="AC18" s="374"/>
      <c r="AD18" s="374"/>
      <c r="AE18" s="374"/>
      <c r="AF18" s="374"/>
      <c r="AG18" s="181"/>
      <c r="AH18" s="181"/>
      <c r="AI18" s="182"/>
      <c r="AJ18" s="182"/>
      <c r="AK18" s="376"/>
      <c r="AL18" s="182"/>
      <c r="AM18" s="182"/>
      <c r="AN18" s="182"/>
      <c r="AO18" s="376"/>
      <c r="AP18" s="377"/>
      <c r="AQ18" s="185"/>
      <c r="AR18" s="170"/>
      <c r="AT18" s="185"/>
      <c r="AV18" s="502"/>
      <c r="AW18" s="502"/>
      <c r="AY18" s="182"/>
    </row>
    <row r="19" spans="2:51" ht="13" x14ac:dyDescent="0.3">
      <c r="B19" s="183"/>
      <c r="C19" s="184"/>
      <c r="D19" s="170"/>
      <c r="E19" s="373"/>
      <c r="F19" s="374"/>
      <c r="G19" s="374"/>
      <c r="H19" s="375"/>
      <c r="I19" s="374"/>
      <c r="J19" s="374"/>
      <c r="K19" s="374"/>
      <c r="L19" s="374"/>
      <c r="M19" s="181"/>
      <c r="N19" s="181"/>
      <c r="O19" s="182"/>
      <c r="P19" s="182"/>
      <c r="Q19" s="376"/>
      <c r="R19" s="182"/>
      <c r="S19" s="182"/>
      <c r="T19" s="182"/>
      <c r="U19" s="376"/>
      <c r="V19" s="377"/>
      <c r="W19" s="185"/>
      <c r="X19" s="170"/>
      <c r="Y19" s="373"/>
      <c r="Z19" s="374"/>
      <c r="AA19" s="374"/>
      <c r="AB19" s="375"/>
      <c r="AC19" s="374"/>
      <c r="AD19" s="374"/>
      <c r="AE19" s="374"/>
      <c r="AF19" s="374"/>
      <c r="AG19" s="181"/>
      <c r="AH19" s="181"/>
      <c r="AI19" s="182"/>
      <c r="AJ19" s="182"/>
      <c r="AK19" s="376"/>
      <c r="AL19" s="182"/>
      <c r="AM19" s="182"/>
      <c r="AN19" s="182"/>
      <c r="AO19" s="376"/>
      <c r="AP19" s="377"/>
      <c r="AQ19" s="185"/>
      <c r="AR19" s="170"/>
      <c r="AT19" s="185"/>
      <c r="AV19" s="502"/>
      <c r="AW19" s="502"/>
      <c r="AY19" s="182"/>
    </row>
    <row r="20" spans="2:51" ht="13" x14ac:dyDescent="0.3">
      <c r="B20" s="183"/>
      <c r="C20" s="184"/>
      <c r="D20" s="170"/>
      <c r="E20" s="373"/>
      <c r="F20" s="374"/>
      <c r="G20" s="374"/>
      <c r="H20" s="375"/>
      <c r="I20" s="374"/>
      <c r="J20" s="374"/>
      <c r="K20" s="374"/>
      <c r="L20" s="374"/>
      <c r="M20" s="181"/>
      <c r="N20" s="181"/>
      <c r="O20" s="182"/>
      <c r="P20" s="182"/>
      <c r="Q20" s="376"/>
      <c r="R20" s="182"/>
      <c r="S20" s="182"/>
      <c r="T20" s="182"/>
      <c r="U20" s="376"/>
      <c r="V20" s="377"/>
      <c r="W20" s="185"/>
      <c r="X20" s="170"/>
      <c r="Y20" s="373"/>
      <c r="Z20" s="374"/>
      <c r="AA20" s="374"/>
      <c r="AB20" s="375"/>
      <c r="AC20" s="374"/>
      <c r="AD20" s="374"/>
      <c r="AE20" s="374"/>
      <c r="AF20" s="374"/>
      <c r="AG20" s="181"/>
      <c r="AH20" s="181"/>
      <c r="AI20" s="182"/>
      <c r="AJ20" s="182"/>
      <c r="AK20" s="376"/>
      <c r="AL20" s="182"/>
      <c r="AM20" s="182"/>
      <c r="AN20" s="182"/>
      <c r="AO20" s="376"/>
      <c r="AP20" s="377"/>
      <c r="AQ20" s="185"/>
      <c r="AR20" s="170"/>
      <c r="AT20" s="185"/>
      <c r="AV20" s="502"/>
      <c r="AW20" s="502"/>
      <c r="AY20" s="182"/>
    </row>
    <row r="21" spans="2:51" ht="13" x14ac:dyDescent="0.3">
      <c r="B21" s="183"/>
      <c r="C21" s="184"/>
      <c r="D21" s="170"/>
      <c r="E21" s="373"/>
      <c r="F21" s="374"/>
      <c r="G21" s="374"/>
      <c r="H21" s="375"/>
      <c r="I21" s="374"/>
      <c r="J21" s="374"/>
      <c r="K21" s="374"/>
      <c r="L21" s="374"/>
      <c r="M21" s="181"/>
      <c r="N21" s="181"/>
      <c r="O21" s="182"/>
      <c r="P21" s="182"/>
      <c r="Q21" s="376"/>
      <c r="R21" s="182"/>
      <c r="S21" s="182"/>
      <c r="T21" s="182"/>
      <c r="U21" s="376"/>
      <c r="V21" s="377"/>
      <c r="W21" s="185"/>
      <c r="X21" s="170"/>
      <c r="Y21" s="373"/>
      <c r="Z21" s="374"/>
      <c r="AA21" s="374"/>
      <c r="AB21" s="375"/>
      <c r="AC21" s="374"/>
      <c r="AD21" s="374"/>
      <c r="AE21" s="374"/>
      <c r="AF21" s="374"/>
      <c r="AG21" s="181"/>
      <c r="AH21" s="181"/>
      <c r="AI21" s="182"/>
      <c r="AJ21" s="182"/>
      <c r="AK21" s="376"/>
      <c r="AL21" s="182"/>
      <c r="AM21" s="182"/>
      <c r="AN21" s="182"/>
      <c r="AO21" s="376"/>
      <c r="AP21" s="377"/>
      <c r="AQ21" s="185"/>
      <c r="AR21" s="170"/>
      <c r="AT21" s="185"/>
      <c r="AV21" s="502"/>
      <c r="AW21" s="502"/>
      <c r="AY21" s="182"/>
    </row>
    <row r="22" spans="2:51" ht="13" x14ac:dyDescent="0.3">
      <c r="B22" s="183"/>
      <c r="C22" s="184"/>
      <c r="D22" s="170"/>
      <c r="E22" s="373"/>
      <c r="F22" s="374"/>
      <c r="G22" s="374"/>
      <c r="H22" s="375"/>
      <c r="I22" s="374"/>
      <c r="J22" s="374"/>
      <c r="K22" s="374"/>
      <c r="L22" s="374"/>
      <c r="M22" s="181"/>
      <c r="N22" s="181"/>
      <c r="O22" s="182"/>
      <c r="P22" s="182"/>
      <c r="Q22" s="376"/>
      <c r="R22" s="182"/>
      <c r="S22" s="182"/>
      <c r="T22" s="182"/>
      <c r="U22" s="376"/>
      <c r="V22" s="377"/>
      <c r="W22" s="185"/>
      <c r="X22" s="170"/>
      <c r="Y22" s="373"/>
      <c r="Z22" s="374"/>
      <c r="AA22" s="374"/>
      <c r="AB22" s="375"/>
      <c r="AC22" s="374"/>
      <c r="AD22" s="374"/>
      <c r="AE22" s="374"/>
      <c r="AF22" s="374"/>
      <c r="AG22" s="181"/>
      <c r="AH22" s="181"/>
      <c r="AI22" s="182"/>
      <c r="AJ22" s="182"/>
      <c r="AK22" s="376"/>
      <c r="AL22" s="182"/>
      <c r="AM22" s="182"/>
      <c r="AN22" s="182"/>
      <c r="AO22" s="376"/>
      <c r="AP22" s="377"/>
      <c r="AQ22" s="185"/>
      <c r="AR22" s="170"/>
      <c r="AT22" s="185"/>
      <c r="AV22" s="502"/>
      <c r="AW22" s="502"/>
      <c r="AY22" s="182"/>
    </row>
    <row r="23" spans="2:51" x14ac:dyDescent="0.25">
      <c r="B23" s="183"/>
      <c r="C23" s="184"/>
      <c r="D23" s="170"/>
      <c r="E23" s="373"/>
      <c r="F23" s="374"/>
      <c r="G23" s="374"/>
      <c r="H23" s="375"/>
      <c r="I23" s="374"/>
      <c r="J23" s="374"/>
      <c r="K23" s="374"/>
      <c r="L23" s="374"/>
      <c r="M23" s="181"/>
      <c r="N23" s="181"/>
      <c r="O23" s="182"/>
      <c r="P23" s="182"/>
      <c r="Q23" s="376"/>
      <c r="R23" s="182"/>
      <c r="S23" s="182"/>
      <c r="T23" s="182"/>
      <c r="U23" s="376"/>
      <c r="V23" s="377"/>
      <c r="W23" s="185"/>
      <c r="X23" s="170"/>
      <c r="Y23" s="373"/>
      <c r="Z23" s="374"/>
      <c r="AA23" s="374"/>
      <c r="AB23" s="375"/>
      <c r="AC23" s="374"/>
      <c r="AD23" s="374"/>
      <c r="AE23" s="374"/>
      <c r="AF23" s="374"/>
      <c r="AG23" s="181"/>
      <c r="AH23" s="181"/>
      <c r="AI23" s="182"/>
      <c r="AJ23" s="182"/>
      <c r="AK23" s="376"/>
      <c r="AL23" s="182"/>
      <c r="AM23" s="182"/>
      <c r="AN23" s="182"/>
      <c r="AO23" s="376"/>
      <c r="AP23" s="377"/>
      <c r="AQ23" s="185"/>
      <c r="AR23" s="170"/>
      <c r="AT23" s="185"/>
      <c r="AY23" s="182"/>
    </row>
    <row r="24" spans="2:51" ht="13" x14ac:dyDescent="0.25">
      <c r="B24" s="183"/>
      <c r="C24" s="184"/>
      <c r="D24" s="170"/>
      <c r="E24" s="373"/>
      <c r="F24" s="374"/>
      <c r="G24" s="374"/>
      <c r="H24" s="375"/>
      <c r="I24" s="374"/>
      <c r="J24" s="374"/>
      <c r="K24" s="374"/>
      <c r="L24" s="374"/>
      <c r="M24" s="181"/>
      <c r="N24" s="181"/>
      <c r="O24" s="296"/>
      <c r="P24" s="296"/>
      <c r="Q24" s="378"/>
      <c r="R24" s="182"/>
      <c r="S24" s="182"/>
      <c r="T24" s="182"/>
      <c r="U24" s="376"/>
      <c r="V24" s="377"/>
      <c r="W24" s="185"/>
      <c r="X24" s="170"/>
      <c r="Y24" s="373"/>
      <c r="Z24" s="374"/>
      <c r="AA24" s="374"/>
      <c r="AB24" s="375"/>
      <c r="AC24" s="374"/>
      <c r="AD24" s="374"/>
      <c r="AE24" s="374"/>
      <c r="AF24" s="374"/>
      <c r="AG24" s="181"/>
      <c r="AH24" s="181"/>
      <c r="AI24" s="296"/>
      <c r="AJ24" s="296"/>
      <c r="AK24" s="378"/>
      <c r="AL24" s="182"/>
      <c r="AM24" s="182"/>
      <c r="AN24" s="182"/>
      <c r="AO24" s="376"/>
      <c r="AP24" s="377"/>
      <c r="AQ24" s="185"/>
      <c r="AR24" s="170"/>
      <c r="AT24" s="185"/>
      <c r="AY24" s="182"/>
    </row>
    <row r="25" spans="2:51" x14ac:dyDescent="0.25">
      <c r="B25" s="183"/>
      <c r="C25" s="184"/>
      <c r="D25" s="170"/>
      <c r="E25" s="373"/>
      <c r="F25" s="374"/>
      <c r="G25" s="374"/>
      <c r="H25" s="375"/>
      <c r="I25" s="374"/>
      <c r="J25" s="374"/>
      <c r="K25" s="374"/>
      <c r="L25" s="374"/>
      <c r="M25" s="181"/>
      <c r="N25" s="181"/>
      <c r="O25" s="182"/>
      <c r="P25" s="182"/>
      <c r="Q25" s="376"/>
      <c r="R25" s="182"/>
      <c r="S25" s="182"/>
      <c r="T25" s="182"/>
      <c r="U25" s="376"/>
      <c r="V25" s="377"/>
      <c r="W25" s="185"/>
      <c r="X25" s="170"/>
      <c r="Y25" s="373"/>
      <c r="Z25" s="374"/>
      <c r="AA25" s="374"/>
      <c r="AB25" s="375"/>
      <c r="AC25" s="374"/>
      <c r="AD25" s="374"/>
      <c r="AE25" s="374"/>
      <c r="AF25" s="374"/>
      <c r="AG25" s="181"/>
      <c r="AH25" s="181"/>
      <c r="AI25" s="182"/>
      <c r="AJ25" s="182"/>
      <c r="AK25" s="376"/>
      <c r="AL25" s="182"/>
      <c r="AM25" s="182"/>
      <c r="AN25" s="182"/>
      <c r="AO25" s="376"/>
      <c r="AP25" s="377"/>
      <c r="AQ25" s="185"/>
      <c r="AR25" s="170"/>
      <c r="AT25" s="185"/>
      <c r="AY25" s="182"/>
    </row>
    <row r="26" spans="2:51" x14ac:dyDescent="0.25">
      <c r="B26" s="183"/>
      <c r="C26" s="184"/>
      <c r="D26" s="170"/>
      <c r="E26" s="373"/>
      <c r="F26" s="374"/>
      <c r="G26" s="374"/>
      <c r="H26" s="375"/>
      <c r="I26" s="374"/>
      <c r="J26" s="374"/>
      <c r="K26" s="374"/>
      <c r="L26" s="374"/>
      <c r="M26" s="181"/>
      <c r="N26" s="181"/>
      <c r="O26" s="182"/>
      <c r="P26" s="182"/>
      <c r="Q26" s="376"/>
      <c r="R26" s="182"/>
      <c r="S26" s="182"/>
      <c r="T26" s="182"/>
      <c r="U26" s="376"/>
      <c r="V26" s="377"/>
      <c r="W26" s="185"/>
      <c r="X26" s="170"/>
      <c r="Y26" s="373"/>
      <c r="Z26" s="374"/>
      <c r="AA26" s="374"/>
      <c r="AB26" s="375"/>
      <c r="AC26" s="374"/>
      <c r="AD26" s="374"/>
      <c r="AE26" s="374"/>
      <c r="AF26" s="374"/>
      <c r="AG26" s="181"/>
      <c r="AH26" s="181"/>
      <c r="AI26" s="182"/>
      <c r="AJ26" s="182"/>
      <c r="AK26" s="376"/>
      <c r="AL26" s="182"/>
      <c r="AM26" s="182"/>
      <c r="AN26" s="182"/>
      <c r="AO26" s="376"/>
      <c r="AP26" s="377"/>
      <c r="AQ26" s="185"/>
      <c r="AR26" s="170"/>
      <c r="AT26" s="185"/>
      <c r="AY26" s="182"/>
    </row>
    <row r="27" spans="2:51" x14ac:dyDescent="0.25">
      <c r="B27" s="183"/>
      <c r="C27" s="184"/>
      <c r="D27" s="170"/>
      <c r="E27" s="373"/>
      <c r="F27" s="374"/>
      <c r="G27" s="374"/>
      <c r="H27" s="375"/>
      <c r="I27" s="374"/>
      <c r="J27" s="374"/>
      <c r="K27" s="374"/>
      <c r="L27" s="374"/>
      <c r="M27" s="181"/>
      <c r="N27" s="181"/>
      <c r="O27" s="182"/>
      <c r="P27" s="182"/>
      <c r="Q27" s="376"/>
      <c r="R27" s="182"/>
      <c r="S27" s="182"/>
      <c r="T27" s="182"/>
      <c r="U27" s="376"/>
      <c r="V27" s="377"/>
      <c r="W27" s="185"/>
      <c r="X27" s="170"/>
      <c r="Y27" s="373"/>
      <c r="Z27" s="374"/>
      <c r="AA27" s="374"/>
      <c r="AB27" s="375"/>
      <c r="AC27" s="374"/>
      <c r="AD27" s="374"/>
      <c r="AE27" s="374"/>
      <c r="AF27" s="374"/>
      <c r="AG27" s="181"/>
      <c r="AH27" s="181"/>
      <c r="AI27" s="182"/>
      <c r="AJ27" s="182"/>
      <c r="AK27" s="376"/>
      <c r="AL27" s="182"/>
      <c r="AM27" s="182"/>
      <c r="AN27" s="182"/>
      <c r="AO27" s="376"/>
      <c r="AP27" s="377"/>
      <c r="AQ27" s="185"/>
      <c r="AR27" s="170"/>
      <c r="AT27" s="185"/>
      <c r="AY27" s="182"/>
    </row>
    <row r="28" spans="2:51" x14ac:dyDescent="0.25">
      <c r="B28" s="183"/>
      <c r="C28" s="184"/>
      <c r="D28" s="170"/>
      <c r="E28" s="373"/>
      <c r="F28" s="374"/>
      <c r="G28" s="374"/>
      <c r="H28" s="375"/>
      <c r="I28" s="374"/>
      <c r="J28" s="374"/>
      <c r="K28" s="374"/>
      <c r="L28" s="374"/>
      <c r="M28" s="181"/>
      <c r="N28" s="181"/>
      <c r="O28" s="182"/>
      <c r="P28" s="182"/>
      <c r="Q28" s="376"/>
      <c r="R28" s="182"/>
      <c r="S28" s="182"/>
      <c r="T28" s="182"/>
      <c r="U28" s="376"/>
      <c r="V28" s="377"/>
      <c r="W28" s="185"/>
      <c r="X28" s="170"/>
      <c r="Y28" s="373"/>
      <c r="Z28" s="374"/>
      <c r="AA28" s="374"/>
      <c r="AB28" s="375"/>
      <c r="AC28" s="374"/>
      <c r="AD28" s="374"/>
      <c r="AE28" s="374"/>
      <c r="AF28" s="374"/>
      <c r="AG28" s="181"/>
      <c r="AH28" s="181"/>
      <c r="AI28" s="182"/>
      <c r="AJ28" s="182"/>
      <c r="AK28" s="376"/>
      <c r="AL28" s="182"/>
      <c r="AM28" s="182"/>
      <c r="AN28" s="182"/>
      <c r="AO28" s="376"/>
      <c r="AP28" s="377"/>
      <c r="AQ28" s="185"/>
      <c r="AR28" s="170"/>
      <c r="AT28" s="185"/>
      <c r="AY28" s="182"/>
    </row>
    <row r="29" spans="2:51" x14ac:dyDescent="0.25">
      <c r="B29" s="183"/>
      <c r="C29" s="184"/>
      <c r="D29" s="170"/>
      <c r="E29" s="373"/>
      <c r="F29" s="374"/>
      <c r="G29" s="374"/>
      <c r="H29" s="375"/>
      <c r="I29" s="374"/>
      <c r="J29" s="374"/>
      <c r="K29" s="374"/>
      <c r="L29" s="374"/>
      <c r="M29" s="181"/>
      <c r="N29" s="181"/>
      <c r="O29" s="182"/>
      <c r="P29" s="182"/>
      <c r="Q29" s="376"/>
      <c r="R29" s="182"/>
      <c r="S29" s="182"/>
      <c r="T29" s="182"/>
      <c r="U29" s="376"/>
      <c r="V29" s="377"/>
      <c r="W29" s="185"/>
      <c r="X29" s="170"/>
      <c r="Y29" s="373"/>
      <c r="Z29" s="374"/>
      <c r="AA29" s="374"/>
      <c r="AB29" s="375"/>
      <c r="AC29" s="374"/>
      <c r="AD29" s="374"/>
      <c r="AE29" s="374"/>
      <c r="AF29" s="374"/>
      <c r="AG29" s="181"/>
      <c r="AH29" s="181"/>
      <c r="AI29" s="182"/>
      <c r="AJ29" s="182"/>
      <c r="AK29" s="376"/>
      <c r="AL29" s="182"/>
      <c r="AM29" s="182"/>
      <c r="AN29" s="182"/>
      <c r="AO29" s="376"/>
      <c r="AP29" s="377"/>
      <c r="AQ29" s="185"/>
      <c r="AR29" s="170"/>
      <c r="AT29" s="185"/>
      <c r="AY29" s="182"/>
    </row>
    <row r="30" spans="2:51" x14ac:dyDescent="0.25">
      <c r="B30" s="183"/>
      <c r="C30" s="184"/>
      <c r="D30" s="170"/>
      <c r="E30" s="373"/>
      <c r="F30" s="374"/>
      <c r="G30" s="374"/>
      <c r="H30" s="375"/>
      <c r="I30" s="374"/>
      <c r="J30" s="374"/>
      <c r="K30" s="374"/>
      <c r="L30" s="374"/>
      <c r="M30" s="181"/>
      <c r="N30" s="181"/>
      <c r="O30" s="182"/>
      <c r="P30" s="182"/>
      <c r="Q30" s="376"/>
      <c r="R30" s="182"/>
      <c r="S30" s="182"/>
      <c r="T30" s="182"/>
      <c r="U30" s="376"/>
      <c r="V30" s="377"/>
      <c r="W30" s="185"/>
      <c r="X30" s="170"/>
      <c r="Y30" s="373"/>
      <c r="Z30" s="374"/>
      <c r="AA30" s="374"/>
      <c r="AB30" s="375"/>
      <c r="AC30" s="374"/>
      <c r="AD30" s="374"/>
      <c r="AE30" s="374"/>
      <c r="AF30" s="374"/>
      <c r="AG30" s="181"/>
      <c r="AH30" s="181"/>
      <c r="AI30" s="182"/>
      <c r="AJ30" s="182"/>
      <c r="AK30" s="376"/>
      <c r="AL30" s="182"/>
      <c r="AM30" s="182"/>
      <c r="AN30" s="182"/>
      <c r="AO30" s="376"/>
      <c r="AP30" s="377"/>
      <c r="AQ30" s="185"/>
      <c r="AR30" s="170"/>
      <c r="AT30" s="185"/>
      <c r="AY30" s="182"/>
    </row>
    <row r="31" spans="2:51" x14ac:dyDescent="0.25">
      <c r="B31" s="183"/>
      <c r="C31" s="184"/>
      <c r="D31" s="170"/>
      <c r="E31" s="373"/>
      <c r="F31" s="374"/>
      <c r="G31" s="374"/>
      <c r="H31" s="375"/>
      <c r="I31" s="374"/>
      <c r="J31" s="374"/>
      <c r="K31" s="374"/>
      <c r="L31" s="374"/>
      <c r="M31" s="181"/>
      <c r="N31" s="181"/>
      <c r="O31" s="182"/>
      <c r="P31" s="182"/>
      <c r="Q31" s="376"/>
      <c r="R31" s="182"/>
      <c r="S31" s="182"/>
      <c r="T31" s="182"/>
      <c r="U31" s="376"/>
      <c r="V31" s="377"/>
      <c r="W31" s="185"/>
      <c r="X31" s="170"/>
      <c r="Y31" s="373"/>
      <c r="Z31" s="374"/>
      <c r="AA31" s="374"/>
      <c r="AB31" s="375"/>
      <c r="AC31" s="374"/>
      <c r="AD31" s="374"/>
      <c r="AE31" s="374"/>
      <c r="AF31" s="374"/>
      <c r="AG31" s="181"/>
      <c r="AH31" s="181"/>
      <c r="AI31" s="182"/>
      <c r="AJ31" s="182"/>
      <c r="AK31" s="376"/>
      <c r="AL31" s="182"/>
      <c r="AM31" s="182"/>
      <c r="AN31" s="182"/>
      <c r="AO31" s="376"/>
      <c r="AP31" s="377"/>
      <c r="AQ31" s="185"/>
      <c r="AR31" s="170"/>
      <c r="AT31" s="185"/>
      <c r="AY31" s="182"/>
    </row>
    <row r="32" spans="2:51" x14ac:dyDescent="0.25">
      <c r="B32" s="183"/>
      <c r="C32" s="184"/>
      <c r="D32" s="170"/>
      <c r="E32" s="373"/>
      <c r="F32" s="374"/>
      <c r="G32" s="374"/>
      <c r="H32" s="375"/>
      <c r="I32" s="374"/>
      <c r="J32" s="374"/>
      <c r="K32" s="374"/>
      <c r="L32" s="374"/>
      <c r="M32" s="181"/>
      <c r="N32" s="181"/>
      <c r="O32" s="182"/>
      <c r="P32" s="182"/>
      <c r="Q32" s="376"/>
      <c r="R32" s="182"/>
      <c r="S32" s="182"/>
      <c r="T32" s="182"/>
      <c r="U32" s="376"/>
      <c r="V32" s="377"/>
      <c r="W32" s="185"/>
      <c r="X32" s="170"/>
      <c r="Y32" s="373"/>
      <c r="Z32" s="374"/>
      <c r="AA32" s="374"/>
      <c r="AB32" s="375"/>
      <c r="AC32" s="374"/>
      <c r="AD32" s="374"/>
      <c r="AE32" s="374"/>
      <c r="AF32" s="374"/>
      <c r="AG32" s="181"/>
      <c r="AH32" s="181"/>
      <c r="AI32" s="182"/>
      <c r="AJ32" s="182"/>
      <c r="AK32" s="376"/>
      <c r="AL32" s="182"/>
      <c r="AM32" s="182"/>
      <c r="AN32" s="182"/>
      <c r="AO32" s="376"/>
      <c r="AP32" s="377"/>
      <c r="AQ32" s="185"/>
      <c r="AR32" s="170"/>
      <c r="AT32" s="185"/>
      <c r="AY32" s="182"/>
    </row>
    <row r="33" spans="2:51" x14ac:dyDescent="0.25">
      <c r="B33" s="183"/>
      <c r="C33" s="184"/>
      <c r="D33" s="170"/>
      <c r="E33" s="373"/>
      <c r="F33" s="374"/>
      <c r="G33" s="374"/>
      <c r="H33" s="375"/>
      <c r="I33" s="374"/>
      <c r="J33" s="374"/>
      <c r="K33" s="374"/>
      <c r="L33" s="374"/>
      <c r="M33" s="181"/>
      <c r="N33" s="181"/>
      <c r="O33" s="182"/>
      <c r="P33" s="182"/>
      <c r="Q33" s="376"/>
      <c r="R33" s="182"/>
      <c r="S33" s="182"/>
      <c r="T33" s="182"/>
      <c r="U33" s="376"/>
      <c r="V33" s="377"/>
      <c r="W33" s="185"/>
      <c r="X33" s="170"/>
      <c r="Y33" s="373"/>
      <c r="Z33" s="374"/>
      <c r="AA33" s="374"/>
      <c r="AB33" s="375"/>
      <c r="AC33" s="374"/>
      <c r="AD33" s="374"/>
      <c r="AE33" s="374"/>
      <c r="AF33" s="374"/>
      <c r="AG33" s="181"/>
      <c r="AH33" s="181"/>
      <c r="AI33" s="182"/>
      <c r="AJ33" s="182"/>
      <c r="AK33" s="376"/>
      <c r="AL33" s="182"/>
      <c r="AM33" s="182"/>
      <c r="AN33" s="182"/>
      <c r="AO33" s="376"/>
      <c r="AP33" s="377"/>
      <c r="AQ33" s="185"/>
      <c r="AR33" s="170"/>
      <c r="AT33" s="185"/>
      <c r="AY33" s="182"/>
    </row>
    <row r="34" spans="2:51" x14ac:dyDescent="0.25">
      <c r="B34" s="183"/>
      <c r="C34" s="184"/>
      <c r="D34" s="170"/>
      <c r="E34" s="373"/>
      <c r="F34" s="374"/>
      <c r="G34" s="374"/>
      <c r="H34" s="375"/>
      <c r="I34" s="374"/>
      <c r="J34" s="374"/>
      <c r="K34" s="374"/>
      <c r="L34" s="374"/>
      <c r="M34" s="181"/>
      <c r="N34" s="181"/>
      <c r="O34" s="182"/>
      <c r="P34" s="182"/>
      <c r="Q34" s="376"/>
      <c r="R34" s="182"/>
      <c r="S34" s="182"/>
      <c r="T34" s="182"/>
      <c r="U34" s="376"/>
      <c r="V34" s="377"/>
      <c r="W34" s="185"/>
      <c r="X34" s="170"/>
      <c r="Y34" s="373"/>
      <c r="Z34" s="374"/>
      <c r="AA34" s="374"/>
      <c r="AB34" s="375"/>
      <c r="AC34" s="374"/>
      <c r="AD34" s="374"/>
      <c r="AE34" s="374"/>
      <c r="AF34" s="374"/>
      <c r="AG34" s="181"/>
      <c r="AH34" s="181"/>
      <c r="AI34" s="182"/>
      <c r="AJ34" s="182"/>
      <c r="AK34" s="376"/>
      <c r="AL34" s="182"/>
      <c r="AM34" s="182"/>
      <c r="AN34" s="182"/>
      <c r="AO34" s="376"/>
      <c r="AP34" s="377"/>
      <c r="AQ34" s="185"/>
      <c r="AR34" s="170"/>
      <c r="AT34" s="185"/>
      <c r="AY34" s="182"/>
    </row>
    <row r="35" spans="2:51" x14ac:dyDescent="0.25">
      <c r="B35" s="183"/>
      <c r="C35" s="184"/>
      <c r="D35" s="170"/>
      <c r="E35" s="373"/>
      <c r="F35" s="374"/>
      <c r="G35" s="374"/>
      <c r="H35" s="375"/>
      <c r="I35" s="374"/>
      <c r="J35" s="374"/>
      <c r="K35" s="374"/>
      <c r="L35" s="374"/>
      <c r="M35" s="181"/>
      <c r="N35" s="181"/>
      <c r="O35" s="182"/>
      <c r="P35" s="182"/>
      <c r="Q35" s="376"/>
      <c r="R35" s="182"/>
      <c r="S35" s="182"/>
      <c r="T35" s="182"/>
      <c r="U35" s="376"/>
      <c r="V35" s="377"/>
      <c r="W35" s="185"/>
      <c r="X35" s="170"/>
      <c r="Y35" s="373"/>
      <c r="Z35" s="374"/>
      <c r="AA35" s="374"/>
      <c r="AB35" s="375"/>
      <c r="AC35" s="374"/>
      <c r="AD35" s="374"/>
      <c r="AE35" s="374"/>
      <c r="AF35" s="374"/>
      <c r="AG35" s="181"/>
      <c r="AH35" s="181"/>
      <c r="AI35" s="182"/>
      <c r="AJ35" s="182"/>
      <c r="AK35" s="376"/>
      <c r="AL35" s="182"/>
      <c r="AM35" s="182"/>
      <c r="AN35" s="182"/>
      <c r="AO35" s="376"/>
      <c r="AP35" s="377"/>
      <c r="AQ35" s="185"/>
      <c r="AR35" s="170"/>
      <c r="AT35" s="185"/>
      <c r="AY35" s="182"/>
    </row>
    <row r="36" spans="2:51" x14ac:dyDescent="0.25">
      <c r="B36" s="183"/>
      <c r="C36" s="184"/>
      <c r="D36" s="170"/>
      <c r="E36" s="373"/>
      <c r="F36" s="374"/>
      <c r="G36" s="374"/>
      <c r="H36" s="375"/>
      <c r="I36" s="374"/>
      <c r="J36" s="374"/>
      <c r="K36" s="374"/>
      <c r="L36" s="374"/>
      <c r="M36" s="181"/>
      <c r="N36" s="181"/>
      <c r="O36" s="182"/>
      <c r="P36" s="182"/>
      <c r="Q36" s="376"/>
      <c r="R36" s="182"/>
      <c r="S36" s="182"/>
      <c r="T36" s="182"/>
      <c r="U36" s="376"/>
      <c r="V36" s="377"/>
      <c r="W36" s="185"/>
      <c r="X36" s="170"/>
      <c r="Y36" s="373"/>
      <c r="Z36" s="374"/>
      <c r="AA36" s="374"/>
      <c r="AB36" s="375"/>
      <c r="AC36" s="374"/>
      <c r="AD36" s="374"/>
      <c r="AE36" s="374"/>
      <c r="AF36" s="374"/>
      <c r="AG36" s="181"/>
      <c r="AH36" s="181"/>
      <c r="AI36" s="182"/>
      <c r="AJ36" s="182"/>
      <c r="AK36" s="376"/>
      <c r="AL36" s="182"/>
      <c r="AM36" s="182"/>
      <c r="AN36" s="182"/>
      <c r="AO36" s="376"/>
      <c r="AP36" s="377"/>
      <c r="AQ36" s="185"/>
      <c r="AR36" s="170"/>
      <c r="AT36" s="185"/>
      <c r="AY36" s="182"/>
    </row>
    <row r="37" spans="2:51" x14ac:dyDescent="0.25">
      <c r="B37" s="183"/>
      <c r="C37" s="184"/>
      <c r="D37" s="170"/>
      <c r="E37" s="373"/>
      <c r="F37" s="374"/>
      <c r="G37" s="374"/>
      <c r="H37" s="375"/>
      <c r="I37" s="374"/>
      <c r="J37" s="374"/>
      <c r="K37" s="374"/>
      <c r="L37" s="374"/>
      <c r="M37" s="181"/>
      <c r="N37" s="181"/>
      <c r="O37" s="182"/>
      <c r="P37" s="182"/>
      <c r="Q37" s="376"/>
      <c r="R37" s="182"/>
      <c r="S37" s="182"/>
      <c r="T37" s="182"/>
      <c r="U37" s="376"/>
      <c r="V37" s="377"/>
      <c r="W37" s="185"/>
      <c r="X37" s="170"/>
      <c r="Y37" s="373"/>
      <c r="Z37" s="374"/>
      <c r="AA37" s="374"/>
      <c r="AB37" s="375"/>
      <c r="AC37" s="374"/>
      <c r="AD37" s="374"/>
      <c r="AE37" s="374"/>
      <c r="AF37" s="374"/>
      <c r="AG37" s="181"/>
      <c r="AH37" s="181"/>
      <c r="AI37" s="182"/>
      <c r="AJ37" s="182"/>
      <c r="AK37" s="376"/>
      <c r="AL37" s="182"/>
      <c r="AM37" s="182"/>
      <c r="AN37" s="182"/>
      <c r="AO37" s="376"/>
      <c r="AP37" s="377"/>
      <c r="AQ37" s="185"/>
      <c r="AR37" s="170"/>
      <c r="AT37" s="185"/>
      <c r="AY37" s="182"/>
    </row>
    <row r="38" spans="2:51" x14ac:dyDescent="0.25">
      <c r="B38" s="183"/>
      <c r="C38" s="184"/>
      <c r="D38" s="170"/>
      <c r="E38" s="373"/>
      <c r="F38" s="374"/>
      <c r="G38" s="374"/>
      <c r="H38" s="375"/>
      <c r="I38" s="374"/>
      <c r="J38" s="374"/>
      <c r="K38" s="374"/>
      <c r="L38" s="374"/>
      <c r="M38" s="181"/>
      <c r="N38" s="181"/>
      <c r="O38" s="182"/>
      <c r="P38" s="182"/>
      <c r="Q38" s="376"/>
      <c r="R38" s="182"/>
      <c r="S38" s="182"/>
      <c r="T38" s="182"/>
      <c r="U38" s="376"/>
      <c r="V38" s="377"/>
      <c r="W38" s="185"/>
      <c r="X38" s="170"/>
      <c r="Y38" s="373"/>
      <c r="Z38" s="374"/>
      <c r="AA38" s="374"/>
      <c r="AB38" s="375"/>
      <c r="AC38" s="374"/>
      <c r="AD38" s="374"/>
      <c r="AE38" s="374"/>
      <c r="AF38" s="374"/>
      <c r="AG38" s="181"/>
      <c r="AH38" s="181"/>
      <c r="AI38" s="182"/>
      <c r="AJ38" s="182"/>
      <c r="AK38" s="376"/>
      <c r="AL38" s="182"/>
      <c r="AM38" s="182"/>
      <c r="AN38" s="182"/>
      <c r="AO38" s="376"/>
      <c r="AP38" s="377"/>
      <c r="AQ38" s="185"/>
      <c r="AR38" s="170"/>
      <c r="AT38" s="185"/>
      <c r="AY38" s="182"/>
    </row>
    <row r="39" spans="2:51" x14ac:dyDescent="0.25">
      <c r="B39" s="183"/>
      <c r="C39" s="184"/>
      <c r="D39" s="170"/>
      <c r="E39" s="373"/>
      <c r="F39" s="374"/>
      <c r="G39" s="374"/>
      <c r="H39" s="375"/>
      <c r="I39" s="374"/>
      <c r="J39" s="374"/>
      <c r="K39" s="374"/>
      <c r="L39" s="374"/>
      <c r="M39" s="181"/>
      <c r="N39" s="181"/>
      <c r="O39" s="182"/>
      <c r="P39" s="182"/>
      <c r="Q39" s="376"/>
      <c r="R39" s="182"/>
      <c r="S39" s="182"/>
      <c r="T39" s="182"/>
      <c r="U39" s="376"/>
      <c r="V39" s="377"/>
      <c r="W39" s="185"/>
      <c r="X39" s="170"/>
      <c r="Y39" s="373"/>
      <c r="Z39" s="374"/>
      <c r="AA39" s="374"/>
      <c r="AB39" s="375"/>
      <c r="AC39" s="374"/>
      <c r="AD39" s="374"/>
      <c r="AE39" s="374"/>
      <c r="AF39" s="374"/>
      <c r="AG39" s="181"/>
      <c r="AH39" s="181"/>
      <c r="AI39" s="182"/>
      <c r="AJ39" s="182"/>
      <c r="AK39" s="376"/>
      <c r="AL39" s="182"/>
      <c r="AM39" s="182"/>
      <c r="AN39" s="182"/>
      <c r="AO39" s="376"/>
      <c r="AP39" s="377"/>
      <c r="AQ39" s="185"/>
      <c r="AR39" s="170"/>
      <c r="AT39" s="185"/>
      <c r="AY39" s="182"/>
    </row>
    <row r="40" spans="2:51" x14ac:dyDescent="0.25">
      <c r="B40" s="183"/>
      <c r="C40" s="184"/>
      <c r="D40" s="170"/>
      <c r="E40" s="373"/>
      <c r="F40" s="374"/>
      <c r="G40" s="374"/>
      <c r="H40" s="375"/>
      <c r="I40" s="374"/>
      <c r="J40" s="374"/>
      <c r="K40" s="374"/>
      <c r="L40" s="374"/>
      <c r="M40" s="181"/>
      <c r="N40" s="181"/>
      <c r="O40" s="182"/>
      <c r="P40" s="182"/>
      <c r="Q40" s="376"/>
      <c r="R40" s="182"/>
      <c r="S40" s="182"/>
      <c r="T40" s="182"/>
      <c r="U40" s="376"/>
      <c r="V40" s="377"/>
      <c r="W40" s="185"/>
      <c r="X40" s="170"/>
      <c r="Y40" s="373"/>
      <c r="Z40" s="374"/>
      <c r="AA40" s="374"/>
      <c r="AB40" s="375"/>
      <c r="AC40" s="374"/>
      <c r="AD40" s="374"/>
      <c r="AE40" s="374"/>
      <c r="AF40" s="374"/>
      <c r="AG40" s="181"/>
      <c r="AH40" s="181"/>
      <c r="AI40" s="182"/>
      <c r="AJ40" s="182"/>
      <c r="AK40" s="376"/>
      <c r="AL40" s="182"/>
      <c r="AM40" s="182"/>
      <c r="AN40" s="182"/>
      <c r="AO40" s="376"/>
      <c r="AP40" s="377"/>
      <c r="AQ40" s="185"/>
      <c r="AR40" s="170"/>
      <c r="AT40" s="185"/>
      <c r="AY40" s="182"/>
    </row>
    <row r="41" spans="2:51" x14ac:dyDescent="0.25">
      <c r="B41" s="183"/>
      <c r="C41" s="184"/>
      <c r="D41" s="170"/>
      <c r="E41" s="373"/>
      <c r="F41" s="374"/>
      <c r="G41" s="374"/>
      <c r="H41" s="375"/>
      <c r="I41" s="374"/>
      <c r="J41" s="374"/>
      <c r="K41" s="374"/>
      <c r="L41" s="374"/>
      <c r="M41" s="181"/>
      <c r="N41" s="181"/>
      <c r="O41" s="182"/>
      <c r="P41" s="182"/>
      <c r="Q41" s="376"/>
      <c r="R41" s="182"/>
      <c r="S41" s="182"/>
      <c r="T41" s="182"/>
      <c r="U41" s="376"/>
      <c r="V41" s="377"/>
      <c r="W41" s="185"/>
      <c r="X41" s="170"/>
      <c r="Y41" s="373"/>
      <c r="Z41" s="374"/>
      <c r="AA41" s="374"/>
      <c r="AB41" s="375"/>
      <c r="AC41" s="374"/>
      <c r="AD41" s="374"/>
      <c r="AE41" s="374"/>
      <c r="AF41" s="374"/>
      <c r="AG41" s="181"/>
      <c r="AH41" s="181"/>
      <c r="AI41" s="182"/>
      <c r="AJ41" s="182"/>
      <c r="AK41" s="376"/>
      <c r="AL41" s="182"/>
      <c r="AM41" s="182"/>
      <c r="AN41" s="182"/>
      <c r="AO41" s="376"/>
      <c r="AP41" s="377"/>
      <c r="AQ41" s="185"/>
      <c r="AR41" s="170"/>
      <c r="AT41" s="185"/>
      <c r="AY41" s="182"/>
    </row>
    <row r="42" spans="2:51" x14ac:dyDescent="0.25">
      <c r="B42" s="183"/>
      <c r="C42" s="184"/>
      <c r="D42" s="170"/>
      <c r="E42" s="373"/>
      <c r="F42" s="374"/>
      <c r="G42" s="374"/>
      <c r="H42" s="375"/>
      <c r="I42" s="374"/>
      <c r="J42" s="374"/>
      <c r="K42" s="374"/>
      <c r="L42" s="374"/>
      <c r="M42" s="181"/>
      <c r="N42" s="181"/>
      <c r="O42" s="182"/>
      <c r="P42" s="182"/>
      <c r="Q42" s="376"/>
      <c r="R42" s="182"/>
      <c r="S42" s="182"/>
      <c r="T42" s="182"/>
      <c r="U42" s="376"/>
      <c r="V42" s="377"/>
      <c r="W42" s="185"/>
      <c r="X42" s="170"/>
      <c r="Y42" s="373"/>
      <c r="Z42" s="374"/>
      <c r="AA42" s="374"/>
      <c r="AB42" s="375"/>
      <c r="AC42" s="374"/>
      <c r="AD42" s="374"/>
      <c r="AE42" s="374"/>
      <c r="AF42" s="374"/>
      <c r="AG42" s="181"/>
      <c r="AH42" s="181"/>
      <c r="AI42" s="182"/>
      <c r="AJ42" s="182"/>
      <c r="AK42" s="376"/>
      <c r="AL42" s="182"/>
      <c r="AM42" s="182"/>
      <c r="AN42" s="182"/>
      <c r="AO42" s="376"/>
      <c r="AP42" s="377"/>
      <c r="AQ42" s="185"/>
      <c r="AR42" s="170"/>
      <c r="AT42" s="185"/>
      <c r="AY42" s="182"/>
    </row>
    <row r="43" spans="2:51" x14ac:dyDescent="0.25">
      <c r="B43" s="183"/>
      <c r="C43" s="184"/>
      <c r="D43" s="170"/>
      <c r="E43" s="373"/>
      <c r="F43" s="374"/>
      <c r="G43" s="374"/>
      <c r="H43" s="375"/>
      <c r="I43" s="374"/>
      <c r="J43" s="374"/>
      <c r="K43" s="374"/>
      <c r="L43" s="374"/>
      <c r="M43" s="181"/>
      <c r="N43" s="181"/>
      <c r="O43" s="182"/>
      <c r="P43" s="182"/>
      <c r="Q43" s="376"/>
      <c r="R43" s="182"/>
      <c r="S43" s="182"/>
      <c r="T43" s="182"/>
      <c r="U43" s="376"/>
      <c r="V43" s="377"/>
      <c r="W43" s="185"/>
      <c r="X43" s="170"/>
      <c r="Y43" s="373"/>
      <c r="Z43" s="374"/>
      <c r="AA43" s="374"/>
      <c r="AB43" s="375"/>
      <c r="AC43" s="374"/>
      <c r="AD43" s="374"/>
      <c r="AE43" s="374"/>
      <c r="AF43" s="374"/>
      <c r="AG43" s="181"/>
      <c r="AH43" s="181"/>
      <c r="AI43" s="182"/>
      <c r="AJ43" s="182"/>
      <c r="AK43" s="376"/>
      <c r="AL43" s="182"/>
      <c r="AM43" s="182"/>
      <c r="AN43" s="182"/>
      <c r="AO43" s="376"/>
      <c r="AP43" s="377"/>
      <c r="AQ43" s="185"/>
      <c r="AR43" s="170"/>
      <c r="AT43" s="185"/>
      <c r="AY43" s="182"/>
    </row>
    <row r="44" spans="2:51" x14ac:dyDescent="0.25">
      <c r="B44" s="183"/>
      <c r="C44" s="184"/>
      <c r="D44" s="170"/>
      <c r="E44" s="373"/>
      <c r="F44" s="374"/>
      <c r="G44" s="374"/>
      <c r="H44" s="375"/>
      <c r="I44" s="374"/>
      <c r="J44" s="374"/>
      <c r="K44" s="374"/>
      <c r="L44" s="374"/>
      <c r="M44" s="181"/>
      <c r="N44" s="181"/>
      <c r="O44" s="182"/>
      <c r="P44" s="182"/>
      <c r="Q44" s="376"/>
      <c r="R44" s="182"/>
      <c r="S44" s="182"/>
      <c r="T44" s="182"/>
      <c r="U44" s="376"/>
      <c r="V44" s="377"/>
      <c r="W44" s="185"/>
      <c r="X44" s="170"/>
      <c r="Y44" s="373"/>
      <c r="Z44" s="374"/>
      <c r="AA44" s="374"/>
      <c r="AB44" s="375"/>
      <c r="AC44" s="374"/>
      <c r="AD44" s="374"/>
      <c r="AE44" s="374"/>
      <c r="AF44" s="374"/>
      <c r="AG44" s="181"/>
      <c r="AH44" s="181"/>
      <c r="AI44" s="182"/>
      <c r="AJ44" s="182"/>
      <c r="AK44" s="376"/>
      <c r="AL44" s="182"/>
      <c r="AM44" s="182"/>
      <c r="AN44" s="182"/>
      <c r="AO44" s="376"/>
      <c r="AP44" s="377"/>
      <c r="AQ44" s="185"/>
      <c r="AR44" s="170"/>
      <c r="AT44" s="185"/>
      <c r="AY44" s="182"/>
    </row>
    <row r="45" spans="2:51" x14ac:dyDescent="0.25">
      <c r="B45" s="183"/>
      <c r="C45" s="184"/>
      <c r="D45" s="170"/>
      <c r="E45" s="373"/>
      <c r="F45" s="374"/>
      <c r="G45" s="374"/>
      <c r="H45" s="375"/>
      <c r="I45" s="374"/>
      <c r="J45" s="374"/>
      <c r="K45" s="374"/>
      <c r="L45" s="374"/>
      <c r="M45" s="181"/>
      <c r="N45" s="181"/>
      <c r="O45" s="182"/>
      <c r="P45" s="182"/>
      <c r="Q45" s="376"/>
      <c r="R45" s="182"/>
      <c r="S45" s="182"/>
      <c r="T45" s="182"/>
      <c r="U45" s="376"/>
      <c r="V45" s="377"/>
      <c r="W45" s="185"/>
      <c r="X45" s="170"/>
      <c r="Y45" s="373"/>
      <c r="Z45" s="374"/>
      <c r="AA45" s="374"/>
      <c r="AB45" s="375"/>
      <c r="AC45" s="374"/>
      <c r="AD45" s="374"/>
      <c r="AE45" s="374"/>
      <c r="AF45" s="374"/>
      <c r="AG45" s="181"/>
      <c r="AH45" s="181"/>
      <c r="AI45" s="182"/>
      <c r="AJ45" s="182"/>
      <c r="AK45" s="376"/>
      <c r="AL45" s="182"/>
      <c r="AM45" s="182"/>
      <c r="AN45" s="182"/>
      <c r="AO45" s="376"/>
      <c r="AP45" s="377"/>
      <c r="AQ45" s="185"/>
      <c r="AR45" s="170"/>
      <c r="AT45" s="185"/>
      <c r="AY45" s="182"/>
    </row>
    <row r="46" spans="2:51" x14ac:dyDescent="0.25">
      <c r="B46" s="183"/>
      <c r="C46" s="184"/>
      <c r="D46" s="170"/>
      <c r="E46" s="373"/>
      <c r="F46" s="374"/>
      <c r="G46" s="374"/>
      <c r="H46" s="375"/>
      <c r="I46" s="374"/>
      <c r="J46" s="374"/>
      <c r="K46" s="374"/>
      <c r="L46" s="374"/>
      <c r="M46" s="181"/>
      <c r="N46" s="181"/>
      <c r="O46" s="182"/>
      <c r="P46" s="182"/>
      <c r="Q46" s="376"/>
      <c r="R46" s="182"/>
      <c r="S46" s="182"/>
      <c r="T46" s="182"/>
      <c r="U46" s="376"/>
      <c r="V46" s="377"/>
      <c r="W46" s="185"/>
      <c r="X46" s="170"/>
      <c r="Y46" s="373"/>
      <c r="Z46" s="374"/>
      <c r="AA46" s="374"/>
      <c r="AB46" s="375"/>
      <c r="AC46" s="374"/>
      <c r="AD46" s="374"/>
      <c r="AE46" s="374"/>
      <c r="AF46" s="374"/>
      <c r="AG46" s="181"/>
      <c r="AH46" s="181"/>
      <c r="AI46" s="182"/>
      <c r="AJ46" s="182"/>
      <c r="AK46" s="376"/>
      <c r="AL46" s="182"/>
      <c r="AM46" s="182"/>
      <c r="AN46" s="182"/>
      <c r="AO46" s="376"/>
      <c r="AP46" s="377"/>
      <c r="AQ46" s="185"/>
      <c r="AR46" s="170"/>
      <c r="AT46" s="185"/>
      <c r="AY46" s="182"/>
    </row>
    <row r="47" spans="2:51" x14ac:dyDescent="0.25">
      <c r="B47" s="183"/>
      <c r="C47" s="184"/>
      <c r="D47" s="170"/>
      <c r="E47" s="373"/>
      <c r="F47" s="374"/>
      <c r="G47" s="374"/>
      <c r="H47" s="375"/>
      <c r="I47" s="374"/>
      <c r="J47" s="374"/>
      <c r="K47" s="374"/>
      <c r="L47" s="374"/>
      <c r="M47" s="181"/>
      <c r="N47" s="181"/>
      <c r="O47" s="182"/>
      <c r="P47" s="182"/>
      <c r="Q47" s="376"/>
      <c r="R47" s="182"/>
      <c r="S47" s="182"/>
      <c r="T47" s="182"/>
      <c r="U47" s="376"/>
      <c r="V47" s="377"/>
      <c r="W47" s="185"/>
      <c r="X47" s="170"/>
      <c r="Y47" s="373"/>
      <c r="Z47" s="374"/>
      <c r="AA47" s="374"/>
      <c r="AB47" s="375"/>
      <c r="AC47" s="374"/>
      <c r="AD47" s="374"/>
      <c r="AE47" s="374"/>
      <c r="AF47" s="374"/>
      <c r="AG47" s="181"/>
      <c r="AH47" s="181"/>
      <c r="AI47" s="182"/>
      <c r="AJ47" s="182"/>
      <c r="AK47" s="376"/>
      <c r="AL47" s="182"/>
      <c r="AM47" s="182"/>
      <c r="AN47" s="182"/>
      <c r="AO47" s="376"/>
      <c r="AP47" s="377"/>
      <c r="AQ47" s="185"/>
      <c r="AR47" s="170"/>
      <c r="AT47" s="185"/>
      <c r="AY47" s="182"/>
    </row>
    <row r="48" spans="2:51" x14ac:dyDescent="0.25">
      <c r="B48" s="179"/>
      <c r="C48" s="184"/>
      <c r="D48" s="170"/>
      <c r="E48" s="373"/>
      <c r="F48" s="374"/>
      <c r="G48" s="374"/>
      <c r="H48" s="375"/>
      <c r="I48" s="374"/>
      <c r="J48" s="374"/>
      <c r="K48" s="374"/>
      <c r="L48" s="374"/>
      <c r="M48" s="181"/>
      <c r="N48" s="181"/>
      <c r="O48" s="182"/>
      <c r="P48" s="182"/>
      <c r="Q48" s="376"/>
      <c r="R48" s="182"/>
      <c r="S48" s="182"/>
      <c r="T48" s="182"/>
      <c r="U48" s="376"/>
      <c r="V48" s="377"/>
      <c r="W48" s="185"/>
      <c r="X48" s="170"/>
      <c r="Y48" s="373"/>
      <c r="Z48" s="374"/>
      <c r="AA48" s="374"/>
      <c r="AB48" s="375"/>
      <c r="AC48" s="374"/>
      <c r="AD48" s="374"/>
      <c r="AE48" s="374"/>
      <c r="AF48" s="374"/>
      <c r="AG48" s="181"/>
      <c r="AH48" s="181"/>
      <c r="AI48" s="182"/>
      <c r="AJ48" s="182"/>
      <c r="AK48" s="376"/>
      <c r="AL48" s="182"/>
      <c r="AM48" s="182"/>
      <c r="AN48" s="182"/>
      <c r="AO48" s="376"/>
      <c r="AP48" s="377"/>
      <c r="AQ48" s="185"/>
      <c r="AR48" s="170"/>
      <c r="AT48" s="185"/>
      <c r="AY48" s="182"/>
    </row>
    <row r="49" spans="2:51" x14ac:dyDescent="0.25">
      <c r="B49" s="179"/>
      <c r="C49" s="184"/>
      <c r="D49" s="170"/>
      <c r="E49" s="373"/>
      <c r="F49" s="374"/>
      <c r="G49" s="374"/>
      <c r="H49" s="375"/>
      <c r="I49" s="374"/>
      <c r="J49" s="374"/>
      <c r="K49" s="374"/>
      <c r="L49" s="374"/>
      <c r="M49" s="181"/>
      <c r="N49" s="181"/>
      <c r="O49" s="182"/>
      <c r="P49" s="182"/>
      <c r="Q49" s="376"/>
      <c r="R49" s="182"/>
      <c r="S49" s="182"/>
      <c r="T49" s="182"/>
      <c r="U49" s="376"/>
      <c r="V49" s="377"/>
      <c r="W49" s="185"/>
      <c r="X49" s="170"/>
      <c r="Y49" s="373"/>
      <c r="Z49" s="374"/>
      <c r="AA49" s="374"/>
      <c r="AB49" s="375"/>
      <c r="AC49" s="374"/>
      <c r="AD49" s="374"/>
      <c r="AE49" s="374"/>
      <c r="AF49" s="374"/>
      <c r="AG49" s="181"/>
      <c r="AH49" s="181"/>
      <c r="AI49" s="182"/>
      <c r="AJ49" s="182"/>
      <c r="AK49" s="376"/>
      <c r="AL49" s="182"/>
      <c r="AM49" s="182"/>
      <c r="AN49" s="182"/>
      <c r="AO49" s="376"/>
      <c r="AP49" s="377"/>
      <c r="AQ49" s="185"/>
      <c r="AR49" s="170"/>
      <c r="AT49" s="185"/>
      <c r="AY49" s="182"/>
    </row>
    <row r="50" spans="2:51" x14ac:dyDescent="0.25">
      <c r="B50" s="179"/>
      <c r="C50" s="184"/>
      <c r="D50" s="170"/>
      <c r="E50" s="373"/>
      <c r="F50" s="374"/>
      <c r="G50" s="374"/>
      <c r="H50" s="375"/>
      <c r="I50" s="374"/>
      <c r="J50" s="374"/>
      <c r="K50" s="374"/>
      <c r="L50" s="374"/>
      <c r="M50" s="181"/>
      <c r="N50" s="181"/>
      <c r="O50" s="182"/>
      <c r="P50" s="182"/>
      <c r="Q50" s="376"/>
      <c r="R50" s="182"/>
      <c r="S50" s="182"/>
      <c r="T50" s="182"/>
      <c r="U50" s="376"/>
      <c r="V50" s="377"/>
      <c r="W50" s="185"/>
      <c r="X50" s="170"/>
      <c r="Y50" s="373"/>
      <c r="Z50" s="374"/>
      <c r="AA50" s="374"/>
      <c r="AB50" s="375"/>
      <c r="AC50" s="374"/>
      <c r="AD50" s="374"/>
      <c r="AE50" s="374"/>
      <c r="AF50" s="374"/>
      <c r="AG50" s="181"/>
      <c r="AH50" s="181"/>
      <c r="AI50" s="182"/>
      <c r="AJ50" s="182"/>
      <c r="AK50" s="376"/>
      <c r="AL50" s="182"/>
      <c r="AM50" s="182"/>
      <c r="AN50" s="182"/>
      <c r="AO50" s="376"/>
      <c r="AP50" s="377"/>
      <c r="AQ50" s="185"/>
      <c r="AR50" s="170"/>
      <c r="AT50" s="185"/>
      <c r="AY50" s="182"/>
    </row>
    <row r="51" spans="2:51" x14ac:dyDescent="0.25">
      <c r="B51" s="179"/>
      <c r="C51" s="184"/>
      <c r="D51" s="170"/>
      <c r="E51" s="373"/>
      <c r="F51" s="374"/>
      <c r="G51" s="374"/>
      <c r="H51" s="375"/>
      <c r="I51" s="374"/>
      <c r="J51" s="374"/>
      <c r="K51" s="374"/>
      <c r="L51" s="374"/>
      <c r="M51" s="181"/>
      <c r="N51" s="181"/>
      <c r="O51" s="182"/>
      <c r="P51" s="182"/>
      <c r="Q51" s="376"/>
      <c r="R51" s="182"/>
      <c r="S51" s="182"/>
      <c r="T51" s="182"/>
      <c r="U51" s="376"/>
      <c r="V51" s="377"/>
      <c r="W51" s="185"/>
      <c r="X51" s="170"/>
      <c r="Y51" s="373"/>
      <c r="Z51" s="374"/>
      <c r="AA51" s="374"/>
      <c r="AB51" s="375"/>
      <c r="AC51" s="374"/>
      <c r="AD51" s="374"/>
      <c r="AE51" s="374"/>
      <c r="AF51" s="374"/>
      <c r="AG51" s="181"/>
      <c r="AH51" s="181"/>
      <c r="AI51" s="182"/>
      <c r="AJ51" s="182"/>
      <c r="AK51" s="376"/>
      <c r="AL51" s="182"/>
      <c r="AM51" s="182"/>
      <c r="AN51" s="182"/>
      <c r="AO51" s="376"/>
      <c r="AP51" s="377"/>
      <c r="AQ51" s="185"/>
      <c r="AR51" s="170"/>
      <c r="AT51" s="185"/>
      <c r="AY51" s="182"/>
    </row>
    <row r="52" spans="2:51" x14ac:dyDescent="0.25">
      <c r="B52" s="179"/>
      <c r="C52" s="184"/>
      <c r="D52" s="170"/>
      <c r="E52" s="373"/>
      <c r="F52" s="374"/>
      <c r="G52" s="374"/>
      <c r="H52" s="375"/>
      <c r="I52" s="374"/>
      <c r="J52" s="374"/>
      <c r="K52" s="374"/>
      <c r="L52" s="374"/>
      <c r="M52" s="181"/>
      <c r="N52" s="181"/>
      <c r="O52" s="182"/>
      <c r="P52" s="182"/>
      <c r="Q52" s="376"/>
      <c r="R52" s="182"/>
      <c r="S52" s="182"/>
      <c r="T52" s="182"/>
      <c r="U52" s="376"/>
      <c r="V52" s="377"/>
      <c r="W52" s="185"/>
      <c r="X52" s="170"/>
      <c r="Y52" s="373"/>
      <c r="Z52" s="374"/>
      <c r="AA52" s="374"/>
      <c r="AB52" s="375"/>
      <c r="AC52" s="374"/>
      <c r="AD52" s="374"/>
      <c r="AE52" s="374"/>
      <c r="AF52" s="374"/>
      <c r="AG52" s="181"/>
      <c r="AH52" s="181"/>
      <c r="AI52" s="182"/>
      <c r="AJ52" s="182"/>
      <c r="AK52" s="376"/>
      <c r="AL52" s="182"/>
      <c r="AM52" s="182"/>
      <c r="AN52" s="182"/>
      <c r="AO52" s="376"/>
      <c r="AP52" s="377"/>
      <c r="AQ52" s="185"/>
      <c r="AR52" s="170"/>
      <c r="AT52" s="185"/>
      <c r="AY52" s="182"/>
    </row>
    <row r="53" spans="2:51" x14ac:dyDescent="0.25">
      <c r="B53" s="179"/>
      <c r="C53" s="184"/>
      <c r="D53" s="170"/>
      <c r="E53" s="373"/>
      <c r="F53" s="374"/>
      <c r="G53" s="374"/>
      <c r="H53" s="375"/>
      <c r="I53" s="374"/>
      <c r="J53" s="374"/>
      <c r="K53" s="374"/>
      <c r="L53" s="374"/>
      <c r="M53" s="181"/>
      <c r="N53" s="181"/>
      <c r="O53" s="182"/>
      <c r="P53" s="182"/>
      <c r="Q53" s="376"/>
      <c r="R53" s="182"/>
      <c r="S53" s="182"/>
      <c r="T53" s="182"/>
      <c r="U53" s="376"/>
      <c r="V53" s="377"/>
      <c r="W53" s="185"/>
      <c r="X53" s="170"/>
      <c r="Y53" s="373"/>
      <c r="Z53" s="374"/>
      <c r="AA53" s="374"/>
      <c r="AB53" s="375"/>
      <c r="AC53" s="374"/>
      <c r="AD53" s="374"/>
      <c r="AE53" s="374"/>
      <c r="AF53" s="374"/>
      <c r="AG53" s="181"/>
      <c r="AH53" s="181"/>
      <c r="AI53" s="182"/>
      <c r="AJ53" s="182"/>
      <c r="AK53" s="376"/>
      <c r="AL53" s="182"/>
      <c r="AM53" s="182"/>
      <c r="AN53" s="182"/>
      <c r="AO53" s="376"/>
      <c r="AP53" s="377"/>
      <c r="AQ53" s="185"/>
      <c r="AR53" s="170"/>
      <c r="AT53" s="185"/>
      <c r="AY53" s="182"/>
    </row>
    <row r="54" spans="2:51" x14ac:dyDescent="0.25">
      <c r="B54" s="179"/>
      <c r="C54" s="184"/>
      <c r="D54" s="170"/>
      <c r="E54" s="373"/>
      <c r="F54" s="374"/>
      <c r="G54" s="374"/>
      <c r="H54" s="375"/>
      <c r="I54" s="374"/>
      <c r="J54" s="374"/>
      <c r="K54" s="374"/>
      <c r="L54" s="374"/>
      <c r="M54" s="181"/>
      <c r="N54" s="181"/>
      <c r="O54" s="182"/>
      <c r="P54" s="182"/>
      <c r="Q54" s="376"/>
      <c r="R54" s="182"/>
      <c r="S54" s="182"/>
      <c r="T54" s="182"/>
      <c r="U54" s="376"/>
      <c r="V54" s="377"/>
      <c r="W54" s="185"/>
      <c r="X54" s="170"/>
      <c r="Y54" s="373"/>
      <c r="Z54" s="374"/>
      <c r="AA54" s="374"/>
      <c r="AB54" s="375"/>
      <c r="AC54" s="374"/>
      <c r="AD54" s="374"/>
      <c r="AE54" s="374"/>
      <c r="AF54" s="374"/>
      <c r="AG54" s="181"/>
      <c r="AH54" s="181"/>
      <c r="AI54" s="182"/>
      <c r="AJ54" s="182"/>
      <c r="AK54" s="376"/>
      <c r="AL54" s="182"/>
      <c r="AM54" s="182"/>
      <c r="AN54" s="182"/>
      <c r="AO54" s="376"/>
      <c r="AP54" s="377"/>
      <c r="AQ54" s="185"/>
      <c r="AR54" s="170"/>
      <c r="AT54" s="185"/>
      <c r="AY54" s="182"/>
    </row>
    <row r="55" spans="2:51" x14ac:dyDescent="0.25">
      <c r="B55" s="179"/>
      <c r="C55" s="184"/>
      <c r="D55" s="170"/>
      <c r="E55" s="373"/>
      <c r="F55" s="374"/>
      <c r="G55" s="374"/>
      <c r="H55" s="375"/>
      <c r="I55" s="374"/>
      <c r="J55" s="374"/>
      <c r="K55" s="374"/>
      <c r="L55" s="374"/>
      <c r="M55" s="181"/>
      <c r="N55" s="181"/>
      <c r="O55" s="182"/>
      <c r="P55" s="182"/>
      <c r="Q55" s="376"/>
      <c r="R55" s="182"/>
      <c r="S55" s="182"/>
      <c r="T55" s="182"/>
      <c r="U55" s="376"/>
      <c r="V55" s="377"/>
      <c r="W55" s="185"/>
      <c r="X55" s="170"/>
      <c r="Y55" s="373"/>
      <c r="Z55" s="374"/>
      <c r="AA55" s="374"/>
      <c r="AB55" s="375"/>
      <c r="AC55" s="374"/>
      <c r="AD55" s="374"/>
      <c r="AE55" s="374"/>
      <c r="AF55" s="374"/>
      <c r="AG55" s="181"/>
      <c r="AH55" s="181"/>
      <c r="AI55" s="182"/>
      <c r="AJ55" s="182"/>
      <c r="AK55" s="376"/>
      <c r="AL55" s="182"/>
      <c r="AM55" s="182"/>
      <c r="AN55" s="182"/>
      <c r="AO55" s="376"/>
      <c r="AP55" s="377"/>
      <c r="AQ55" s="185"/>
      <c r="AR55" s="170"/>
      <c r="AT55" s="185"/>
      <c r="AY55" s="182"/>
    </row>
    <row r="56" spans="2:51" x14ac:dyDescent="0.25">
      <c r="B56" s="179"/>
      <c r="C56" s="184"/>
      <c r="D56" s="170"/>
      <c r="E56" s="373"/>
      <c r="F56" s="374"/>
      <c r="G56" s="374"/>
      <c r="H56" s="375"/>
      <c r="I56" s="374"/>
      <c r="J56" s="374"/>
      <c r="K56" s="374"/>
      <c r="L56" s="374"/>
      <c r="M56" s="181"/>
      <c r="N56" s="181"/>
      <c r="O56" s="182"/>
      <c r="P56" s="182"/>
      <c r="Q56" s="376"/>
      <c r="R56" s="182"/>
      <c r="S56" s="182"/>
      <c r="T56" s="182"/>
      <c r="U56" s="376"/>
      <c r="V56" s="377"/>
      <c r="W56" s="185"/>
      <c r="X56" s="170"/>
      <c r="Y56" s="373"/>
      <c r="Z56" s="374"/>
      <c r="AA56" s="374"/>
      <c r="AB56" s="375"/>
      <c r="AC56" s="374"/>
      <c r="AD56" s="374"/>
      <c r="AE56" s="374"/>
      <c r="AF56" s="374"/>
      <c r="AG56" s="181"/>
      <c r="AH56" s="181"/>
      <c r="AI56" s="182"/>
      <c r="AJ56" s="182"/>
      <c r="AK56" s="376"/>
      <c r="AL56" s="182"/>
      <c r="AM56" s="182"/>
      <c r="AN56" s="182"/>
      <c r="AO56" s="376"/>
      <c r="AP56" s="377"/>
      <c r="AQ56" s="185"/>
      <c r="AR56" s="170"/>
      <c r="AT56" s="185"/>
      <c r="AY56" s="182"/>
    </row>
    <row r="57" spans="2:51" x14ac:dyDescent="0.25">
      <c r="B57" s="179"/>
      <c r="C57" s="184"/>
      <c r="D57" s="170"/>
      <c r="E57" s="373"/>
      <c r="F57" s="374"/>
      <c r="G57" s="374"/>
      <c r="H57" s="375"/>
      <c r="I57" s="374"/>
      <c r="J57" s="374"/>
      <c r="K57" s="374"/>
      <c r="L57" s="374"/>
      <c r="M57" s="181"/>
      <c r="N57" s="181"/>
      <c r="O57" s="182"/>
      <c r="P57" s="182"/>
      <c r="Q57" s="376"/>
      <c r="R57" s="182"/>
      <c r="S57" s="182"/>
      <c r="T57" s="182"/>
      <c r="U57" s="376"/>
      <c r="V57" s="377"/>
      <c r="W57" s="185"/>
      <c r="X57" s="170"/>
      <c r="Y57" s="373"/>
      <c r="Z57" s="374"/>
      <c r="AA57" s="374"/>
      <c r="AB57" s="375"/>
      <c r="AC57" s="374"/>
      <c r="AD57" s="374"/>
      <c r="AE57" s="374"/>
      <c r="AF57" s="374"/>
      <c r="AG57" s="181"/>
      <c r="AH57" s="181"/>
      <c r="AI57" s="182"/>
      <c r="AJ57" s="182"/>
      <c r="AK57" s="376"/>
      <c r="AL57" s="182"/>
      <c r="AM57" s="182"/>
      <c r="AN57" s="182"/>
      <c r="AO57" s="376"/>
      <c r="AP57" s="377"/>
      <c r="AQ57" s="185"/>
      <c r="AR57" s="170"/>
      <c r="AT57" s="185"/>
      <c r="AY57" s="182"/>
    </row>
    <row r="58" spans="2:51" x14ac:dyDescent="0.25">
      <c r="B58" s="179"/>
      <c r="C58" s="184"/>
      <c r="D58" s="170"/>
      <c r="E58" s="373"/>
      <c r="F58" s="374"/>
      <c r="G58" s="374"/>
      <c r="H58" s="375"/>
      <c r="I58" s="374"/>
      <c r="J58" s="374"/>
      <c r="K58" s="374"/>
      <c r="L58" s="374"/>
      <c r="M58" s="181"/>
      <c r="N58" s="181"/>
      <c r="O58" s="182"/>
      <c r="P58" s="182"/>
      <c r="Q58" s="376"/>
      <c r="R58" s="182"/>
      <c r="S58" s="182"/>
      <c r="T58" s="182"/>
      <c r="U58" s="376"/>
      <c r="V58" s="377"/>
      <c r="W58" s="185"/>
      <c r="X58" s="170"/>
      <c r="Y58" s="373"/>
      <c r="Z58" s="374"/>
      <c r="AA58" s="374"/>
      <c r="AB58" s="375"/>
      <c r="AC58" s="374"/>
      <c r="AD58" s="374"/>
      <c r="AE58" s="374"/>
      <c r="AF58" s="374"/>
      <c r="AG58" s="181"/>
      <c r="AH58" s="181"/>
      <c r="AI58" s="182"/>
      <c r="AJ58" s="182"/>
      <c r="AK58" s="376"/>
      <c r="AL58" s="182"/>
      <c r="AM58" s="182"/>
      <c r="AN58" s="182"/>
      <c r="AO58" s="376"/>
      <c r="AP58" s="377"/>
      <c r="AQ58" s="185"/>
      <c r="AR58" s="170"/>
      <c r="AT58" s="185"/>
      <c r="AY58" s="182"/>
    </row>
    <row r="59" spans="2:51" x14ac:dyDescent="0.25">
      <c r="B59" s="179"/>
      <c r="C59" s="184"/>
      <c r="D59" s="170"/>
      <c r="E59" s="373"/>
      <c r="F59" s="374"/>
      <c r="G59" s="374"/>
      <c r="H59" s="375"/>
      <c r="I59" s="374"/>
      <c r="J59" s="374"/>
      <c r="K59" s="374"/>
      <c r="L59" s="374"/>
      <c r="M59" s="181"/>
      <c r="N59" s="181"/>
      <c r="O59" s="182"/>
      <c r="P59" s="182"/>
      <c r="Q59" s="376"/>
      <c r="R59" s="182"/>
      <c r="S59" s="182"/>
      <c r="T59" s="182"/>
      <c r="U59" s="376"/>
      <c r="V59" s="377"/>
      <c r="W59" s="185"/>
      <c r="X59" s="170"/>
      <c r="Y59" s="373"/>
      <c r="Z59" s="374"/>
      <c r="AA59" s="374"/>
      <c r="AB59" s="375"/>
      <c r="AC59" s="374"/>
      <c r="AD59" s="374"/>
      <c r="AE59" s="374"/>
      <c r="AF59" s="374"/>
      <c r="AG59" s="181"/>
      <c r="AH59" s="181"/>
      <c r="AI59" s="182"/>
      <c r="AJ59" s="182"/>
      <c r="AK59" s="376"/>
      <c r="AL59" s="182"/>
      <c r="AM59" s="182"/>
      <c r="AN59" s="182"/>
      <c r="AO59" s="376"/>
      <c r="AP59" s="377"/>
      <c r="AQ59" s="185"/>
      <c r="AR59" s="170"/>
      <c r="AT59" s="185"/>
      <c r="AY59" s="182"/>
    </row>
    <row r="60" spans="2:51" x14ac:dyDescent="0.25">
      <c r="B60" s="179"/>
      <c r="C60" s="184"/>
      <c r="D60" s="170"/>
      <c r="E60" s="373"/>
      <c r="F60" s="374"/>
      <c r="G60" s="374"/>
      <c r="H60" s="375"/>
      <c r="I60" s="374"/>
      <c r="J60" s="374"/>
      <c r="K60" s="374"/>
      <c r="L60" s="374"/>
      <c r="M60" s="181"/>
      <c r="N60" s="181"/>
      <c r="O60" s="182"/>
      <c r="P60" s="182"/>
      <c r="Q60" s="376"/>
      <c r="R60" s="182"/>
      <c r="S60" s="182"/>
      <c r="T60" s="182"/>
      <c r="U60" s="376"/>
      <c r="V60" s="377"/>
      <c r="W60" s="185"/>
      <c r="X60" s="170"/>
      <c r="Y60" s="373"/>
      <c r="Z60" s="374"/>
      <c r="AA60" s="374"/>
      <c r="AB60" s="375"/>
      <c r="AC60" s="374"/>
      <c r="AD60" s="374"/>
      <c r="AE60" s="374"/>
      <c r="AF60" s="374"/>
      <c r="AG60" s="181"/>
      <c r="AH60" s="181"/>
      <c r="AI60" s="182"/>
      <c r="AJ60" s="182"/>
      <c r="AK60" s="376"/>
      <c r="AL60" s="182"/>
      <c r="AM60" s="182"/>
      <c r="AN60" s="182"/>
      <c r="AO60" s="376"/>
      <c r="AP60" s="377"/>
      <c r="AQ60" s="185"/>
      <c r="AR60" s="170"/>
      <c r="AT60" s="185"/>
      <c r="AY60" s="182"/>
    </row>
    <row r="61" spans="2:51" x14ac:dyDescent="0.25">
      <c r="B61" s="179"/>
      <c r="C61" s="184"/>
      <c r="D61" s="170"/>
      <c r="E61" s="373"/>
      <c r="F61" s="374"/>
      <c r="G61" s="374"/>
      <c r="H61" s="375"/>
      <c r="I61" s="374"/>
      <c r="J61" s="374"/>
      <c r="K61" s="374"/>
      <c r="L61" s="374"/>
      <c r="M61" s="181"/>
      <c r="N61" s="181"/>
      <c r="O61" s="182"/>
      <c r="P61" s="182"/>
      <c r="Q61" s="376"/>
      <c r="R61" s="182"/>
      <c r="S61" s="182"/>
      <c r="T61" s="182"/>
      <c r="U61" s="376"/>
      <c r="V61" s="377"/>
      <c r="W61" s="185"/>
      <c r="X61" s="170"/>
      <c r="Y61" s="373"/>
      <c r="Z61" s="374"/>
      <c r="AA61" s="374"/>
      <c r="AB61" s="375"/>
      <c r="AC61" s="374"/>
      <c r="AD61" s="374"/>
      <c r="AE61" s="374"/>
      <c r="AF61" s="374"/>
      <c r="AG61" s="181"/>
      <c r="AH61" s="181"/>
      <c r="AI61" s="182"/>
      <c r="AJ61" s="182"/>
      <c r="AK61" s="376"/>
      <c r="AL61" s="182"/>
      <c r="AM61" s="182"/>
      <c r="AN61" s="182"/>
      <c r="AO61" s="376"/>
      <c r="AP61" s="377"/>
      <c r="AQ61" s="185"/>
      <c r="AR61" s="170"/>
      <c r="AT61" s="185"/>
      <c r="AY61" s="182"/>
    </row>
    <row r="62" spans="2:51" x14ac:dyDescent="0.25">
      <c r="B62" s="179"/>
      <c r="C62" s="184"/>
      <c r="D62" s="170"/>
      <c r="E62" s="373"/>
      <c r="F62" s="374"/>
      <c r="G62" s="374"/>
      <c r="H62" s="375"/>
      <c r="I62" s="374"/>
      <c r="J62" s="374"/>
      <c r="K62" s="374"/>
      <c r="L62" s="374"/>
      <c r="M62" s="181"/>
      <c r="N62" s="181"/>
      <c r="O62" s="182"/>
      <c r="P62" s="182"/>
      <c r="Q62" s="376"/>
      <c r="R62" s="182"/>
      <c r="S62" s="182"/>
      <c r="T62" s="182"/>
      <c r="U62" s="376"/>
      <c r="V62" s="377"/>
      <c r="W62" s="185"/>
      <c r="X62" s="170"/>
      <c r="Y62" s="373"/>
      <c r="Z62" s="374"/>
      <c r="AA62" s="374"/>
      <c r="AB62" s="375"/>
      <c r="AC62" s="374"/>
      <c r="AD62" s="374"/>
      <c r="AE62" s="374"/>
      <c r="AF62" s="374"/>
      <c r="AG62" s="181"/>
      <c r="AH62" s="181"/>
      <c r="AI62" s="182"/>
      <c r="AJ62" s="182"/>
      <c r="AK62" s="376"/>
      <c r="AL62" s="182"/>
      <c r="AM62" s="182"/>
      <c r="AN62" s="182"/>
      <c r="AO62" s="376"/>
      <c r="AP62" s="377"/>
      <c r="AQ62" s="185"/>
      <c r="AR62" s="170"/>
      <c r="AT62" s="185"/>
      <c r="AY62" s="182"/>
    </row>
    <row r="63" spans="2:51" x14ac:dyDescent="0.25">
      <c r="B63" s="179"/>
      <c r="C63" s="184"/>
      <c r="D63" s="170"/>
      <c r="E63" s="373"/>
      <c r="F63" s="374"/>
      <c r="G63" s="374"/>
      <c r="H63" s="375"/>
      <c r="I63" s="374"/>
      <c r="J63" s="374"/>
      <c r="K63" s="374"/>
      <c r="L63" s="374"/>
      <c r="M63" s="181"/>
      <c r="N63" s="181"/>
      <c r="O63" s="182"/>
      <c r="P63" s="182"/>
      <c r="Q63" s="376"/>
      <c r="R63" s="182"/>
      <c r="S63" s="182"/>
      <c r="T63" s="182"/>
      <c r="U63" s="376"/>
      <c r="V63" s="377"/>
      <c r="W63" s="185"/>
      <c r="X63" s="170"/>
      <c r="Y63" s="373"/>
      <c r="Z63" s="374"/>
      <c r="AA63" s="374"/>
      <c r="AB63" s="375"/>
      <c r="AC63" s="374"/>
      <c r="AD63" s="374"/>
      <c r="AE63" s="374"/>
      <c r="AF63" s="374"/>
      <c r="AG63" s="181"/>
      <c r="AH63" s="181"/>
      <c r="AI63" s="182"/>
      <c r="AJ63" s="182"/>
      <c r="AK63" s="376"/>
      <c r="AL63" s="182"/>
      <c r="AM63" s="182"/>
      <c r="AN63" s="182"/>
      <c r="AO63" s="376"/>
      <c r="AP63" s="377"/>
      <c r="AQ63" s="185"/>
      <c r="AR63" s="170"/>
      <c r="AT63" s="185"/>
      <c r="AY63" s="182"/>
    </row>
    <row r="64" spans="2:51" x14ac:dyDescent="0.25">
      <c r="B64" s="218"/>
      <c r="C64" s="184"/>
      <c r="D64" s="170"/>
      <c r="E64" s="373"/>
      <c r="F64" s="374"/>
      <c r="G64" s="374"/>
      <c r="H64" s="375"/>
      <c r="I64" s="374"/>
      <c r="J64" s="374"/>
      <c r="K64" s="374"/>
      <c r="L64" s="374"/>
      <c r="M64" s="181"/>
      <c r="N64" s="181"/>
      <c r="O64" s="182"/>
      <c r="P64" s="182"/>
      <c r="Q64" s="376"/>
      <c r="R64" s="182"/>
      <c r="S64" s="182"/>
      <c r="T64" s="182"/>
      <c r="U64" s="376"/>
      <c r="V64" s="377"/>
      <c r="W64" s="185"/>
      <c r="X64" s="170"/>
      <c r="Y64" s="373"/>
      <c r="Z64" s="374"/>
      <c r="AA64" s="374"/>
      <c r="AB64" s="375"/>
      <c r="AC64" s="374"/>
      <c r="AD64" s="374"/>
      <c r="AE64" s="374"/>
      <c r="AF64" s="374"/>
      <c r="AG64" s="181"/>
      <c r="AH64" s="181"/>
      <c r="AI64" s="182"/>
      <c r="AJ64" s="182"/>
      <c r="AK64" s="376"/>
      <c r="AL64" s="182"/>
      <c r="AM64" s="182"/>
      <c r="AN64" s="182"/>
      <c r="AO64" s="376"/>
      <c r="AP64" s="377"/>
      <c r="AQ64" s="185"/>
      <c r="AR64" s="170"/>
      <c r="AT64" s="185"/>
      <c r="AY64" s="182"/>
    </row>
    <row r="65" spans="2:51" x14ac:dyDescent="0.25">
      <c r="B65" s="218"/>
      <c r="C65" s="184"/>
      <c r="D65" s="170"/>
      <c r="E65" s="373"/>
      <c r="F65" s="374"/>
      <c r="G65" s="374"/>
      <c r="H65" s="375"/>
      <c r="I65" s="374"/>
      <c r="J65" s="374"/>
      <c r="K65" s="374"/>
      <c r="L65" s="374"/>
      <c r="M65" s="181"/>
      <c r="N65" s="181"/>
      <c r="O65" s="182"/>
      <c r="P65" s="182"/>
      <c r="Q65" s="376"/>
      <c r="R65" s="182"/>
      <c r="S65" s="182"/>
      <c r="T65" s="182"/>
      <c r="U65" s="376"/>
      <c r="V65" s="377"/>
      <c r="W65" s="185"/>
      <c r="X65" s="170"/>
      <c r="Y65" s="373"/>
      <c r="Z65" s="374"/>
      <c r="AA65" s="374"/>
      <c r="AB65" s="375"/>
      <c r="AC65" s="374"/>
      <c r="AD65" s="374"/>
      <c r="AE65" s="374"/>
      <c r="AF65" s="374"/>
      <c r="AG65" s="181"/>
      <c r="AH65" s="181"/>
      <c r="AI65" s="182"/>
      <c r="AJ65" s="182"/>
      <c r="AK65" s="376"/>
      <c r="AL65" s="182"/>
      <c r="AM65" s="182"/>
      <c r="AN65" s="182"/>
      <c r="AO65" s="376"/>
      <c r="AP65" s="377"/>
      <c r="AQ65" s="185"/>
      <c r="AR65" s="170"/>
      <c r="AT65" s="185"/>
      <c r="AY65" s="182"/>
    </row>
    <row r="66" spans="2:51" x14ac:dyDescent="0.25">
      <c r="B66" s="218"/>
      <c r="C66" s="184"/>
      <c r="D66" s="170"/>
      <c r="E66" s="373"/>
      <c r="F66" s="374"/>
      <c r="G66" s="374"/>
      <c r="H66" s="375"/>
      <c r="I66" s="374"/>
      <c r="J66" s="374"/>
      <c r="K66" s="374"/>
      <c r="L66" s="374"/>
      <c r="M66" s="181"/>
      <c r="N66" s="181"/>
      <c r="O66" s="182"/>
      <c r="P66" s="182"/>
      <c r="Q66" s="376"/>
      <c r="R66" s="182"/>
      <c r="S66" s="182"/>
      <c r="T66" s="182"/>
      <c r="U66" s="376"/>
      <c r="V66" s="377"/>
      <c r="W66" s="185"/>
      <c r="X66" s="170"/>
      <c r="Y66" s="373"/>
      <c r="Z66" s="374"/>
      <c r="AA66" s="374"/>
      <c r="AB66" s="375"/>
      <c r="AC66" s="374"/>
      <c r="AD66" s="374"/>
      <c r="AE66" s="374"/>
      <c r="AF66" s="374"/>
      <c r="AG66" s="181"/>
      <c r="AH66" s="181"/>
      <c r="AI66" s="182"/>
      <c r="AJ66" s="182"/>
      <c r="AK66" s="376"/>
      <c r="AL66" s="182"/>
      <c r="AM66" s="182"/>
      <c r="AN66" s="182"/>
      <c r="AO66" s="376"/>
      <c r="AP66" s="377"/>
      <c r="AQ66" s="185"/>
      <c r="AR66" s="170"/>
      <c r="AT66" s="185"/>
      <c r="AY66" s="182"/>
    </row>
    <row r="67" spans="2:51" x14ac:dyDescent="0.25">
      <c r="B67" s="218"/>
      <c r="C67" s="184"/>
      <c r="D67" s="170"/>
      <c r="E67" s="373"/>
      <c r="F67" s="374"/>
      <c r="G67" s="374"/>
      <c r="H67" s="375"/>
      <c r="I67" s="374"/>
      <c r="J67" s="374"/>
      <c r="K67" s="374"/>
      <c r="L67" s="374"/>
      <c r="M67" s="181"/>
      <c r="N67" s="181"/>
      <c r="O67" s="182"/>
      <c r="P67" s="182"/>
      <c r="Q67" s="376"/>
      <c r="R67" s="182"/>
      <c r="S67" s="182"/>
      <c r="T67" s="182"/>
      <c r="U67" s="376"/>
      <c r="V67" s="377"/>
      <c r="W67" s="185"/>
      <c r="X67" s="170"/>
      <c r="Y67" s="373"/>
      <c r="Z67" s="374"/>
      <c r="AA67" s="374"/>
      <c r="AB67" s="375"/>
      <c r="AC67" s="374"/>
      <c r="AD67" s="374"/>
      <c r="AE67" s="374"/>
      <c r="AF67" s="374"/>
      <c r="AG67" s="181"/>
      <c r="AH67" s="181"/>
      <c r="AI67" s="182"/>
      <c r="AJ67" s="182"/>
      <c r="AK67" s="376"/>
      <c r="AL67" s="182"/>
      <c r="AM67" s="182"/>
      <c r="AN67" s="182"/>
      <c r="AO67" s="376"/>
      <c r="AP67" s="377"/>
      <c r="AQ67" s="185"/>
      <c r="AR67" s="170"/>
      <c r="AT67" s="185"/>
      <c r="AY67" s="182"/>
    </row>
    <row r="68" spans="2:51" x14ac:dyDescent="0.25">
      <c r="B68" s="218"/>
      <c r="C68" s="184"/>
      <c r="D68" s="170"/>
      <c r="E68" s="373"/>
      <c r="F68" s="374"/>
      <c r="G68" s="374"/>
      <c r="H68" s="375"/>
      <c r="I68" s="374"/>
      <c r="J68" s="374"/>
      <c r="K68" s="374"/>
      <c r="L68" s="374"/>
      <c r="M68" s="181"/>
      <c r="N68" s="181"/>
      <c r="O68" s="182"/>
      <c r="P68" s="182"/>
      <c r="Q68" s="376"/>
      <c r="R68" s="182"/>
      <c r="S68" s="182"/>
      <c r="T68" s="182"/>
      <c r="U68" s="376"/>
      <c r="V68" s="377"/>
      <c r="W68" s="185"/>
      <c r="X68" s="170"/>
      <c r="Y68" s="373"/>
      <c r="Z68" s="374"/>
      <c r="AA68" s="374"/>
      <c r="AB68" s="375"/>
      <c r="AC68" s="374"/>
      <c r="AD68" s="374"/>
      <c r="AE68" s="374"/>
      <c r="AF68" s="374"/>
      <c r="AG68" s="181"/>
      <c r="AH68" s="181"/>
      <c r="AI68" s="182"/>
      <c r="AJ68" s="182"/>
      <c r="AK68" s="376"/>
      <c r="AL68" s="182"/>
      <c r="AM68" s="182"/>
      <c r="AN68" s="182"/>
      <c r="AO68" s="376"/>
      <c r="AP68" s="377"/>
      <c r="AQ68" s="185"/>
      <c r="AR68" s="170"/>
      <c r="AT68" s="185"/>
      <c r="AY68" s="182"/>
    </row>
    <row r="69" spans="2:51" x14ac:dyDescent="0.25">
      <c r="B69" s="218"/>
      <c r="C69" s="184"/>
      <c r="D69" s="170"/>
      <c r="E69" s="373"/>
      <c r="F69" s="374"/>
      <c r="G69" s="374"/>
      <c r="H69" s="375"/>
      <c r="I69" s="374"/>
      <c r="J69" s="374"/>
      <c r="K69" s="374"/>
      <c r="L69" s="374"/>
      <c r="M69" s="181"/>
      <c r="N69" s="181"/>
      <c r="O69" s="182"/>
      <c r="P69" s="182"/>
      <c r="Q69" s="376"/>
      <c r="R69" s="182"/>
      <c r="S69" s="182"/>
      <c r="T69" s="182"/>
      <c r="U69" s="376"/>
      <c r="V69" s="377"/>
      <c r="W69" s="185"/>
      <c r="X69" s="170"/>
      <c r="Y69" s="373"/>
      <c r="Z69" s="374"/>
      <c r="AA69" s="374"/>
      <c r="AB69" s="375"/>
      <c r="AC69" s="374"/>
      <c r="AD69" s="374"/>
      <c r="AE69" s="374"/>
      <c r="AF69" s="374"/>
      <c r="AG69" s="181"/>
      <c r="AH69" s="181"/>
      <c r="AI69" s="182"/>
      <c r="AJ69" s="182"/>
      <c r="AK69" s="376"/>
      <c r="AL69" s="182"/>
      <c r="AM69" s="182"/>
      <c r="AN69" s="182"/>
      <c r="AO69" s="376"/>
      <c r="AP69" s="377"/>
      <c r="AQ69" s="185"/>
      <c r="AR69" s="170"/>
      <c r="AT69" s="185"/>
      <c r="AY69" s="182"/>
    </row>
    <row r="70" spans="2:51" x14ac:dyDescent="0.25">
      <c r="B70" s="218"/>
      <c r="C70" s="184"/>
      <c r="D70" s="170"/>
      <c r="E70" s="373"/>
      <c r="F70" s="374"/>
      <c r="G70" s="374"/>
      <c r="H70" s="375"/>
      <c r="I70" s="374"/>
      <c r="J70" s="374"/>
      <c r="K70" s="374"/>
      <c r="L70" s="374"/>
      <c r="M70" s="181"/>
      <c r="N70" s="181"/>
      <c r="O70" s="182"/>
      <c r="P70" s="182"/>
      <c r="Q70" s="376"/>
      <c r="R70" s="182"/>
      <c r="S70" s="182"/>
      <c r="T70" s="182"/>
      <c r="U70" s="376"/>
      <c r="V70" s="377"/>
      <c r="W70" s="185"/>
      <c r="X70" s="170"/>
      <c r="Y70" s="373"/>
      <c r="Z70" s="374"/>
      <c r="AA70" s="374"/>
      <c r="AB70" s="375"/>
      <c r="AC70" s="374"/>
      <c r="AD70" s="374"/>
      <c r="AE70" s="374"/>
      <c r="AF70" s="374"/>
      <c r="AG70" s="181"/>
      <c r="AH70" s="181"/>
      <c r="AI70" s="182"/>
      <c r="AJ70" s="182"/>
      <c r="AK70" s="376"/>
      <c r="AL70" s="182"/>
      <c r="AM70" s="182"/>
      <c r="AN70" s="182"/>
      <c r="AO70" s="376"/>
      <c r="AP70" s="377"/>
      <c r="AQ70" s="185"/>
      <c r="AR70" s="170"/>
      <c r="AT70" s="185"/>
      <c r="AY70" s="182"/>
    </row>
    <row r="71" spans="2:51" x14ac:dyDescent="0.25">
      <c r="B71" s="218"/>
      <c r="C71" s="184"/>
      <c r="D71" s="170"/>
      <c r="E71" s="373"/>
      <c r="F71" s="374"/>
      <c r="G71" s="374"/>
      <c r="H71" s="375"/>
      <c r="I71" s="374"/>
      <c r="J71" s="374"/>
      <c r="K71" s="374"/>
      <c r="L71" s="374"/>
      <c r="M71" s="181"/>
      <c r="N71" s="181"/>
      <c r="O71" s="182"/>
      <c r="P71" s="182"/>
      <c r="Q71" s="376"/>
      <c r="R71" s="182"/>
      <c r="S71" s="182"/>
      <c r="T71" s="182"/>
      <c r="U71" s="376"/>
      <c r="V71" s="377"/>
      <c r="W71" s="185"/>
      <c r="X71" s="170"/>
      <c r="Y71" s="373"/>
      <c r="Z71" s="374"/>
      <c r="AA71" s="374"/>
      <c r="AB71" s="375"/>
      <c r="AC71" s="374"/>
      <c r="AD71" s="374"/>
      <c r="AE71" s="374"/>
      <c r="AF71" s="374"/>
      <c r="AG71" s="181"/>
      <c r="AH71" s="181"/>
      <c r="AI71" s="182"/>
      <c r="AJ71" s="182"/>
      <c r="AK71" s="376"/>
      <c r="AL71" s="182"/>
      <c r="AM71" s="182"/>
      <c r="AN71" s="182"/>
      <c r="AO71" s="376"/>
      <c r="AP71" s="377"/>
      <c r="AQ71" s="185"/>
      <c r="AR71" s="170"/>
      <c r="AT71" s="185"/>
      <c r="AY71" s="182"/>
    </row>
    <row r="72" spans="2:51" x14ac:dyDescent="0.25">
      <c r="B72" s="218"/>
      <c r="C72" s="184"/>
      <c r="D72" s="170"/>
      <c r="E72" s="373"/>
      <c r="F72" s="374"/>
      <c r="G72" s="374"/>
      <c r="H72" s="375"/>
      <c r="I72" s="374"/>
      <c r="J72" s="374"/>
      <c r="K72" s="374"/>
      <c r="L72" s="374"/>
      <c r="M72" s="181"/>
      <c r="N72" s="181"/>
      <c r="O72" s="182"/>
      <c r="P72" s="182"/>
      <c r="Q72" s="376"/>
      <c r="R72" s="182"/>
      <c r="S72" s="182"/>
      <c r="T72" s="182"/>
      <c r="U72" s="376"/>
      <c r="V72" s="377"/>
      <c r="W72" s="185"/>
      <c r="X72" s="170"/>
      <c r="Y72" s="373"/>
      <c r="Z72" s="374"/>
      <c r="AA72" s="374"/>
      <c r="AB72" s="375"/>
      <c r="AC72" s="374"/>
      <c r="AD72" s="374"/>
      <c r="AE72" s="374"/>
      <c r="AF72" s="374"/>
      <c r="AG72" s="181"/>
      <c r="AH72" s="181"/>
      <c r="AI72" s="182"/>
      <c r="AJ72" s="182"/>
      <c r="AK72" s="376"/>
      <c r="AL72" s="182"/>
      <c r="AM72" s="182"/>
      <c r="AN72" s="182"/>
      <c r="AO72" s="376"/>
      <c r="AP72" s="377"/>
      <c r="AQ72" s="185"/>
      <c r="AR72" s="170"/>
      <c r="AT72" s="185"/>
      <c r="AY72" s="182"/>
    </row>
    <row r="73" spans="2:51" x14ac:dyDescent="0.25">
      <c r="B73" s="218"/>
      <c r="C73" s="184"/>
      <c r="D73" s="170"/>
      <c r="E73" s="373"/>
      <c r="F73" s="374"/>
      <c r="G73" s="374"/>
      <c r="H73" s="375"/>
      <c r="I73" s="374"/>
      <c r="J73" s="374"/>
      <c r="K73" s="374"/>
      <c r="L73" s="374"/>
      <c r="M73" s="181"/>
      <c r="N73" s="181"/>
      <c r="O73" s="182"/>
      <c r="P73" s="182"/>
      <c r="Q73" s="376"/>
      <c r="R73" s="182"/>
      <c r="S73" s="182"/>
      <c r="T73" s="182"/>
      <c r="U73" s="376"/>
      <c r="V73" s="377"/>
      <c r="W73" s="185"/>
      <c r="X73" s="170"/>
      <c r="Y73" s="373"/>
      <c r="Z73" s="374"/>
      <c r="AA73" s="374"/>
      <c r="AB73" s="375"/>
      <c r="AC73" s="374"/>
      <c r="AD73" s="374"/>
      <c r="AE73" s="374"/>
      <c r="AF73" s="374"/>
      <c r="AG73" s="181"/>
      <c r="AH73" s="181"/>
      <c r="AI73" s="182"/>
      <c r="AJ73" s="182"/>
      <c r="AK73" s="376"/>
      <c r="AL73" s="182"/>
      <c r="AM73" s="182"/>
      <c r="AN73" s="182"/>
      <c r="AO73" s="376"/>
      <c r="AP73" s="377"/>
      <c r="AQ73" s="185"/>
      <c r="AR73" s="170"/>
      <c r="AT73" s="185"/>
      <c r="AY73" s="182"/>
    </row>
    <row r="74" spans="2:51" x14ac:dyDescent="0.25">
      <c r="B74" s="218"/>
      <c r="C74" s="184"/>
      <c r="D74" s="170"/>
      <c r="E74" s="373"/>
      <c r="F74" s="374"/>
      <c r="G74" s="374"/>
      <c r="H74" s="375"/>
      <c r="I74" s="374"/>
      <c r="J74" s="374"/>
      <c r="K74" s="374"/>
      <c r="L74" s="374"/>
      <c r="M74" s="181"/>
      <c r="N74" s="181"/>
      <c r="O74" s="182"/>
      <c r="P74" s="182"/>
      <c r="Q74" s="376"/>
      <c r="R74" s="182"/>
      <c r="S74" s="182"/>
      <c r="T74" s="182"/>
      <c r="U74" s="376"/>
      <c r="V74" s="377"/>
      <c r="W74" s="185"/>
      <c r="X74" s="170"/>
      <c r="Y74" s="373"/>
      <c r="Z74" s="374"/>
      <c r="AA74" s="374"/>
      <c r="AB74" s="375"/>
      <c r="AC74" s="374"/>
      <c r="AD74" s="374"/>
      <c r="AE74" s="374"/>
      <c r="AF74" s="374"/>
      <c r="AG74" s="181"/>
      <c r="AH74" s="181"/>
      <c r="AI74" s="182"/>
      <c r="AJ74" s="182"/>
      <c r="AK74" s="376"/>
      <c r="AL74" s="182"/>
      <c r="AM74" s="182"/>
      <c r="AN74" s="182"/>
      <c r="AO74" s="376"/>
      <c r="AP74" s="377"/>
      <c r="AQ74" s="185"/>
      <c r="AR74" s="170"/>
      <c r="AT74" s="185"/>
      <c r="AY74" s="182"/>
    </row>
    <row r="75" spans="2:51" x14ac:dyDescent="0.25">
      <c r="B75" s="218"/>
      <c r="C75" s="184"/>
      <c r="D75" s="170"/>
      <c r="E75" s="373"/>
      <c r="F75" s="374"/>
      <c r="G75" s="374"/>
      <c r="H75" s="375"/>
      <c r="I75" s="374"/>
      <c r="J75" s="374"/>
      <c r="K75" s="374"/>
      <c r="L75" s="374"/>
      <c r="M75" s="181"/>
      <c r="N75" s="181"/>
      <c r="O75" s="182"/>
      <c r="P75" s="182"/>
      <c r="Q75" s="376"/>
      <c r="R75" s="182"/>
      <c r="S75" s="182"/>
      <c r="T75" s="182"/>
      <c r="U75" s="376"/>
      <c r="V75" s="377"/>
      <c r="W75" s="185"/>
      <c r="X75" s="170"/>
      <c r="Y75" s="373"/>
      <c r="Z75" s="374"/>
      <c r="AA75" s="374"/>
      <c r="AB75" s="375"/>
      <c r="AC75" s="374"/>
      <c r="AD75" s="374"/>
      <c r="AE75" s="374"/>
      <c r="AF75" s="374"/>
      <c r="AG75" s="181"/>
      <c r="AH75" s="181"/>
      <c r="AI75" s="182"/>
      <c r="AJ75" s="182"/>
      <c r="AK75" s="376"/>
      <c r="AL75" s="182"/>
      <c r="AM75" s="182"/>
      <c r="AN75" s="182"/>
      <c r="AO75" s="376"/>
      <c r="AP75" s="377"/>
      <c r="AQ75" s="185"/>
      <c r="AR75" s="170"/>
      <c r="AT75" s="185"/>
      <c r="AY75" s="182"/>
    </row>
    <row r="76" spans="2:51" x14ac:dyDescent="0.25">
      <c r="B76" s="218"/>
      <c r="C76" s="184"/>
      <c r="D76" s="170"/>
      <c r="E76" s="373"/>
      <c r="F76" s="374"/>
      <c r="G76" s="374"/>
      <c r="H76" s="375"/>
      <c r="I76" s="374"/>
      <c r="J76" s="374"/>
      <c r="K76" s="374"/>
      <c r="L76" s="374"/>
      <c r="M76" s="181"/>
      <c r="N76" s="181"/>
      <c r="O76" s="182"/>
      <c r="P76" s="182"/>
      <c r="Q76" s="376"/>
      <c r="R76" s="182"/>
      <c r="S76" s="182"/>
      <c r="T76" s="182"/>
      <c r="U76" s="376"/>
      <c r="V76" s="377"/>
      <c r="W76" s="185"/>
      <c r="X76" s="170"/>
      <c r="Y76" s="373"/>
      <c r="Z76" s="374"/>
      <c r="AA76" s="374"/>
      <c r="AB76" s="375"/>
      <c r="AC76" s="374"/>
      <c r="AD76" s="374"/>
      <c r="AE76" s="374"/>
      <c r="AF76" s="374"/>
      <c r="AG76" s="181"/>
      <c r="AH76" s="181"/>
      <c r="AI76" s="182"/>
      <c r="AJ76" s="182"/>
      <c r="AK76" s="376"/>
      <c r="AL76" s="182"/>
      <c r="AM76" s="182"/>
      <c r="AN76" s="182"/>
      <c r="AO76" s="376"/>
      <c r="AP76" s="377"/>
      <c r="AQ76" s="185"/>
      <c r="AR76" s="170"/>
      <c r="AT76" s="185"/>
      <c r="AY76" s="182"/>
    </row>
    <row r="77" spans="2:51" x14ac:dyDescent="0.25">
      <c r="B77" s="218"/>
      <c r="C77" s="184"/>
      <c r="D77" s="170"/>
      <c r="E77" s="373"/>
      <c r="F77" s="374"/>
      <c r="G77" s="374"/>
      <c r="H77" s="375"/>
      <c r="I77" s="374"/>
      <c r="J77" s="374"/>
      <c r="K77" s="374"/>
      <c r="L77" s="374"/>
      <c r="M77" s="181"/>
      <c r="N77" s="181"/>
      <c r="O77" s="182"/>
      <c r="P77" s="182"/>
      <c r="Q77" s="376"/>
      <c r="R77" s="182"/>
      <c r="S77" s="182"/>
      <c r="T77" s="182"/>
      <c r="U77" s="376"/>
      <c r="V77" s="377"/>
      <c r="W77" s="185"/>
      <c r="X77" s="170"/>
      <c r="Y77" s="373"/>
      <c r="Z77" s="374"/>
      <c r="AA77" s="374"/>
      <c r="AB77" s="375"/>
      <c r="AC77" s="374"/>
      <c r="AD77" s="374"/>
      <c r="AE77" s="374"/>
      <c r="AF77" s="374"/>
      <c r="AG77" s="181"/>
      <c r="AH77" s="181"/>
      <c r="AI77" s="182"/>
      <c r="AJ77" s="182"/>
      <c r="AK77" s="376"/>
      <c r="AL77" s="182"/>
      <c r="AM77" s="182"/>
      <c r="AN77" s="182"/>
      <c r="AO77" s="376"/>
      <c r="AP77" s="377"/>
      <c r="AQ77" s="185"/>
      <c r="AR77" s="170"/>
      <c r="AT77" s="185"/>
      <c r="AY77" s="182"/>
    </row>
    <row r="78" spans="2:51" x14ac:dyDescent="0.25">
      <c r="B78" s="218"/>
      <c r="C78" s="184"/>
      <c r="D78" s="170"/>
      <c r="E78" s="373"/>
      <c r="F78" s="374"/>
      <c r="G78" s="374"/>
      <c r="H78" s="375"/>
      <c r="I78" s="374"/>
      <c r="J78" s="374"/>
      <c r="K78" s="374"/>
      <c r="L78" s="374"/>
      <c r="M78" s="181"/>
      <c r="N78" s="181"/>
      <c r="O78" s="182"/>
      <c r="P78" s="182"/>
      <c r="Q78" s="376"/>
      <c r="R78" s="182"/>
      <c r="S78" s="182"/>
      <c r="T78" s="182"/>
      <c r="U78" s="376"/>
      <c r="V78" s="377"/>
      <c r="W78" s="185"/>
      <c r="X78" s="170"/>
      <c r="Y78" s="373"/>
      <c r="Z78" s="374"/>
      <c r="AA78" s="374"/>
      <c r="AB78" s="375"/>
      <c r="AC78" s="374"/>
      <c r="AD78" s="374"/>
      <c r="AE78" s="374"/>
      <c r="AF78" s="374"/>
      <c r="AG78" s="181"/>
      <c r="AH78" s="181"/>
      <c r="AI78" s="182"/>
      <c r="AJ78" s="182"/>
      <c r="AK78" s="376"/>
      <c r="AL78" s="182"/>
      <c r="AM78" s="182"/>
      <c r="AN78" s="182"/>
      <c r="AO78" s="376"/>
      <c r="AP78" s="377"/>
      <c r="AQ78" s="185"/>
      <c r="AR78" s="170"/>
      <c r="AT78" s="185"/>
      <c r="AY78" s="182"/>
    </row>
    <row r="79" spans="2:51" x14ac:dyDescent="0.25">
      <c r="B79" s="218"/>
      <c r="C79" s="184"/>
      <c r="D79" s="170"/>
      <c r="E79" s="373"/>
      <c r="F79" s="374"/>
      <c r="G79" s="374"/>
      <c r="H79" s="375"/>
      <c r="I79" s="374"/>
      <c r="J79" s="374"/>
      <c r="K79" s="374"/>
      <c r="L79" s="374"/>
      <c r="M79" s="181"/>
      <c r="N79" s="181"/>
      <c r="O79" s="182"/>
      <c r="P79" s="182"/>
      <c r="Q79" s="376"/>
      <c r="R79" s="182"/>
      <c r="S79" s="182"/>
      <c r="T79" s="182"/>
      <c r="U79" s="376"/>
      <c r="V79" s="377"/>
      <c r="W79" s="185"/>
      <c r="X79" s="170"/>
      <c r="Y79" s="373"/>
      <c r="Z79" s="374"/>
      <c r="AA79" s="374"/>
      <c r="AB79" s="375"/>
      <c r="AC79" s="374"/>
      <c r="AD79" s="374"/>
      <c r="AE79" s="374"/>
      <c r="AF79" s="374"/>
      <c r="AG79" s="181"/>
      <c r="AH79" s="181"/>
      <c r="AI79" s="182"/>
      <c r="AJ79" s="182"/>
      <c r="AK79" s="376"/>
      <c r="AL79" s="182"/>
      <c r="AM79" s="182"/>
      <c r="AN79" s="182"/>
      <c r="AO79" s="376"/>
      <c r="AP79" s="377"/>
      <c r="AQ79" s="185"/>
      <c r="AR79" s="170"/>
      <c r="AT79" s="185"/>
      <c r="AY79" s="182"/>
    </row>
    <row r="80" spans="2:51" x14ac:dyDescent="0.25">
      <c r="B80" s="218"/>
      <c r="C80" s="184"/>
      <c r="D80" s="170"/>
      <c r="E80" s="373"/>
      <c r="F80" s="374"/>
      <c r="G80" s="374"/>
      <c r="H80" s="375"/>
      <c r="I80" s="374"/>
      <c r="J80" s="374"/>
      <c r="K80" s="374"/>
      <c r="L80" s="374"/>
      <c r="M80" s="181"/>
      <c r="N80" s="181"/>
      <c r="O80" s="182"/>
      <c r="P80" s="182"/>
      <c r="Q80" s="376"/>
      <c r="R80" s="182"/>
      <c r="S80" s="182"/>
      <c r="T80" s="182"/>
      <c r="U80" s="376"/>
      <c r="V80" s="377"/>
      <c r="W80" s="185"/>
      <c r="X80" s="170"/>
      <c r="Y80" s="373"/>
      <c r="Z80" s="374"/>
      <c r="AA80" s="374"/>
      <c r="AB80" s="375"/>
      <c r="AC80" s="374"/>
      <c r="AD80" s="374"/>
      <c r="AE80" s="374"/>
      <c r="AF80" s="374"/>
      <c r="AG80" s="181"/>
      <c r="AH80" s="181"/>
      <c r="AI80" s="182"/>
      <c r="AJ80" s="182"/>
      <c r="AK80" s="376"/>
      <c r="AL80" s="182"/>
      <c r="AM80" s="182"/>
      <c r="AN80" s="182"/>
      <c r="AO80" s="376"/>
      <c r="AP80" s="377"/>
      <c r="AQ80" s="185"/>
      <c r="AR80" s="170"/>
      <c r="AT80" s="185"/>
      <c r="AY80" s="182"/>
    </row>
    <row r="81" spans="2:51" x14ac:dyDescent="0.25">
      <c r="B81" s="218"/>
      <c r="C81" s="184"/>
      <c r="D81" s="170"/>
      <c r="E81" s="373"/>
      <c r="F81" s="374"/>
      <c r="G81" s="374"/>
      <c r="H81" s="375"/>
      <c r="I81" s="374"/>
      <c r="J81" s="374"/>
      <c r="K81" s="374"/>
      <c r="L81" s="374"/>
      <c r="M81" s="181"/>
      <c r="N81" s="181"/>
      <c r="O81" s="182"/>
      <c r="P81" s="182"/>
      <c r="Q81" s="376"/>
      <c r="R81" s="182"/>
      <c r="S81" s="182"/>
      <c r="T81" s="182"/>
      <c r="U81" s="376"/>
      <c r="V81" s="377"/>
      <c r="W81" s="185"/>
      <c r="X81" s="170"/>
      <c r="Y81" s="373"/>
      <c r="Z81" s="374"/>
      <c r="AA81" s="374"/>
      <c r="AB81" s="375"/>
      <c r="AC81" s="374"/>
      <c r="AD81" s="374"/>
      <c r="AE81" s="374"/>
      <c r="AF81" s="374"/>
      <c r="AG81" s="181"/>
      <c r="AH81" s="181"/>
      <c r="AI81" s="182"/>
      <c r="AJ81" s="182"/>
      <c r="AK81" s="376"/>
      <c r="AL81" s="182"/>
      <c r="AM81" s="182"/>
      <c r="AN81" s="182"/>
      <c r="AO81" s="376"/>
      <c r="AP81" s="377"/>
      <c r="AQ81" s="185"/>
      <c r="AR81" s="170"/>
      <c r="AT81" s="185"/>
      <c r="AY81" s="182"/>
    </row>
    <row r="82" spans="2:51" x14ac:dyDescent="0.25">
      <c r="B82" s="218"/>
      <c r="C82" s="184"/>
      <c r="D82" s="170"/>
      <c r="E82" s="373"/>
      <c r="F82" s="374"/>
      <c r="G82" s="374"/>
      <c r="H82" s="375"/>
      <c r="I82" s="374"/>
      <c r="J82" s="374"/>
      <c r="K82" s="374"/>
      <c r="L82" s="374"/>
      <c r="M82" s="181"/>
      <c r="N82" s="181"/>
      <c r="O82" s="182"/>
      <c r="P82" s="182"/>
      <c r="Q82" s="376"/>
      <c r="R82" s="182"/>
      <c r="S82" s="182"/>
      <c r="T82" s="182"/>
      <c r="U82" s="376"/>
      <c r="V82" s="377"/>
      <c r="W82" s="185"/>
      <c r="X82" s="170"/>
      <c r="Y82" s="373"/>
      <c r="Z82" s="374"/>
      <c r="AA82" s="374"/>
      <c r="AB82" s="375"/>
      <c r="AC82" s="374"/>
      <c r="AD82" s="374"/>
      <c r="AE82" s="374"/>
      <c r="AF82" s="374"/>
      <c r="AG82" s="181"/>
      <c r="AH82" s="181"/>
      <c r="AI82" s="182"/>
      <c r="AJ82" s="182"/>
      <c r="AK82" s="376"/>
      <c r="AL82" s="182"/>
      <c r="AM82" s="182"/>
      <c r="AN82" s="182"/>
      <c r="AO82" s="376"/>
      <c r="AP82" s="377"/>
      <c r="AQ82" s="185"/>
      <c r="AR82" s="170"/>
      <c r="AT82" s="185"/>
      <c r="AY82" s="182"/>
    </row>
    <row r="83" spans="2:51" x14ac:dyDescent="0.25">
      <c r="B83" s="218"/>
      <c r="C83" s="184"/>
      <c r="D83" s="170"/>
      <c r="E83" s="373"/>
      <c r="F83" s="374"/>
      <c r="G83" s="374"/>
      <c r="H83" s="375"/>
      <c r="I83" s="374"/>
      <c r="J83" s="374"/>
      <c r="K83" s="374"/>
      <c r="L83" s="374"/>
      <c r="M83" s="181"/>
      <c r="N83" s="181"/>
      <c r="O83" s="182"/>
      <c r="P83" s="182"/>
      <c r="Q83" s="376"/>
      <c r="R83" s="182"/>
      <c r="S83" s="182"/>
      <c r="T83" s="182"/>
      <c r="U83" s="376"/>
      <c r="V83" s="377"/>
      <c r="W83" s="185"/>
      <c r="X83" s="170"/>
      <c r="Y83" s="373"/>
      <c r="Z83" s="374"/>
      <c r="AA83" s="374"/>
      <c r="AB83" s="375"/>
      <c r="AC83" s="374"/>
      <c r="AD83" s="374"/>
      <c r="AE83" s="374"/>
      <c r="AF83" s="374"/>
      <c r="AG83" s="181"/>
      <c r="AH83" s="181"/>
      <c r="AI83" s="182"/>
      <c r="AJ83" s="182"/>
      <c r="AK83" s="376"/>
      <c r="AL83" s="182"/>
      <c r="AM83" s="182"/>
      <c r="AN83" s="182"/>
      <c r="AO83" s="376"/>
      <c r="AP83" s="377"/>
      <c r="AQ83" s="185"/>
      <c r="AR83" s="170"/>
      <c r="AT83" s="185"/>
      <c r="AY83" s="182"/>
    </row>
    <row r="84" spans="2:51" x14ac:dyDescent="0.25">
      <c r="B84" s="218"/>
      <c r="C84" s="184"/>
      <c r="D84" s="170"/>
      <c r="E84" s="373"/>
      <c r="F84" s="374"/>
      <c r="G84" s="374"/>
      <c r="H84" s="375"/>
      <c r="I84" s="374"/>
      <c r="J84" s="374"/>
      <c r="K84" s="374"/>
      <c r="L84" s="374"/>
      <c r="M84" s="181"/>
      <c r="N84" s="181"/>
      <c r="O84" s="182"/>
      <c r="P84" s="182"/>
      <c r="Q84" s="376"/>
      <c r="R84" s="182"/>
      <c r="S84" s="182"/>
      <c r="T84" s="182"/>
      <c r="U84" s="376"/>
      <c r="V84" s="377"/>
      <c r="W84" s="185"/>
      <c r="X84" s="170"/>
      <c r="Y84" s="373"/>
      <c r="Z84" s="374"/>
      <c r="AA84" s="374"/>
      <c r="AB84" s="375"/>
      <c r="AC84" s="374"/>
      <c r="AD84" s="374"/>
      <c r="AE84" s="374"/>
      <c r="AF84" s="374"/>
      <c r="AG84" s="181"/>
      <c r="AH84" s="181"/>
      <c r="AI84" s="182"/>
      <c r="AJ84" s="182"/>
      <c r="AK84" s="376"/>
      <c r="AL84" s="182"/>
      <c r="AM84" s="182"/>
      <c r="AN84" s="182"/>
      <c r="AO84" s="376"/>
      <c r="AP84" s="377"/>
      <c r="AQ84" s="185"/>
      <c r="AR84" s="170"/>
      <c r="AT84" s="185"/>
      <c r="AY84" s="182"/>
    </row>
    <row r="85" spans="2:51" x14ac:dyDescent="0.25">
      <c r="B85" s="218"/>
      <c r="C85" s="184"/>
      <c r="D85" s="170"/>
      <c r="E85" s="373"/>
      <c r="F85" s="374"/>
      <c r="G85" s="374"/>
      <c r="H85" s="375"/>
      <c r="I85" s="374"/>
      <c r="J85" s="374"/>
      <c r="K85" s="374"/>
      <c r="L85" s="374"/>
      <c r="M85" s="181"/>
      <c r="N85" s="181"/>
      <c r="O85" s="182"/>
      <c r="P85" s="182"/>
      <c r="Q85" s="376"/>
      <c r="R85" s="182"/>
      <c r="S85" s="182"/>
      <c r="T85" s="182"/>
      <c r="U85" s="376"/>
      <c r="V85" s="377"/>
      <c r="W85" s="185"/>
      <c r="X85" s="170"/>
      <c r="Y85" s="373"/>
      <c r="Z85" s="374"/>
      <c r="AA85" s="374"/>
      <c r="AB85" s="375"/>
      <c r="AC85" s="374"/>
      <c r="AD85" s="374"/>
      <c r="AE85" s="374"/>
      <c r="AF85" s="374"/>
      <c r="AG85" s="181"/>
      <c r="AH85" s="181"/>
      <c r="AI85" s="182"/>
      <c r="AJ85" s="182"/>
      <c r="AK85" s="376"/>
      <c r="AL85" s="182"/>
      <c r="AM85" s="182"/>
      <c r="AN85" s="182"/>
      <c r="AO85" s="376"/>
      <c r="AP85" s="377"/>
      <c r="AQ85" s="185"/>
      <c r="AR85" s="170"/>
      <c r="AT85" s="185"/>
      <c r="AY85" s="182"/>
    </row>
    <row r="86" spans="2:51" x14ac:dyDescent="0.25">
      <c r="B86" s="218"/>
      <c r="C86" s="184"/>
      <c r="D86" s="170"/>
      <c r="E86" s="373"/>
      <c r="F86" s="374"/>
      <c r="G86" s="374"/>
      <c r="H86" s="375"/>
      <c r="I86" s="374"/>
      <c r="J86" s="374"/>
      <c r="K86" s="374"/>
      <c r="L86" s="374"/>
      <c r="M86" s="181"/>
      <c r="N86" s="181"/>
      <c r="O86" s="182"/>
      <c r="P86" s="182"/>
      <c r="Q86" s="376"/>
      <c r="R86" s="182"/>
      <c r="S86" s="182"/>
      <c r="T86" s="182"/>
      <c r="U86" s="376"/>
      <c r="V86" s="377"/>
      <c r="W86" s="185"/>
      <c r="X86" s="170"/>
      <c r="Y86" s="373"/>
      <c r="Z86" s="374"/>
      <c r="AA86" s="374"/>
      <c r="AB86" s="375"/>
      <c r="AC86" s="374"/>
      <c r="AD86" s="374"/>
      <c r="AE86" s="374"/>
      <c r="AF86" s="374"/>
      <c r="AG86" s="181"/>
      <c r="AH86" s="181"/>
      <c r="AI86" s="182"/>
      <c r="AJ86" s="182"/>
      <c r="AK86" s="376"/>
      <c r="AL86" s="182"/>
      <c r="AM86" s="182"/>
      <c r="AN86" s="182"/>
      <c r="AO86" s="376"/>
      <c r="AP86" s="377"/>
      <c r="AQ86" s="185"/>
      <c r="AR86" s="170"/>
      <c r="AT86" s="185"/>
      <c r="AY86" s="182"/>
    </row>
    <row r="87" spans="2:51" x14ac:dyDescent="0.25">
      <c r="B87" s="218"/>
      <c r="C87" s="184"/>
      <c r="D87" s="170"/>
      <c r="E87" s="373"/>
      <c r="F87" s="374"/>
      <c r="G87" s="374"/>
      <c r="H87" s="375"/>
      <c r="I87" s="374"/>
      <c r="J87" s="374"/>
      <c r="K87" s="374"/>
      <c r="L87" s="374"/>
      <c r="M87" s="181"/>
      <c r="N87" s="181"/>
      <c r="O87" s="182"/>
      <c r="P87" s="182"/>
      <c r="Q87" s="376"/>
      <c r="R87" s="182"/>
      <c r="S87" s="182"/>
      <c r="T87" s="182"/>
      <c r="U87" s="376"/>
      <c r="V87" s="377"/>
      <c r="W87" s="185"/>
      <c r="X87" s="170"/>
      <c r="Y87" s="373"/>
      <c r="Z87" s="374"/>
      <c r="AA87" s="374"/>
      <c r="AB87" s="375"/>
      <c r="AC87" s="374"/>
      <c r="AD87" s="374"/>
      <c r="AE87" s="374"/>
      <c r="AF87" s="374"/>
      <c r="AG87" s="181"/>
      <c r="AH87" s="181"/>
      <c r="AI87" s="182"/>
      <c r="AJ87" s="182"/>
      <c r="AK87" s="376"/>
      <c r="AL87" s="182"/>
      <c r="AM87" s="182"/>
      <c r="AN87" s="182"/>
      <c r="AO87" s="376"/>
      <c r="AP87" s="377"/>
      <c r="AQ87" s="185"/>
      <c r="AR87" s="170"/>
      <c r="AT87" s="185"/>
      <c r="AY87" s="182"/>
    </row>
    <row r="88" spans="2:51" x14ac:dyDescent="0.25">
      <c r="B88" s="218"/>
      <c r="C88" s="184"/>
      <c r="D88" s="170"/>
      <c r="E88" s="373"/>
      <c r="F88" s="374"/>
      <c r="G88" s="374"/>
      <c r="H88" s="375"/>
      <c r="I88" s="374"/>
      <c r="J88" s="374"/>
      <c r="K88" s="374"/>
      <c r="L88" s="374"/>
      <c r="M88" s="181"/>
      <c r="N88" s="181"/>
      <c r="O88" s="182"/>
      <c r="P88" s="182"/>
      <c r="Q88" s="376"/>
      <c r="R88" s="182"/>
      <c r="S88" s="182"/>
      <c r="T88" s="182"/>
      <c r="U88" s="376"/>
      <c r="V88" s="377"/>
      <c r="W88" s="185"/>
      <c r="X88" s="170"/>
      <c r="Y88" s="373"/>
      <c r="Z88" s="374"/>
      <c r="AA88" s="374"/>
      <c r="AB88" s="375"/>
      <c r="AC88" s="374"/>
      <c r="AD88" s="374"/>
      <c r="AE88" s="374"/>
      <c r="AF88" s="374"/>
      <c r="AG88" s="181"/>
      <c r="AH88" s="181"/>
      <c r="AI88" s="182"/>
      <c r="AJ88" s="182"/>
      <c r="AK88" s="376"/>
      <c r="AL88" s="182"/>
      <c r="AM88" s="182"/>
      <c r="AN88" s="182"/>
      <c r="AO88" s="376"/>
      <c r="AP88" s="377"/>
      <c r="AQ88" s="185"/>
      <c r="AR88" s="170"/>
      <c r="AT88" s="185"/>
      <c r="AY88" s="182"/>
    </row>
    <row r="89" spans="2:51" x14ac:dyDescent="0.25">
      <c r="B89" s="218"/>
      <c r="C89" s="184"/>
      <c r="D89" s="170"/>
      <c r="E89" s="373"/>
      <c r="F89" s="374"/>
      <c r="G89" s="374"/>
      <c r="H89" s="375"/>
      <c r="I89" s="374"/>
      <c r="J89" s="374"/>
      <c r="K89" s="374"/>
      <c r="L89" s="374"/>
      <c r="M89" s="181"/>
      <c r="N89" s="181"/>
      <c r="O89" s="182"/>
      <c r="P89" s="182"/>
      <c r="Q89" s="376"/>
      <c r="R89" s="182"/>
      <c r="S89" s="182"/>
      <c r="T89" s="182"/>
      <c r="U89" s="376"/>
      <c r="V89" s="377"/>
      <c r="W89" s="185"/>
      <c r="X89" s="170"/>
      <c r="Y89" s="373"/>
      <c r="Z89" s="374"/>
      <c r="AA89" s="374"/>
      <c r="AB89" s="375"/>
      <c r="AC89" s="374"/>
      <c r="AD89" s="374"/>
      <c r="AE89" s="374"/>
      <c r="AF89" s="374"/>
      <c r="AG89" s="181"/>
      <c r="AH89" s="181"/>
      <c r="AI89" s="182"/>
      <c r="AJ89" s="182"/>
      <c r="AK89" s="376"/>
      <c r="AL89" s="182"/>
      <c r="AM89" s="182"/>
      <c r="AN89" s="182"/>
      <c r="AO89" s="376"/>
      <c r="AP89" s="377"/>
      <c r="AQ89" s="185"/>
      <c r="AR89" s="170"/>
      <c r="AT89" s="185"/>
      <c r="AY89" s="182"/>
    </row>
    <row r="90" spans="2:51" x14ac:dyDescent="0.25">
      <c r="B90" s="218"/>
      <c r="C90" s="184"/>
      <c r="D90" s="170"/>
      <c r="E90" s="373"/>
      <c r="F90" s="374"/>
      <c r="G90" s="374"/>
      <c r="H90" s="375"/>
      <c r="I90" s="374"/>
      <c r="J90" s="374"/>
      <c r="K90" s="374"/>
      <c r="L90" s="374"/>
      <c r="M90" s="181"/>
      <c r="N90" s="181"/>
      <c r="O90" s="182"/>
      <c r="P90" s="182"/>
      <c r="Q90" s="376"/>
      <c r="R90" s="182"/>
      <c r="S90" s="182"/>
      <c r="T90" s="182"/>
      <c r="U90" s="376"/>
      <c r="V90" s="377"/>
      <c r="W90" s="185"/>
      <c r="X90" s="170"/>
      <c r="Y90" s="373"/>
      <c r="Z90" s="374"/>
      <c r="AA90" s="374"/>
      <c r="AB90" s="375"/>
      <c r="AC90" s="374"/>
      <c r="AD90" s="374"/>
      <c r="AE90" s="374"/>
      <c r="AF90" s="374"/>
      <c r="AG90" s="181"/>
      <c r="AH90" s="181"/>
      <c r="AI90" s="182"/>
      <c r="AJ90" s="182"/>
      <c r="AK90" s="376"/>
      <c r="AL90" s="182"/>
      <c r="AM90" s="182"/>
      <c r="AN90" s="182"/>
      <c r="AO90" s="376"/>
      <c r="AP90" s="377"/>
      <c r="AQ90" s="185"/>
      <c r="AR90" s="170"/>
      <c r="AT90" s="185"/>
      <c r="AY90" s="182"/>
    </row>
    <row r="91" spans="2:51" x14ac:dyDescent="0.25">
      <c r="B91" s="218"/>
      <c r="C91" s="184"/>
      <c r="D91" s="170"/>
      <c r="E91" s="373"/>
      <c r="F91" s="374"/>
      <c r="G91" s="374"/>
      <c r="H91" s="375"/>
      <c r="I91" s="374"/>
      <c r="J91" s="374"/>
      <c r="K91" s="374"/>
      <c r="L91" s="374"/>
      <c r="M91" s="181"/>
      <c r="N91" s="181"/>
      <c r="O91" s="182"/>
      <c r="P91" s="182"/>
      <c r="Q91" s="376"/>
      <c r="R91" s="182"/>
      <c r="S91" s="182"/>
      <c r="T91" s="182"/>
      <c r="U91" s="376"/>
      <c r="V91" s="377"/>
      <c r="W91" s="185"/>
      <c r="X91" s="170"/>
      <c r="Y91" s="373"/>
      <c r="Z91" s="374"/>
      <c r="AA91" s="374"/>
      <c r="AB91" s="375"/>
      <c r="AC91" s="374"/>
      <c r="AD91" s="374"/>
      <c r="AE91" s="374"/>
      <c r="AF91" s="374"/>
      <c r="AG91" s="181"/>
      <c r="AH91" s="181"/>
      <c r="AI91" s="182"/>
      <c r="AJ91" s="182"/>
      <c r="AK91" s="376"/>
      <c r="AL91" s="182"/>
      <c r="AM91" s="182"/>
      <c r="AN91" s="182"/>
      <c r="AO91" s="376"/>
      <c r="AP91" s="377"/>
      <c r="AQ91" s="185"/>
      <c r="AR91" s="170"/>
      <c r="AT91" s="185"/>
      <c r="AY91" s="182"/>
    </row>
    <row r="92" spans="2:51" x14ac:dyDescent="0.25">
      <c r="B92" s="218"/>
      <c r="C92" s="184"/>
      <c r="D92" s="170"/>
      <c r="E92" s="373"/>
      <c r="F92" s="374"/>
      <c r="G92" s="374"/>
      <c r="H92" s="375"/>
      <c r="I92" s="374"/>
      <c r="J92" s="374"/>
      <c r="K92" s="374"/>
      <c r="L92" s="374"/>
      <c r="M92" s="181"/>
      <c r="N92" s="181"/>
      <c r="O92" s="182"/>
      <c r="P92" s="182"/>
      <c r="Q92" s="376"/>
      <c r="R92" s="182"/>
      <c r="S92" s="182"/>
      <c r="T92" s="182"/>
      <c r="U92" s="376"/>
      <c r="V92" s="377"/>
      <c r="W92" s="185"/>
      <c r="X92" s="170"/>
      <c r="Y92" s="373"/>
      <c r="Z92" s="374"/>
      <c r="AA92" s="374"/>
      <c r="AB92" s="375"/>
      <c r="AC92" s="374"/>
      <c r="AD92" s="374"/>
      <c r="AE92" s="374"/>
      <c r="AF92" s="374"/>
      <c r="AG92" s="181"/>
      <c r="AH92" s="181"/>
      <c r="AI92" s="182"/>
      <c r="AJ92" s="182"/>
      <c r="AK92" s="376"/>
      <c r="AL92" s="182"/>
      <c r="AM92" s="182"/>
      <c r="AN92" s="182"/>
      <c r="AO92" s="376"/>
      <c r="AP92" s="377"/>
      <c r="AQ92" s="185"/>
      <c r="AR92" s="170"/>
      <c r="AT92" s="185"/>
      <c r="AY92" s="182"/>
    </row>
    <row r="93" spans="2:51" x14ac:dyDescent="0.25">
      <c r="B93" s="218"/>
      <c r="C93" s="184"/>
      <c r="D93" s="170"/>
      <c r="E93" s="373"/>
      <c r="F93" s="374"/>
      <c r="G93" s="374"/>
      <c r="H93" s="375"/>
      <c r="I93" s="374"/>
      <c r="J93" s="374"/>
      <c r="K93" s="374"/>
      <c r="L93" s="374"/>
      <c r="M93" s="181"/>
      <c r="N93" s="181"/>
      <c r="O93" s="182"/>
      <c r="P93" s="182"/>
      <c r="Q93" s="376"/>
      <c r="R93" s="182"/>
      <c r="S93" s="182"/>
      <c r="T93" s="182"/>
      <c r="U93" s="376"/>
      <c r="V93" s="377"/>
      <c r="W93" s="185"/>
      <c r="X93" s="170"/>
      <c r="Y93" s="373"/>
      <c r="Z93" s="374"/>
      <c r="AA93" s="374"/>
      <c r="AB93" s="375"/>
      <c r="AC93" s="374"/>
      <c r="AD93" s="374"/>
      <c r="AE93" s="374"/>
      <c r="AF93" s="374"/>
      <c r="AG93" s="181"/>
      <c r="AH93" s="181"/>
      <c r="AI93" s="182"/>
      <c r="AJ93" s="182"/>
      <c r="AK93" s="376"/>
      <c r="AL93" s="182"/>
      <c r="AM93" s="182"/>
      <c r="AN93" s="182"/>
      <c r="AO93" s="376"/>
      <c r="AP93" s="377"/>
      <c r="AQ93" s="185"/>
      <c r="AR93" s="170"/>
      <c r="AT93" s="185"/>
      <c r="AY93" s="182"/>
    </row>
    <row r="94" spans="2:51" x14ac:dyDescent="0.25">
      <c r="B94" s="218"/>
      <c r="C94" s="184"/>
      <c r="D94" s="170"/>
      <c r="E94" s="373"/>
      <c r="F94" s="374"/>
      <c r="G94" s="374"/>
      <c r="H94" s="375"/>
      <c r="I94" s="374"/>
      <c r="J94" s="374"/>
      <c r="K94" s="374"/>
      <c r="L94" s="374"/>
      <c r="M94" s="181"/>
      <c r="N94" s="181"/>
      <c r="O94" s="182"/>
      <c r="P94" s="182"/>
      <c r="Q94" s="376"/>
      <c r="R94" s="182"/>
      <c r="S94" s="182"/>
      <c r="T94" s="182"/>
      <c r="U94" s="376"/>
      <c r="V94" s="377"/>
      <c r="W94" s="185"/>
      <c r="X94" s="170"/>
      <c r="Y94" s="373"/>
      <c r="Z94" s="374"/>
      <c r="AA94" s="374"/>
      <c r="AB94" s="375"/>
      <c r="AC94" s="374"/>
      <c r="AD94" s="374"/>
      <c r="AE94" s="374"/>
      <c r="AF94" s="374"/>
      <c r="AG94" s="181"/>
      <c r="AH94" s="181"/>
      <c r="AI94" s="182"/>
      <c r="AJ94" s="182"/>
      <c r="AK94" s="376"/>
      <c r="AL94" s="182"/>
      <c r="AM94" s="182"/>
      <c r="AN94" s="182"/>
      <c r="AO94" s="376"/>
      <c r="AP94" s="377"/>
      <c r="AQ94" s="185"/>
      <c r="AR94" s="170"/>
      <c r="AT94" s="185"/>
      <c r="AY94" s="182"/>
    </row>
    <row r="95" spans="2:51" x14ac:dyDescent="0.25">
      <c r="B95" s="218"/>
      <c r="C95" s="184"/>
      <c r="D95" s="170"/>
      <c r="E95" s="373"/>
      <c r="F95" s="374"/>
      <c r="G95" s="374"/>
      <c r="H95" s="375"/>
      <c r="I95" s="374"/>
      <c r="J95" s="374"/>
      <c r="K95" s="374"/>
      <c r="L95" s="374"/>
      <c r="M95" s="181"/>
      <c r="N95" s="181"/>
      <c r="O95" s="182"/>
      <c r="P95" s="182"/>
      <c r="Q95" s="376"/>
      <c r="R95" s="182"/>
      <c r="S95" s="182"/>
      <c r="T95" s="182"/>
      <c r="U95" s="376"/>
      <c r="V95" s="377"/>
      <c r="W95" s="185"/>
      <c r="X95" s="170"/>
      <c r="Y95" s="373"/>
      <c r="Z95" s="374"/>
      <c r="AA95" s="374"/>
      <c r="AB95" s="375"/>
      <c r="AC95" s="374"/>
      <c r="AD95" s="374"/>
      <c r="AE95" s="374"/>
      <c r="AF95" s="374"/>
      <c r="AG95" s="181"/>
      <c r="AH95" s="181"/>
      <c r="AI95" s="182"/>
      <c r="AJ95" s="182"/>
      <c r="AK95" s="376"/>
      <c r="AL95" s="182"/>
      <c r="AM95" s="182"/>
      <c r="AN95" s="182"/>
      <c r="AO95" s="376"/>
      <c r="AP95" s="377"/>
      <c r="AQ95" s="185"/>
      <c r="AR95" s="170"/>
      <c r="AT95" s="185"/>
      <c r="AY95" s="182"/>
    </row>
    <row r="96" spans="2:51" x14ac:dyDescent="0.25">
      <c r="B96" s="218"/>
      <c r="C96" s="184"/>
      <c r="D96" s="170"/>
      <c r="E96" s="373"/>
      <c r="F96" s="374"/>
      <c r="G96" s="374"/>
      <c r="H96" s="375"/>
      <c r="I96" s="374"/>
      <c r="J96" s="374"/>
      <c r="K96" s="374"/>
      <c r="L96" s="374"/>
      <c r="M96" s="181"/>
      <c r="N96" s="181"/>
      <c r="O96" s="182"/>
      <c r="P96" s="182"/>
      <c r="Q96" s="376"/>
      <c r="R96" s="182"/>
      <c r="S96" s="182"/>
      <c r="T96" s="182"/>
      <c r="U96" s="376"/>
      <c r="V96" s="377"/>
      <c r="W96" s="185"/>
      <c r="X96" s="170"/>
      <c r="Y96" s="373"/>
      <c r="Z96" s="374"/>
      <c r="AA96" s="374"/>
      <c r="AB96" s="375"/>
      <c r="AC96" s="374"/>
      <c r="AD96" s="374"/>
      <c r="AE96" s="374"/>
      <c r="AF96" s="374"/>
      <c r="AG96" s="181"/>
      <c r="AH96" s="181"/>
      <c r="AI96" s="182"/>
      <c r="AJ96" s="182"/>
      <c r="AK96" s="376"/>
      <c r="AL96" s="182"/>
      <c r="AM96" s="182"/>
      <c r="AN96" s="182"/>
      <c r="AO96" s="376"/>
      <c r="AP96" s="377"/>
      <c r="AQ96" s="185"/>
      <c r="AR96" s="170"/>
      <c r="AT96" s="185"/>
      <c r="AY96" s="182"/>
    </row>
    <row r="97" spans="2:51" x14ac:dyDescent="0.25">
      <c r="B97" s="218"/>
      <c r="C97" s="184"/>
      <c r="D97" s="170"/>
      <c r="E97" s="373"/>
      <c r="F97" s="374"/>
      <c r="G97" s="374"/>
      <c r="H97" s="375"/>
      <c r="I97" s="374"/>
      <c r="J97" s="374"/>
      <c r="K97" s="374"/>
      <c r="L97" s="374"/>
      <c r="M97" s="181"/>
      <c r="N97" s="181"/>
      <c r="O97" s="182"/>
      <c r="P97" s="182"/>
      <c r="Q97" s="376"/>
      <c r="R97" s="182"/>
      <c r="S97" s="182"/>
      <c r="T97" s="182"/>
      <c r="U97" s="376"/>
      <c r="V97" s="377"/>
      <c r="W97" s="185"/>
      <c r="X97" s="170"/>
      <c r="Y97" s="373"/>
      <c r="Z97" s="374"/>
      <c r="AA97" s="374"/>
      <c r="AB97" s="375"/>
      <c r="AC97" s="374"/>
      <c r="AD97" s="374"/>
      <c r="AE97" s="374"/>
      <c r="AF97" s="374"/>
      <c r="AG97" s="181"/>
      <c r="AH97" s="181"/>
      <c r="AI97" s="182"/>
      <c r="AJ97" s="182"/>
      <c r="AK97" s="376"/>
      <c r="AL97" s="182"/>
      <c r="AM97" s="182"/>
      <c r="AN97" s="182"/>
      <c r="AO97" s="376"/>
      <c r="AP97" s="377"/>
      <c r="AQ97" s="185"/>
      <c r="AR97" s="170"/>
      <c r="AT97" s="185"/>
      <c r="AY97" s="182"/>
    </row>
    <row r="98" spans="2:51" x14ac:dyDescent="0.25">
      <c r="B98" s="218"/>
      <c r="C98" s="184"/>
      <c r="D98" s="170"/>
      <c r="E98" s="373"/>
      <c r="F98" s="374"/>
      <c r="G98" s="374"/>
      <c r="H98" s="375"/>
      <c r="I98" s="374"/>
      <c r="J98" s="374"/>
      <c r="K98" s="374"/>
      <c r="L98" s="374"/>
      <c r="M98" s="181"/>
      <c r="N98" s="181"/>
      <c r="O98" s="182"/>
      <c r="P98" s="182"/>
      <c r="Q98" s="376"/>
      <c r="R98" s="182"/>
      <c r="S98" s="182"/>
      <c r="T98" s="182"/>
      <c r="U98" s="376"/>
      <c r="V98" s="377"/>
      <c r="W98" s="185"/>
      <c r="X98" s="170"/>
      <c r="Y98" s="373"/>
      <c r="Z98" s="374"/>
      <c r="AA98" s="374"/>
      <c r="AB98" s="375"/>
      <c r="AC98" s="374"/>
      <c r="AD98" s="374"/>
      <c r="AE98" s="374"/>
      <c r="AF98" s="374"/>
      <c r="AG98" s="181"/>
      <c r="AH98" s="181"/>
      <c r="AI98" s="182"/>
      <c r="AJ98" s="182"/>
      <c r="AK98" s="376"/>
      <c r="AL98" s="182"/>
      <c r="AM98" s="182"/>
      <c r="AN98" s="182"/>
      <c r="AO98" s="376"/>
      <c r="AP98" s="377"/>
      <c r="AQ98" s="185"/>
      <c r="AR98" s="170"/>
      <c r="AT98" s="185"/>
      <c r="AY98" s="182"/>
    </row>
    <row r="99" spans="2:51" x14ac:dyDescent="0.25">
      <c r="B99" s="218"/>
      <c r="C99" s="184"/>
      <c r="D99" s="170"/>
      <c r="E99" s="373"/>
      <c r="F99" s="374"/>
      <c r="G99" s="374"/>
      <c r="H99" s="375"/>
      <c r="I99" s="374"/>
      <c r="J99" s="374"/>
      <c r="K99" s="374"/>
      <c r="L99" s="374"/>
      <c r="M99" s="181"/>
      <c r="N99" s="181"/>
      <c r="O99" s="182"/>
      <c r="P99" s="182"/>
      <c r="Q99" s="376"/>
      <c r="R99" s="182"/>
      <c r="S99" s="182"/>
      <c r="T99" s="182"/>
      <c r="U99" s="376"/>
      <c r="V99" s="377"/>
      <c r="W99" s="185"/>
      <c r="X99" s="170"/>
      <c r="Y99" s="373"/>
      <c r="Z99" s="374"/>
      <c r="AA99" s="374"/>
      <c r="AB99" s="375"/>
      <c r="AC99" s="374"/>
      <c r="AD99" s="374"/>
      <c r="AE99" s="374"/>
      <c r="AF99" s="374"/>
      <c r="AG99" s="181"/>
      <c r="AH99" s="181"/>
      <c r="AI99" s="182"/>
      <c r="AJ99" s="182"/>
      <c r="AK99" s="376"/>
      <c r="AL99" s="182"/>
      <c r="AM99" s="182"/>
      <c r="AN99" s="182"/>
      <c r="AO99" s="376"/>
      <c r="AP99" s="377"/>
      <c r="AQ99" s="185"/>
      <c r="AR99" s="170"/>
      <c r="AT99" s="185"/>
      <c r="AY99" s="182"/>
    </row>
    <row r="100" spans="2:51" x14ac:dyDescent="0.25">
      <c r="B100" s="218"/>
      <c r="C100" s="184"/>
      <c r="D100" s="170"/>
      <c r="E100" s="373"/>
      <c r="F100" s="374"/>
      <c r="G100" s="374"/>
      <c r="H100" s="375"/>
      <c r="I100" s="374"/>
      <c r="J100" s="374"/>
      <c r="K100" s="374"/>
      <c r="L100" s="374"/>
      <c r="M100" s="181"/>
      <c r="N100" s="181"/>
      <c r="O100" s="182"/>
      <c r="P100" s="182"/>
      <c r="Q100" s="376"/>
      <c r="R100" s="182"/>
      <c r="S100" s="182"/>
      <c r="T100" s="182"/>
      <c r="U100" s="376"/>
      <c r="V100" s="377"/>
      <c r="W100" s="185"/>
      <c r="X100" s="170"/>
      <c r="Y100" s="373"/>
      <c r="Z100" s="374"/>
      <c r="AA100" s="374"/>
      <c r="AB100" s="375"/>
      <c r="AC100" s="374"/>
      <c r="AD100" s="374"/>
      <c r="AE100" s="374"/>
      <c r="AF100" s="374"/>
      <c r="AG100" s="181"/>
      <c r="AH100" s="181"/>
      <c r="AI100" s="182"/>
      <c r="AJ100" s="182"/>
      <c r="AK100" s="376"/>
      <c r="AL100" s="182"/>
      <c r="AM100" s="182"/>
      <c r="AN100" s="182"/>
      <c r="AO100" s="376"/>
      <c r="AP100" s="377"/>
      <c r="AQ100" s="185"/>
      <c r="AR100" s="170"/>
      <c r="AT100" s="185"/>
      <c r="AY100" s="182"/>
    </row>
    <row r="101" spans="2:51" x14ac:dyDescent="0.25">
      <c r="B101" s="218"/>
      <c r="C101" s="184"/>
      <c r="D101" s="170"/>
      <c r="E101" s="373"/>
      <c r="F101" s="374"/>
      <c r="G101" s="374"/>
      <c r="H101" s="375"/>
      <c r="I101" s="374"/>
      <c r="J101" s="374"/>
      <c r="K101" s="374"/>
      <c r="L101" s="374"/>
      <c r="M101" s="181"/>
      <c r="N101" s="181"/>
      <c r="O101" s="182"/>
      <c r="P101" s="182"/>
      <c r="Q101" s="376"/>
      <c r="R101" s="182"/>
      <c r="S101" s="182"/>
      <c r="T101" s="182"/>
      <c r="U101" s="376"/>
      <c r="V101" s="377"/>
      <c r="W101" s="185"/>
      <c r="X101" s="170"/>
      <c r="Y101" s="373"/>
      <c r="Z101" s="374"/>
      <c r="AA101" s="374"/>
      <c r="AB101" s="375"/>
      <c r="AC101" s="374"/>
      <c r="AD101" s="374"/>
      <c r="AE101" s="374"/>
      <c r="AF101" s="374"/>
      <c r="AG101" s="181"/>
      <c r="AH101" s="181"/>
      <c r="AI101" s="182"/>
      <c r="AJ101" s="182"/>
      <c r="AK101" s="376"/>
      <c r="AL101" s="182"/>
      <c r="AM101" s="182"/>
      <c r="AN101" s="182"/>
      <c r="AO101" s="376"/>
      <c r="AP101" s="377"/>
      <c r="AQ101" s="185"/>
      <c r="AR101" s="170"/>
      <c r="AT101" s="185"/>
      <c r="AY101" s="182"/>
    </row>
    <row r="102" spans="2:51" x14ac:dyDescent="0.25">
      <c r="B102" s="218"/>
      <c r="C102" s="184"/>
      <c r="D102" s="170"/>
      <c r="E102" s="373"/>
      <c r="F102" s="374"/>
      <c r="G102" s="374"/>
      <c r="H102" s="375"/>
      <c r="I102" s="374"/>
      <c r="J102" s="374"/>
      <c r="K102" s="374"/>
      <c r="L102" s="374"/>
      <c r="M102" s="181"/>
      <c r="N102" s="181"/>
      <c r="O102" s="182"/>
      <c r="P102" s="182"/>
      <c r="Q102" s="376"/>
      <c r="R102" s="182"/>
      <c r="S102" s="182"/>
      <c r="T102" s="182"/>
      <c r="U102" s="376"/>
      <c r="V102" s="377"/>
      <c r="W102" s="185"/>
      <c r="X102" s="170"/>
      <c r="Y102" s="373"/>
      <c r="Z102" s="374"/>
      <c r="AA102" s="374"/>
      <c r="AB102" s="375"/>
      <c r="AC102" s="374"/>
      <c r="AD102" s="374"/>
      <c r="AE102" s="374"/>
      <c r="AF102" s="374"/>
      <c r="AG102" s="181"/>
      <c r="AH102" s="181"/>
      <c r="AI102" s="182"/>
      <c r="AJ102" s="182"/>
      <c r="AK102" s="376"/>
      <c r="AL102" s="182"/>
      <c r="AM102" s="182"/>
      <c r="AN102" s="182"/>
      <c r="AO102" s="376"/>
      <c r="AP102" s="377"/>
      <c r="AQ102" s="185"/>
      <c r="AR102" s="170"/>
      <c r="AT102" s="185"/>
      <c r="AY102" s="182"/>
    </row>
    <row r="103" spans="2:51" x14ac:dyDescent="0.25">
      <c r="B103" s="218"/>
      <c r="C103" s="184"/>
      <c r="D103" s="170"/>
      <c r="E103" s="373"/>
      <c r="F103" s="374"/>
      <c r="G103" s="374"/>
      <c r="H103" s="375"/>
      <c r="I103" s="374"/>
      <c r="J103" s="374"/>
      <c r="K103" s="374"/>
      <c r="L103" s="374"/>
      <c r="M103" s="181"/>
      <c r="N103" s="181"/>
      <c r="O103" s="182"/>
      <c r="P103" s="182"/>
      <c r="Q103" s="376"/>
      <c r="R103" s="182"/>
      <c r="S103" s="182"/>
      <c r="T103" s="182"/>
      <c r="U103" s="376"/>
      <c r="V103" s="377"/>
      <c r="W103" s="185"/>
      <c r="X103" s="170"/>
      <c r="Y103" s="373"/>
      <c r="Z103" s="374"/>
      <c r="AA103" s="374"/>
      <c r="AB103" s="375"/>
      <c r="AC103" s="374"/>
      <c r="AD103" s="374"/>
      <c r="AE103" s="374"/>
      <c r="AF103" s="374"/>
      <c r="AG103" s="181"/>
      <c r="AH103" s="181"/>
      <c r="AI103" s="182"/>
      <c r="AJ103" s="182"/>
      <c r="AK103" s="376"/>
      <c r="AL103" s="182"/>
      <c r="AM103" s="182"/>
      <c r="AN103" s="182"/>
      <c r="AO103" s="376"/>
      <c r="AP103" s="377"/>
      <c r="AQ103" s="185"/>
      <c r="AR103" s="170"/>
      <c r="AT103" s="185"/>
      <c r="AY103" s="182"/>
    </row>
    <row r="104" spans="2:51" x14ac:dyDescent="0.25">
      <c r="B104" s="218"/>
      <c r="C104" s="184"/>
      <c r="D104" s="170"/>
      <c r="E104" s="373"/>
      <c r="F104" s="374"/>
      <c r="G104" s="374"/>
      <c r="H104" s="375"/>
      <c r="I104" s="374"/>
      <c r="J104" s="374"/>
      <c r="K104" s="374"/>
      <c r="L104" s="374"/>
      <c r="M104" s="181"/>
      <c r="N104" s="181"/>
      <c r="O104" s="182"/>
      <c r="P104" s="182"/>
      <c r="Q104" s="376"/>
      <c r="R104" s="182"/>
      <c r="S104" s="182"/>
      <c r="T104" s="182"/>
      <c r="U104" s="376"/>
      <c r="V104" s="377"/>
      <c r="W104" s="185"/>
      <c r="X104" s="170"/>
      <c r="Y104" s="373"/>
      <c r="Z104" s="374"/>
      <c r="AA104" s="374"/>
      <c r="AB104" s="375"/>
      <c r="AC104" s="374"/>
      <c r="AD104" s="374"/>
      <c r="AE104" s="374"/>
      <c r="AF104" s="374"/>
      <c r="AG104" s="181"/>
      <c r="AH104" s="181"/>
      <c r="AI104" s="182"/>
      <c r="AJ104" s="182"/>
      <c r="AK104" s="376"/>
      <c r="AL104" s="182"/>
      <c r="AM104" s="182"/>
      <c r="AN104" s="182"/>
      <c r="AO104" s="376"/>
      <c r="AP104" s="377"/>
      <c r="AQ104" s="185"/>
      <c r="AR104" s="170"/>
      <c r="AT104" s="185"/>
      <c r="AY104" s="182"/>
    </row>
    <row r="105" spans="2:51" x14ac:dyDescent="0.25">
      <c r="B105" s="218"/>
      <c r="C105" s="184"/>
      <c r="D105" s="170"/>
      <c r="E105" s="373"/>
      <c r="F105" s="374"/>
      <c r="G105" s="374"/>
      <c r="H105" s="375"/>
      <c r="I105" s="374"/>
      <c r="J105" s="374"/>
      <c r="K105" s="374"/>
      <c r="L105" s="374"/>
      <c r="M105" s="181"/>
      <c r="N105" s="181"/>
      <c r="O105" s="182"/>
      <c r="P105" s="182"/>
      <c r="Q105" s="376"/>
      <c r="R105" s="182"/>
      <c r="S105" s="182"/>
      <c r="T105" s="182"/>
      <c r="U105" s="376"/>
      <c r="V105" s="377"/>
      <c r="W105" s="185"/>
      <c r="X105" s="170"/>
      <c r="Y105" s="373"/>
      <c r="Z105" s="374"/>
      <c r="AA105" s="374"/>
      <c r="AB105" s="375"/>
      <c r="AC105" s="374"/>
      <c r="AD105" s="374"/>
      <c r="AE105" s="374"/>
      <c r="AF105" s="374"/>
      <c r="AG105" s="181"/>
      <c r="AH105" s="181"/>
      <c r="AI105" s="182"/>
      <c r="AJ105" s="182"/>
      <c r="AK105" s="376"/>
      <c r="AL105" s="182"/>
      <c r="AM105" s="182"/>
      <c r="AN105" s="182"/>
      <c r="AO105" s="376"/>
      <c r="AP105" s="377"/>
      <c r="AQ105" s="185"/>
      <c r="AR105" s="170"/>
      <c r="AT105" s="185"/>
      <c r="AY105" s="182"/>
    </row>
    <row r="106" spans="2:51" x14ac:dyDescent="0.25">
      <c r="B106" s="218"/>
      <c r="C106" s="184"/>
      <c r="D106" s="170"/>
      <c r="E106" s="373"/>
      <c r="F106" s="374"/>
      <c r="G106" s="374"/>
      <c r="H106" s="375"/>
      <c r="I106" s="374"/>
      <c r="J106" s="374"/>
      <c r="K106" s="374"/>
      <c r="L106" s="374"/>
      <c r="M106" s="181"/>
      <c r="N106" s="181"/>
      <c r="O106" s="182"/>
      <c r="P106" s="182"/>
      <c r="Q106" s="376"/>
      <c r="R106" s="182"/>
      <c r="S106" s="182"/>
      <c r="T106" s="182"/>
      <c r="U106" s="376"/>
      <c r="V106" s="377"/>
      <c r="W106" s="185"/>
      <c r="X106" s="170"/>
      <c r="Y106" s="373"/>
      <c r="Z106" s="374"/>
      <c r="AA106" s="374"/>
      <c r="AB106" s="375"/>
      <c r="AC106" s="374"/>
      <c r="AD106" s="374"/>
      <c r="AE106" s="374"/>
      <c r="AF106" s="374"/>
      <c r="AG106" s="181"/>
      <c r="AH106" s="181"/>
      <c r="AI106" s="182"/>
      <c r="AJ106" s="182"/>
      <c r="AK106" s="376"/>
      <c r="AL106" s="182"/>
      <c r="AM106" s="182"/>
      <c r="AN106" s="182"/>
      <c r="AO106" s="376"/>
      <c r="AP106" s="377"/>
      <c r="AQ106" s="185"/>
      <c r="AR106" s="170"/>
      <c r="AT106" s="185"/>
      <c r="AY106" s="182"/>
    </row>
    <row r="107" spans="2:51" x14ac:dyDescent="0.25">
      <c r="B107" s="218"/>
      <c r="C107" s="184"/>
      <c r="D107" s="170"/>
      <c r="E107" s="373"/>
      <c r="F107" s="374"/>
      <c r="G107" s="374"/>
      <c r="H107" s="375"/>
      <c r="I107" s="374"/>
      <c r="J107" s="374"/>
      <c r="K107" s="374"/>
      <c r="L107" s="374"/>
      <c r="M107" s="181"/>
      <c r="N107" s="181"/>
      <c r="O107" s="182"/>
      <c r="P107" s="182"/>
      <c r="Q107" s="376"/>
      <c r="R107" s="182"/>
      <c r="S107" s="182"/>
      <c r="T107" s="182"/>
      <c r="U107" s="376"/>
      <c r="V107" s="377"/>
      <c r="W107" s="185"/>
      <c r="X107" s="170"/>
      <c r="Y107" s="373"/>
      <c r="Z107" s="374"/>
      <c r="AA107" s="374"/>
      <c r="AB107" s="375"/>
      <c r="AC107" s="374"/>
      <c r="AD107" s="374"/>
      <c r="AE107" s="374"/>
      <c r="AF107" s="374"/>
      <c r="AG107" s="181"/>
      <c r="AH107" s="181"/>
      <c r="AI107" s="182"/>
      <c r="AJ107" s="182"/>
      <c r="AK107" s="376"/>
      <c r="AL107" s="182"/>
      <c r="AM107" s="182"/>
      <c r="AN107" s="182"/>
      <c r="AO107" s="376"/>
      <c r="AP107" s="377"/>
      <c r="AQ107" s="185"/>
      <c r="AR107" s="170"/>
      <c r="AT107" s="185"/>
      <c r="AY107" s="182"/>
    </row>
    <row r="108" spans="2:51" x14ac:dyDescent="0.25">
      <c r="B108" s="218"/>
      <c r="C108" s="184"/>
      <c r="D108" s="170"/>
      <c r="E108" s="373"/>
      <c r="F108" s="374"/>
      <c r="G108" s="374"/>
      <c r="H108" s="375"/>
      <c r="I108" s="374"/>
      <c r="J108" s="374"/>
      <c r="K108" s="374"/>
      <c r="L108" s="374"/>
      <c r="M108" s="181"/>
      <c r="N108" s="181"/>
      <c r="O108" s="182"/>
      <c r="P108" s="182"/>
      <c r="Q108" s="376"/>
      <c r="R108" s="182"/>
      <c r="S108" s="182"/>
      <c r="T108" s="182"/>
      <c r="U108" s="376"/>
      <c r="V108" s="377"/>
      <c r="W108" s="185"/>
      <c r="X108" s="170"/>
      <c r="Y108" s="373"/>
      <c r="Z108" s="374"/>
      <c r="AA108" s="374"/>
      <c r="AB108" s="375"/>
      <c r="AC108" s="374"/>
      <c r="AD108" s="374"/>
      <c r="AE108" s="374"/>
      <c r="AF108" s="374"/>
      <c r="AG108" s="181"/>
      <c r="AH108" s="181"/>
      <c r="AI108" s="182"/>
      <c r="AJ108" s="182"/>
      <c r="AK108" s="376"/>
      <c r="AL108" s="182"/>
      <c r="AM108" s="182"/>
      <c r="AN108" s="182"/>
      <c r="AO108" s="376"/>
      <c r="AP108" s="377"/>
      <c r="AQ108" s="185"/>
      <c r="AR108" s="170"/>
      <c r="AT108" s="185"/>
      <c r="AY108" s="182"/>
    </row>
    <row r="109" spans="2:51" x14ac:dyDescent="0.25">
      <c r="B109" s="218"/>
      <c r="C109" s="184"/>
      <c r="D109" s="170"/>
      <c r="E109" s="373"/>
      <c r="F109" s="374"/>
      <c r="G109" s="374"/>
      <c r="H109" s="375"/>
      <c r="I109" s="374"/>
      <c r="J109" s="374"/>
      <c r="K109" s="374"/>
      <c r="L109" s="374"/>
      <c r="M109" s="181"/>
      <c r="N109" s="181"/>
      <c r="O109" s="182"/>
      <c r="P109" s="182"/>
      <c r="Q109" s="376"/>
      <c r="R109" s="182"/>
      <c r="S109" s="182"/>
      <c r="T109" s="182"/>
      <c r="U109" s="376"/>
      <c r="V109" s="377"/>
      <c r="W109" s="185"/>
      <c r="X109" s="170"/>
      <c r="Y109" s="373"/>
      <c r="Z109" s="374"/>
      <c r="AA109" s="374"/>
      <c r="AB109" s="375"/>
      <c r="AC109" s="374"/>
      <c r="AD109" s="374"/>
      <c r="AE109" s="374"/>
      <c r="AF109" s="374"/>
      <c r="AG109" s="181"/>
      <c r="AH109" s="181"/>
      <c r="AI109" s="182"/>
      <c r="AJ109" s="182"/>
      <c r="AK109" s="376"/>
      <c r="AL109" s="182"/>
      <c r="AM109" s="182"/>
      <c r="AN109" s="182"/>
      <c r="AO109" s="376"/>
      <c r="AP109" s="377"/>
      <c r="AQ109" s="185"/>
      <c r="AR109" s="170"/>
      <c r="AT109" s="185"/>
      <c r="AY109" s="182"/>
    </row>
    <row r="110" spans="2:51" x14ac:dyDescent="0.25">
      <c r="B110" s="218"/>
      <c r="C110" s="184"/>
      <c r="D110" s="170"/>
      <c r="E110" s="373"/>
      <c r="F110" s="374"/>
      <c r="G110" s="374"/>
      <c r="H110" s="375"/>
      <c r="I110" s="374"/>
      <c r="J110" s="374"/>
      <c r="K110" s="374"/>
      <c r="L110" s="374"/>
      <c r="M110" s="181"/>
      <c r="N110" s="181"/>
      <c r="O110" s="182"/>
      <c r="P110" s="182"/>
      <c r="Q110" s="376"/>
      <c r="R110" s="182"/>
      <c r="S110" s="182"/>
      <c r="T110" s="182"/>
      <c r="U110" s="376"/>
      <c r="V110" s="377"/>
      <c r="W110" s="185"/>
      <c r="X110" s="170"/>
      <c r="Y110" s="373"/>
      <c r="Z110" s="374"/>
      <c r="AA110" s="374"/>
      <c r="AB110" s="375"/>
      <c r="AC110" s="374"/>
      <c r="AD110" s="374"/>
      <c r="AE110" s="374"/>
      <c r="AF110" s="374"/>
      <c r="AG110" s="181"/>
      <c r="AH110" s="181"/>
      <c r="AI110" s="182"/>
      <c r="AJ110" s="182"/>
      <c r="AK110" s="376"/>
      <c r="AL110" s="182"/>
      <c r="AM110" s="182"/>
      <c r="AN110" s="182"/>
      <c r="AO110" s="376"/>
      <c r="AP110" s="377"/>
      <c r="AQ110" s="185"/>
      <c r="AR110" s="170"/>
      <c r="AT110" s="185"/>
      <c r="AY110" s="182"/>
    </row>
    <row r="111" spans="2:51" x14ac:dyDescent="0.25">
      <c r="B111" s="218"/>
      <c r="C111" s="184"/>
      <c r="D111" s="170"/>
      <c r="E111" s="373"/>
      <c r="F111" s="374"/>
      <c r="G111" s="374"/>
      <c r="H111" s="375"/>
      <c r="I111" s="374"/>
      <c r="J111" s="374"/>
      <c r="K111" s="374"/>
      <c r="L111" s="374"/>
      <c r="M111" s="181"/>
      <c r="N111" s="181"/>
      <c r="O111" s="182"/>
      <c r="P111" s="182"/>
      <c r="Q111" s="376"/>
      <c r="R111" s="182"/>
      <c r="S111" s="182"/>
      <c r="T111" s="182"/>
      <c r="U111" s="376"/>
      <c r="V111" s="377"/>
      <c r="W111" s="185"/>
      <c r="X111" s="170"/>
      <c r="Y111" s="373"/>
      <c r="Z111" s="374"/>
      <c r="AA111" s="374"/>
      <c r="AB111" s="375"/>
      <c r="AC111" s="374"/>
      <c r="AD111" s="374"/>
      <c r="AE111" s="374"/>
      <c r="AF111" s="374"/>
      <c r="AG111" s="181"/>
      <c r="AH111" s="181"/>
      <c r="AI111" s="182"/>
      <c r="AJ111" s="182"/>
      <c r="AK111" s="376"/>
      <c r="AL111" s="182"/>
      <c r="AM111" s="182"/>
      <c r="AN111" s="182"/>
      <c r="AO111" s="376"/>
      <c r="AP111" s="377"/>
      <c r="AQ111" s="185"/>
      <c r="AR111" s="170"/>
      <c r="AT111" s="185"/>
      <c r="AY111" s="182"/>
    </row>
    <row r="112" spans="2:51" x14ac:dyDescent="0.25">
      <c r="B112" s="218"/>
      <c r="C112" s="184"/>
      <c r="D112" s="170"/>
      <c r="E112" s="373"/>
      <c r="F112" s="374"/>
      <c r="G112" s="374"/>
      <c r="H112" s="375"/>
      <c r="I112" s="374"/>
      <c r="J112" s="374"/>
      <c r="K112" s="374"/>
      <c r="L112" s="374"/>
      <c r="M112" s="181"/>
      <c r="N112" s="181"/>
      <c r="O112" s="182"/>
      <c r="P112" s="182"/>
      <c r="Q112" s="376"/>
      <c r="R112" s="182"/>
      <c r="S112" s="182"/>
      <c r="T112" s="182"/>
      <c r="U112" s="376"/>
      <c r="V112" s="377"/>
      <c r="W112" s="185"/>
      <c r="X112" s="170"/>
      <c r="Y112" s="373"/>
      <c r="Z112" s="374"/>
      <c r="AA112" s="374"/>
      <c r="AB112" s="375"/>
      <c r="AC112" s="374"/>
      <c r="AD112" s="374"/>
      <c r="AE112" s="374"/>
      <c r="AF112" s="374"/>
      <c r="AG112" s="181"/>
      <c r="AH112" s="181"/>
      <c r="AI112" s="182"/>
      <c r="AJ112" s="182"/>
      <c r="AK112" s="376"/>
      <c r="AL112" s="182"/>
      <c r="AM112" s="182"/>
      <c r="AN112" s="182"/>
      <c r="AO112" s="376"/>
      <c r="AP112" s="377"/>
      <c r="AQ112" s="185"/>
      <c r="AR112" s="170"/>
      <c r="AT112" s="185"/>
      <c r="AY112" s="182"/>
    </row>
    <row r="113" spans="2:51" x14ac:dyDescent="0.25">
      <c r="B113" s="218"/>
      <c r="C113" s="184"/>
      <c r="D113" s="170"/>
      <c r="E113" s="373"/>
      <c r="F113" s="374"/>
      <c r="G113" s="374"/>
      <c r="H113" s="375"/>
      <c r="I113" s="374"/>
      <c r="J113" s="374"/>
      <c r="K113" s="374"/>
      <c r="L113" s="374"/>
      <c r="M113" s="181"/>
      <c r="N113" s="181"/>
      <c r="O113" s="182"/>
      <c r="P113" s="182"/>
      <c r="Q113" s="376"/>
      <c r="R113" s="182"/>
      <c r="S113" s="182"/>
      <c r="T113" s="182"/>
      <c r="U113" s="376"/>
      <c r="V113" s="377"/>
      <c r="W113" s="185"/>
      <c r="X113" s="170"/>
      <c r="Y113" s="373"/>
      <c r="Z113" s="374"/>
      <c r="AA113" s="374"/>
      <c r="AB113" s="375"/>
      <c r="AC113" s="374"/>
      <c r="AD113" s="374"/>
      <c r="AE113" s="374"/>
      <c r="AF113" s="374"/>
      <c r="AG113" s="181"/>
      <c r="AH113" s="181"/>
      <c r="AI113" s="182"/>
      <c r="AJ113" s="182"/>
      <c r="AK113" s="376"/>
      <c r="AL113" s="182"/>
      <c r="AM113" s="182"/>
      <c r="AN113" s="182"/>
      <c r="AO113" s="376"/>
      <c r="AP113" s="377"/>
      <c r="AQ113" s="185"/>
      <c r="AR113" s="170"/>
      <c r="AT113" s="185"/>
      <c r="AY113" s="182"/>
    </row>
    <row r="114" spans="2:51" x14ac:dyDescent="0.25">
      <c r="B114" s="218"/>
      <c r="C114" s="184"/>
      <c r="D114" s="170"/>
      <c r="E114" s="373"/>
      <c r="F114" s="374"/>
      <c r="G114" s="374"/>
      <c r="H114" s="375"/>
      <c r="I114" s="374"/>
      <c r="J114" s="374"/>
      <c r="K114" s="374"/>
      <c r="L114" s="374"/>
      <c r="M114" s="181"/>
      <c r="N114" s="181"/>
      <c r="O114" s="182"/>
      <c r="P114" s="182"/>
      <c r="Q114" s="376"/>
      <c r="R114" s="182"/>
      <c r="S114" s="182"/>
      <c r="T114" s="182"/>
      <c r="U114" s="376"/>
      <c r="V114" s="377"/>
      <c r="W114" s="185"/>
      <c r="X114" s="170"/>
      <c r="Y114" s="373"/>
      <c r="Z114" s="374"/>
      <c r="AA114" s="374"/>
      <c r="AB114" s="375"/>
      <c r="AC114" s="374"/>
      <c r="AD114" s="374"/>
      <c r="AE114" s="374"/>
      <c r="AF114" s="374"/>
      <c r="AG114" s="181"/>
      <c r="AH114" s="181"/>
      <c r="AI114" s="182"/>
      <c r="AJ114" s="182"/>
      <c r="AK114" s="376"/>
      <c r="AL114" s="182"/>
      <c r="AM114" s="182"/>
      <c r="AN114" s="182"/>
      <c r="AO114" s="376"/>
      <c r="AP114" s="377"/>
      <c r="AQ114" s="185"/>
      <c r="AR114" s="170"/>
      <c r="AT114" s="185"/>
      <c r="AY114" s="182"/>
    </row>
    <row r="115" spans="2:51" x14ac:dyDescent="0.25">
      <c r="B115" s="218"/>
      <c r="C115" s="184"/>
      <c r="D115" s="170"/>
      <c r="E115" s="373"/>
      <c r="F115" s="374"/>
      <c r="G115" s="374"/>
      <c r="H115" s="375"/>
      <c r="I115" s="374"/>
      <c r="J115" s="374"/>
      <c r="K115" s="374"/>
      <c r="L115" s="374"/>
      <c r="M115" s="181"/>
      <c r="N115" s="181"/>
      <c r="O115" s="182"/>
      <c r="P115" s="182"/>
      <c r="Q115" s="376"/>
      <c r="R115" s="182"/>
      <c r="S115" s="182"/>
      <c r="T115" s="182"/>
      <c r="U115" s="376"/>
      <c r="V115" s="377"/>
      <c r="W115" s="185"/>
      <c r="X115" s="170"/>
      <c r="Y115" s="373"/>
      <c r="Z115" s="374"/>
      <c r="AA115" s="374"/>
      <c r="AB115" s="375"/>
      <c r="AC115" s="374"/>
      <c r="AD115" s="374"/>
      <c r="AE115" s="374"/>
      <c r="AF115" s="374"/>
      <c r="AG115" s="181"/>
      <c r="AH115" s="181"/>
      <c r="AI115" s="182"/>
      <c r="AJ115" s="182"/>
      <c r="AK115" s="376"/>
      <c r="AL115" s="182"/>
      <c r="AM115" s="182"/>
      <c r="AN115" s="182"/>
      <c r="AO115" s="376"/>
      <c r="AP115" s="377"/>
      <c r="AQ115" s="185"/>
      <c r="AR115" s="170"/>
      <c r="AT115" s="185"/>
      <c r="AY115" s="182"/>
    </row>
    <row r="116" spans="2:51" x14ac:dyDescent="0.25">
      <c r="B116" s="218"/>
      <c r="C116" s="184"/>
      <c r="D116" s="170"/>
      <c r="E116" s="373"/>
      <c r="F116" s="374"/>
      <c r="G116" s="374"/>
      <c r="H116" s="375"/>
      <c r="I116" s="374"/>
      <c r="J116" s="374"/>
      <c r="K116" s="374"/>
      <c r="L116" s="374"/>
      <c r="M116" s="181"/>
      <c r="N116" s="181"/>
      <c r="O116" s="182"/>
      <c r="P116" s="182"/>
      <c r="Q116" s="376"/>
      <c r="R116" s="182"/>
      <c r="S116" s="182"/>
      <c r="T116" s="182"/>
      <c r="U116" s="376"/>
      <c r="V116" s="377"/>
      <c r="W116" s="185"/>
      <c r="X116" s="170"/>
      <c r="Y116" s="373"/>
      <c r="Z116" s="374"/>
      <c r="AA116" s="374"/>
      <c r="AB116" s="375"/>
      <c r="AC116" s="374"/>
      <c r="AD116" s="374"/>
      <c r="AE116" s="374"/>
      <c r="AF116" s="374"/>
      <c r="AG116" s="181"/>
      <c r="AH116" s="181"/>
      <c r="AI116" s="182"/>
      <c r="AJ116" s="182"/>
      <c r="AK116" s="376"/>
      <c r="AL116" s="182"/>
      <c r="AM116" s="182"/>
      <c r="AN116" s="182"/>
      <c r="AO116" s="376"/>
      <c r="AP116" s="377"/>
      <c r="AQ116" s="185"/>
      <c r="AR116" s="170"/>
      <c r="AT116" s="185"/>
      <c r="AY116" s="182"/>
    </row>
    <row r="117" spans="2:51" x14ac:dyDescent="0.25">
      <c r="B117" s="218"/>
      <c r="C117" s="184"/>
      <c r="D117" s="170"/>
      <c r="E117" s="373"/>
      <c r="F117" s="374"/>
      <c r="G117" s="374"/>
      <c r="H117" s="375"/>
      <c r="I117" s="374"/>
      <c r="J117" s="374"/>
      <c r="K117" s="374"/>
      <c r="L117" s="374"/>
      <c r="M117" s="181"/>
      <c r="N117" s="181"/>
      <c r="O117" s="182"/>
      <c r="P117" s="182"/>
      <c r="Q117" s="376"/>
      <c r="R117" s="182"/>
      <c r="S117" s="182"/>
      <c r="T117" s="182"/>
      <c r="U117" s="376"/>
      <c r="V117" s="377"/>
      <c r="W117" s="185"/>
      <c r="X117" s="170"/>
      <c r="Y117" s="373"/>
      <c r="Z117" s="374"/>
      <c r="AA117" s="374"/>
      <c r="AB117" s="375"/>
      <c r="AC117" s="374"/>
      <c r="AD117" s="374"/>
      <c r="AE117" s="374"/>
      <c r="AF117" s="374"/>
      <c r="AG117" s="181"/>
      <c r="AH117" s="181"/>
      <c r="AI117" s="182"/>
      <c r="AJ117" s="182"/>
      <c r="AK117" s="376"/>
      <c r="AL117" s="182"/>
      <c r="AM117" s="182"/>
      <c r="AN117" s="182"/>
      <c r="AO117" s="376"/>
      <c r="AP117" s="377"/>
      <c r="AQ117" s="185"/>
      <c r="AR117" s="170"/>
      <c r="AT117" s="185"/>
      <c r="AY117" s="182"/>
    </row>
    <row r="118" spans="2:51" x14ac:dyDescent="0.25">
      <c r="B118" s="218"/>
      <c r="C118" s="184"/>
      <c r="D118" s="170"/>
      <c r="E118" s="373"/>
      <c r="F118" s="374"/>
      <c r="G118" s="374"/>
      <c r="H118" s="375"/>
      <c r="I118" s="374"/>
      <c r="J118" s="374"/>
      <c r="K118" s="374"/>
      <c r="L118" s="374"/>
      <c r="M118" s="181"/>
      <c r="N118" s="181"/>
      <c r="O118" s="182"/>
      <c r="P118" s="182"/>
      <c r="Q118" s="376"/>
      <c r="R118" s="182"/>
      <c r="S118" s="182"/>
      <c r="T118" s="182"/>
      <c r="U118" s="376"/>
      <c r="V118" s="377"/>
      <c r="W118" s="185"/>
      <c r="X118" s="170"/>
      <c r="Y118" s="373"/>
      <c r="Z118" s="374"/>
      <c r="AA118" s="374"/>
      <c r="AB118" s="375"/>
      <c r="AC118" s="374"/>
      <c r="AD118" s="374"/>
      <c r="AE118" s="374"/>
      <c r="AF118" s="374"/>
      <c r="AG118" s="181"/>
      <c r="AH118" s="181"/>
      <c r="AI118" s="182"/>
      <c r="AJ118" s="182"/>
      <c r="AK118" s="376"/>
      <c r="AL118" s="182"/>
      <c r="AM118" s="182"/>
      <c r="AN118" s="182"/>
      <c r="AO118" s="376"/>
      <c r="AP118" s="377"/>
      <c r="AQ118" s="185"/>
      <c r="AR118" s="170"/>
      <c r="AT118" s="185"/>
      <c r="AY118" s="182"/>
    </row>
    <row r="119" spans="2:51" x14ac:dyDescent="0.25">
      <c r="B119" s="218"/>
      <c r="C119" s="184"/>
      <c r="D119" s="170"/>
      <c r="E119" s="373"/>
      <c r="F119" s="374"/>
      <c r="G119" s="374"/>
      <c r="H119" s="375"/>
      <c r="I119" s="374"/>
      <c r="J119" s="374"/>
      <c r="K119" s="374"/>
      <c r="L119" s="374"/>
      <c r="M119" s="181"/>
      <c r="N119" s="181"/>
      <c r="O119" s="182"/>
      <c r="P119" s="182"/>
      <c r="Q119" s="376"/>
      <c r="R119" s="182"/>
      <c r="S119" s="182"/>
      <c r="T119" s="182"/>
      <c r="U119" s="376"/>
      <c r="V119" s="377"/>
      <c r="W119" s="185"/>
      <c r="X119" s="170"/>
      <c r="Y119" s="373"/>
      <c r="Z119" s="374"/>
      <c r="AA119" s="374"/>
      <c r="AB119" s="375"/>
      <c r="AC119" s="374"/>
      <c r="AD119" s="374"/>
      <c r="AE119" s="374"/>
      <c r="AF119" s="374"/>
      <c r="AG119" s="181"/>
      <c r="AH119" s="181"/>
      <c r="AI119" s="182"/>
      <c r="AJ119" s="182"/>
      <c r="AK119" s="376"/>
      <c r="AL119" s="182"/>
      <c r="AM119" s="182"/>
      <c r="AN119" s="182"/>
      <c r="AO119" s="376"/>
      <c r="AP119" s="377"/>
      <c r="AQ119" s="185"/>
      <c r="AR119" s="170"/>
      <c r="AT119" s="185"/>
      <c r="AY119" s="182"/>
    </row>
    <row r="120" spans="2:51" x14ac:dyDescent="0.25">
      <c r="B120" s="218"/>
      <c r="C120" s="184"/>
      <c r="D120" s="170"/>
      <c r="E120" s="373"/>
      <c r="F120" s="374"/>
      <c r="G120" s="374"/>
      <c r="H120" s="375"/>
      <c r="I120" s="374"/>
      <c r="J120" s="374"/>
      <c r="K120" s="374"/>
      <c r="L120" s="374"/>
      <c r="M120" s="181"/>
      <c r="N120" s="181"/>
      <c r="O120" s="182"/>
      <c r="P120" s="182"/>
      <c r="Q120" s="376"/>
      <c r="R120" s="182"/>
      <c r="S120" s="182"/>
      <c r="T120" s="182"/>
      <c r="U120" s="376"/>
      <c r="V120" s="377"/>
      <c r="W120" s="185">
        <f t="shared" ref="W120:W121" si="1">U120-V120</f>
        <v>0</v>
      </c>
      <c r="X120" s="170"/>
      <c r="Y120" s="373"/>
      <c r="Z120" s="374"/>
      <c r="AA120" s="374"/>
      <c r="AB120" s="375"/>
      <c r="AC120" s="374"/>
      <c r="AD120" s="374"/>
      <c r="AE120" s="374"/>
      <c r="AF120" s="374"/>
      <c r="AG120" s="181"/>
      <c r="AH120" s="181"/>
      <c r="AI120" s="182"/>
      <c r="AJ120" s="182"/>
      <c r="AK120" s="376"/>
      <c r="AL120" s="182"/>
      <c r="AM120" s="182"/>
      <c r="AN120" s="182"/>
      <c r="AO120" s="376"/>
      <c r="AP120" s="377"/>
      <c r="AQ120" s="185">
        <f t="shared" ref="AQ120:AQ121" si="2">AO120-AP120</f>
        <v>0</v>
      </c>
      <c r="AR120" s="170"/>
      <c r="AT120" s="185"/>
      <c r="AY120" s="182"/>
    </row>
    <row r="121" spans="2:51" ht="13" thickBot="1" x14ac:dyDescent="0.3">
      <c r="B121" s="180"/>
      <c r="C121" s="219"/>
      <c r="D121" s="170"/>
      <c r="E121" s="379"/>
      <c r="F121" s="380"/>
      <c r="G121" s="380"/>
      <c r="H121" s="381"/>
      <c r="I121" s="380"/>
      <c r="J121" s="380"/>
      <c r="K121" s="380"/>
      <c r="L121" s="380"/>
      <c r="M121" s="220"/>
      <c r="N121" s="220"/>
      <c r="O121" s="221"/>
      <c r="P121" s="221"/>
      <c r="Q121" s="382"/>
      <c r="R121" s="221"/>
      <c r="S121" s="221"/>
      <c r="T121" s="221"/>
      <c r="U121" s="382"/>
      <c r="V121" s="383"/>
      <c r="W121" s="222">
        <f t="shared" si="1"/>
        <v>0</v>
      </c>
      <c r="X121" s="170"/>
      <c r="Y121" s="379"/>
      <c r="Z121" s="380"/>
      <c r="AA121" s="380"/>
      <c r="AB121" s="381"/>
      <c r="AC121" s="380"/>
      <c r="AD121" s="380"/>
      <c r="AE121" s="380"/>
      <c r="AF121" s="380"/>
      <c r="AG121" s="220"/>
      <c r="AH121" s="220"/>
      <c r="AI121" s="221"/>
      <c r="AJ121" s="221"/>
      <c r="AK121" s="382"/>
      <c r="AL121" s="221"/>
      <c r="AM121" s="221"/>
      <c r="AN121" s="221"/>
      <c r="AO121" s="382"/>
      <c r="AP121" s="383"/>
      <c r="AQ121" s="222">
        <f t="shared" si="2"/>
        <v>0</v>
      </c>
      <c r="AR121" s="170"/>
      <c r="AT121" s="222"/>
      <c r="AY121" s="221"/>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view="pageBreakPreview" zoomScaleNormal="100" zoomScaleSheetLayoutView="100" workbookViewId="0">
      <selection activeCell="G26" sqref="G26"/>
    </sheetView>
  </sheetViews>
  <sheetFormatPr defaultColWidth="10.81640625" defaultRowHeight="14.5" x14ac:dyDescent="0.35"/>
  <cols>
    <col min="1" max="1" width="4.453125" style="528" customWidth="1"/>
    <col min="2" max="4" width="23" style="528" customWidth="1"/>
    <col min="5" max="6" width="29.54296875" style="528" customWidth="1"/>
    <col min="7" max="7" width="17.54296875" style="528" customWidth="1"/>
    <col min="8" max="16384" width="10.81640625" style="528"/>
  </cols>
  <sheetData>
    <row r="1" spans="1:10" x14ac:dyDescent="0.35">
      <c r="A1" s="110"/>
      <c r="B1" s="110"/>
      <c r="C1" s="110"/>
      <c r="D1" s="110"/>
      <c r="E1" s="110"/>
      <c r="F1" s="110"/>
      <c r="G1" s="110"/>
      <c r="H1" s="110"/>
      <c r="I1" s="110"/>
      <c r="J1" s="110"/>
    </row>
    <row r="2" spans="1:10" x14ac:dyDescent="0.35">
      <c r="A2" s="110"/>
      <c r="B2" s="112"/>
      <c r="C2" s="112"/>
      <c r="D2" s="112"/>
      <c r="E2" s="112"/>
      <c r="F2" s="112"/>
      <c r="G2" s="112"/>
      <c r="H2" s="112"/>
      <c r="I2" s="112"/>
      <c r="J2" s="112"/>
    </row>
    <row r="3" spans="1:10" ht="14.5" customHeight="1" x14ac:dyDescent="0.35">
      <c r="A3" s="110"/>
      <c r="B3" s="112"/>
      <c r="C3" s="112"/>
      <c r="D3" s="112"/>
      <c r="E3" s="112"/>
      <c r="F3" s="165" t="s">
        <v>134</v>
      </c>
      <c r="G3" s="165">
        <f>'00 - Cover'!$F$16</f>
        <v>0</v>
      </c>
      <c r="H3" s="112"/>
      <c r="I3" s="111"/>
      <c r="J3" s="111"/>
    </row>
    <row r="4" spans="1:10" ht="14.5" customHeight="1" x14ac:dyDescent="0.35">
      <c r="A4" s="110"/>
      <c r="B4" s="112"/>
      <c r="C4" s="112"/>
      <c r="D4" s="112"/>
      <c r="E4" s="112"/>
      <c r="F4" s="165" t="s">
        <v>1117</v>
      </c>
      <c r="G4" s="165">
        <f>'00 - Cover'!$F$15</f>
        <v>0</v>
      </c>
      <c r="H4" s="112"/>
      <c r="I4" s="111"/>
      <c r="J4" s="111"/>
    </row>
    <row r="5" spans="1:10" ht="14.5" customHeight="1" x14ac:dyDescent="0.35">
      <c r="A5" s="110"/>
      <c r="B5" s="112"/>
      <c r="C5" s="112"/>
      <c r="D5" s="112"/>
      <c r="E5" s="112"/>
      <c r="F5" s="165" t="s">
        <v>94</v>
      </c>
      <c r="G5" s="165">
        <f>'00 - Cover'!$F$16</f>
        <v>0</v>
      </c>
      <c r="H5" s="112"/>
      <c r="I5" s="111"/>
      <c r="J5" s="111"/>
    </row>
    <row r="6" spans="1:10" ht="14.5" customHeight="1" x14ac:dyDescent="0.35">
      <c r="A6" s="110"/>
      <c r="B6" s="112"/>
      <c r="C6" s="112"/>
      <c r="D6" s="112"/>
      <c r="E6" s="112"/>
      <c r="F6" s="165" t="s">
        <v>87</v>
      </c>
      <c r="G6" s="165">
        <f>'00 - Cover'!$F$17</f>
        <v>0</v>
      </c>
      <c r="H6" s="112"/>
      <c r="I6" s="112"/>
      <c r="J6" s="112"/>
    </row>
    <row r="7" spans="1:10" x14ac:dyDescent="0.35">
      <c r="A7" s="110"/>
      <c r="B7" s="112"/>
      <c r="C7" s="112"/>
      <c r="D7" s="112"/>
      <c r="E7" s="112"/>
      <c r="F7" s="112"/>
      <c r="G7" s="112"/>
      <c r="H7" s="112"/>
      <c r="I7" s="112"/>
      <c r="J7" s="112"/>
    </row>
    <row r="8" spans="1:10" x14ac:dyDescent="0.35">
      <c r="A8" s="527"/>
    </row>
    <row r="9" spans="1:10" ht="18" customHeight="1" x14ac:dyDescent="0.35">
      <c r="B9" s="802" t="s">
        <v>1008</v>
      </c>
      <c r="C9" s="767"/>
      <c r="D9" s="768"/>
      <c r="E9" s="769"/>
      <c r="F9" s="770"/>
    </row>
    <row r="11" spans="1:10" ht="63.65" customHeight="1" x14ac:dyDescent="0.35">
      <c r="A11" s="546"/>
      <c r="B11" s="766" t="s">
        <v>95</v>
      </c>
      <c r="C11" s="732" t="s">
        <v>1164</v>
      </c>
      <c r="D11" s="732" t="s">
        <v>1165</v>
      </c>
      <c r="E11" s="766" t="s">
        <v>1009</v>
      </c>
      <c r="F11" s="766" t="s">
        <v>1010</v>
      </c>
    </row>
    <row r="12" spans="1:10" x14ac:dyDescent="0.35">
      <c r="A12" s="546"/>
      <c r="B12" s="562"/>
      <c r="C12" s="564"/>
      <c r="D12" s="564"/>
      <c r="E12" s="564"/>
      <c r="F12" s="561"/>
    </row>
    <row r="13" spans="1:10" x14ac:dyDescent="0.35">
      <c r="A13" s="546"/>
      <c r="B13" s="563"/>
      <c r="C13" s="559"/>
      <c r="D13" s="559"/>
      <c r="E13" s="559"/>
      <c r="F13" s="553"/>
    </row>
    <row r="14" spans="1:10" x14ac:dyDescent="0.35">
      <c r="A14" s="546"/>
      <c r="B14" s="563"/>
      <c r="C14" s="559"/>
      <c r="D14" s="559"/>
      <c r="E14" s="559"/>
      <c r="F14" s="553"/>
    </row>
    <row r="15" spans="1:10" x14ac:dyDescent="0.35">
      <c r="B15" s="563"/>
      <c r="C15" s="559"/>
      <c r="D15" s="559"/>
      <c r="E15" s="559"/>
      <c r="F15" s="553"/>
    </row>
    <row r="16" spans="1:10" x14ac:dyDescent="0.35">
      <c r="B16" s="563"/>
      <c r="C16" s="559"/>
      <c r="D16" s="559"/>
      <c r="E16" s="559"/>
      <c r="F16" s="553"/>
    </row>
    <row r="17" spans="2:6" x14ac:dyDescent="0.35">
      <c r="B17" s="563"/>
      <c r="C17" s="559"/>
      <c r="D17" s="559"/>
      <c r="E17" s="559"/>
      <c r="F17" s="553"/>
    </row>
    <row r="18" spans="2:6" x14ac:dyDescent="0.35">
      <c r="B18" s="563"/>
      <c r="C18" s="559"/>
      <c r="D18" s="559"/>
      <c r="E18" s="559"/>
      <c r="F18" s="553"/>
    </row>
    <row r="19" spans="2:6" x14ac:dyDescent="0.35">
      <c r="B19" s="563"/>
      <c r="C19" s="559"/>
      <c r="D19" s="559"/>
      <c r="E19" s="559"/>
      <c r="F19" s="553"/>
    </row>
    <row r="20" spans="2:6" x14ac:dyDescent="0.35">
      <c r="B20" s="563"/>
      <c r="C20" s="559"/>
      <c r="D20" s="559"/>
      <c r="E20" s="559"/>
      <c r="F20" s="553"/>
    </row>
    <row r="21" spans="2:6" x14ac:dyDescent="0.35">
      <c r="B21" s="563"/>
      <c r="C21" s="559"/>
      <c r="D21" s="559"/>
      <c r="E21" s="559"/>
      <c r="F21" s="553"/>
    </row>
    <row r="22" spans="2:6" x14ac:dyDescent="0.35">
      <c r="B22" s="563"/>
      <c r="C22" s="559"/>
      <c r="D22" s="559"/>
      <c r="E22" s="559"/>
      <c r="F22" s="553"/>
    </row>
    <row r="23" spans="2:6" x14ac:dyDescent="0.35">
      <c r="B23" s="563"/>
      <c r="C23" s="559"/>
      <c r="D23" s="559"/>
      <c r="E23" s="559"/>
      <c r="F23" s="553"/>
    </row>
    <row r="24" spans="2:6" x14ac:dyDescent="0.35">
      <c r="B24" s="563"/>
      <c r="C24" s="559"/>
      <c r="D24" s="559"/>
      <c r="E24" s="559"/>
      <c r="F24" s="553"/>
    </row>
    <row r="25" spans="2:6" x14ac:dyDescent="0.35">
      <c r="B25" s="563"/>
      <c r="C25" s="559"/>
      <c r="D25" s="559"/>
      <c r="E25" s="559"/>
      <c r="F25" s="553"/>
    </row>
    <row r="26" spans="2:6" x14ac:dyDescent="0.35">
      <c r="B26" s="563"/>
      <c r="C26" s="559"/>
      <c r="D26" s="559"/>
      <c r="E26" s="559"/>
      <c r="F26" s="553"/>
    </row>
    <row r="27" spans="2:6" x14ac:dyDescent="0.35">
      <c r="B27" s="563"/>
      <c r="C27" s="559"/>
      <c r="D27" s="559"/>
      <c r="E27" s="559"/>
      <c r="F27" s="553"/>
    </row>
    <row r="28" spans="2:6" x14ac:dyDescent="0.35">
      <c r="B28" s="563"/>
      <c r="C28" s="559"/>
      <c r="D28" s="559"/>
      <c r="E28" s="559"/>
      <c r="F28" s="553"/>
    </row>
    <row r="29" spans="2:6" x14ac:dyDescent="0.35">
      <c r="B29" s="563"/>
      <c r="C29" s="559"/>
      <c r="D29" s="559"/>
      <c r="E29" s="559"/>
      <c r="F29" s="553"/>
    </row>
    <row r="30" spans="2:6" x14ac:dyDescent="0.35">
      <c r="B30" s="563"/>
      <c r="C30" s="559"/>
      <c r="D30" s="559"/>
      <c r="E30" s="559"/>
      <c r="F30" s="553"/>
    </row>
    <row r="31" spans="2:6" x14ac:dyDescent="0.35">
      <c r="B31" s="563"/>
      <c r="C31" s="559"/>
      <c r="D31" s="559"/>
      <c r="E31" s="559"/>
      <c r="F31" s="553"/>
    </row>
    <row r="32" spans="2:6" x14ac:dyDescent="0.35">
      <c r="B32" s="563"/>
      <c r="C32" s="559"/>
      <c r="D32" s="559"/>
      <c r="E32" s="559"/>
      <c r="F32" s="553"/>
    </row>
    <row r="33" spans="2:6" x14ac:dyDescent="0.35">
      <c r="B33" s="563"/>
      <c r="C33" s="559"/>
      <c r="D33" s="559"/>
      <c r="E33" s="559"/>
      <c r="F33" s="553"/>
    </row>
    <row r="34" spans="2:6" x14ac:dyDescent="0.35">
      <c r="B34" s="563"/>
      <c r="C34" s="559"/>
      <c r="D34" s="559"/>
      <c r="E34" s="559"/>
      <c r="F34" s="553"/>
    </row>
    <row r="35" spans="2:6" x14ac:dyDescent="0.35">
      <c r="B35" s="563"/>
      <c r="C35" s="559"/>
      <c r="D35" s="559"/>
      <c r="E35" s="559"/>
      <c r="F35" s="553"/>
    </row>
    <row r="36" spans="2:6" x14ac:dyDescent="0.35">
      <c r="B36" s="563"/>
      <c r="C36" s="559"/>
      <c r="D36" s="559"/>
      <c r="E36" s="559"/>
      <c r="F36" s="553"/>
    </row>
    <row r="37" spans="2:6" x14ac:dyDescent="0.35">
      <c r="B37" s="563"/>
      <c r="C37" s="559"/>
      <c r="D37" s="559"/>
      <c r="E37" s="559"/>
      <c r="F37" s="553"/>
    </row>
    <row r="38" spans="2:6" x14ac:dyDescent="0.35">
      <c r="B38" s="563"/>
      <c r="C38" s="559"/>
      <c r="D38" s="559"/>
      <c r="E38" s="559"/>
      <c r="F38" s="553"/>
    </row>
    <row r="39" spans="2:6" x14ac:dyDescent="0.35">
      <c r="B39" s="563"/>
      <c r="C39" s="559"/>
      <c r="D39" s="559"/>
      <c r="E39" s="559"/>
      <c r="F39" s="553"/>
    </row>
    <row r="40" spans="2:6" x14ac:dyDescent="0.35">
      <c r="B40" s="563"/>
      <c r="C40" s="559"/>
      <c r="D40" s="559"/>
      <c r="E40" s="559"/>
      <c r="F40" s="553"/>
    </row>
    <row r="41" spans="2:6" x14ac:dyDescent="0.35">
      <c r="B41" s="563"/>
      <c r="C41" s="559"/>
      <c r="D41" s="559"/>
      <c r="E41" s="559"/>
      <c r="F41" s="553"/>
    </row>
    <row r="42" spans="2:6" x14ac:dyDescent="0.35">
      <c r="B42" s="563"/>
      <c r="C42" s="559"/>
      <c r="D42" s="559"/>
      <c r="E42" s="559"/>
      <c r="F42" s="553"/>
    </row>
    <row r="43" spans="2:6" x14ac:dyDescent="0.35">
      <c r="B43" s="563"/>
      <c r="C43" s="559"/>
      <c r="D43" s="559"/>
      <c r="E43" s="559"/>
      <c r="F43" s="553"/>
    </row>
    <row r="44" spans="2:6" x14ac:dyDescent="0.35">
      <c r="B44" s="563"/>
      <c r="C44" s="559"/>
      <c r="D44" s="559"/>
      <c r="E44" s="559"/>
      <c r="F44" s="553"/>
    </row>
    <row r="45" spans="2:6" x14ac:dyDescent="0.35">
      <c r="B45" s="563"/>
      <c r="C45" s="559"/>
      <c r="D45" s="559"/>
      <c r="E45" s="559"/>
      <c r="F45" s="553"/>
    </row>
    <row r="46" spans="2:6" x14ac:dyDescent="0.35">
      <c r="B46" s="563"/>
      <c r="C46" s="559"/>
      <c r="D46" s="559"/>
      <c r="E46" s="559"/>
      <c r="F46" s="553"/>
    </row>
    <row r="47" spans="2:6" x14ac:dyDescent="0.35">
      <c r="B47" s="563"/>
      <c r="C47" s="559"/>
      <c r="D47" s="559"/>
      <c r="E47" s="559"/>
      <c r="F47" s="553"/>
    </row>
    <row r="48" spans="2:6" x14ac:dyDescent="0.35">
      <c r="B48" s="563"/>
      <c r="C48" s="559"/>
      <c r="D48" s="559"/>
      <c r="E48" s="559"/>
      <c r="F48" s="553"/>
    </row>
    <row r="49" spans="2:6" x14ac:dyDescent="0.35">
      <c r="B49" s="563"/>
      <c r="C49" s="559"/>
      <c r="D49" s="559"/>
      <c r="E49" s="559"/>
      <c r="F49" s="553"/>
    </row>
    <row r="50" spans="2:6" x14ac:dyDescent="0.35">
      <c r="B50" s="563"/>
      <c r="C50" s="559"/>
      <c r="D50" s="559"/>
      <c r="E50" s="559"/>
      <c r="F50" s="553"/>
    </row>
    <row r="51" spans="2:6" x14ac:dyDescent="0.35">
      <c r="B51" s="563"/>
      <c r="C51" s="559"/>
      <c r="D51" s="559"/>
      <c r="E51" s="559"/>
      <c r="F51" s="553"/>
    </row>
    <row r="52" spans="2:6" x14ac:dyDescent="0.35">
      <c r="B52" s="563"/>
      <c r="C52" s="559"/>
      <c r="D52" s="559"/>
      <c r="E52" s="559"/>
      <c r="F52" s="553"/>
    </row>
    <row r="53" spans="2:6" x14ac:dyDescent="0.35">
      <c r="B53" s="563"/>
      <c r="C53" s="559"/>
      <c r="D53" s="559"/>
      <c r="E53" s="559"/>
      <c r="F53" s="553"/>
    </row>
    <row r="54" spans="2:6" x14ac:dyDescent="0.35">
      <c r="B54" s="563"/>
      <c r="C54" s="559"/>
      <c r="D54" s="559"/>
      <c r="E54" s="559"/>
      <c r="F54" s="553"/>
    </row>
    <row r="55" spans="2:6" x14ac:dyDescent="0.35">
      <c r="B55" s="563"/>
      <c r="C55" s="559"/>
      <c r="D55" s="559"/>
      <c r="E55" s="559"/>
      <c r="F55" s="553"/>
    </row>
    <row r="56" spans="2:6" x14ac:dyDescent="0.35">
      <c r="B56" s="563"/>
      <c r="C56" s="559"/>
      <c r="D56" s="559"/>
      <c r="E56" s="559"/>
      <c r="F56" s="553"/>
    </row>
    <row r="57" spans="2:6" x14ac:dyDescent="0.35">
      <c r="B57" s="563"/>
      <c r="C57" s="559"/>
      <c r="D57" s="559"/>
      <c r="E57" s="559"/>
      <c r="F57" s="553"/>
    </row>
    <row r="58" spans="2:6" x14ac:dyDescent="0.35">
      <c r="B58" s="563"/>
      <c r="C58" s="559"/>
      <c r="D58" s="559"/>
      <c r="E58" s="559"/>
      <c r="F58" s="553"/>
    </row>
    <row r="59" spans="2:6" x14ac:dyDescent="0.35">
      <c r="B59" s="563"/>
      <c r="C59" s="559"/>
      <c r="D59" s="559"/>
      <c r="E59" s="559"/>
      <c r="F59" s="553"/>
    </row>
    <row r="60" spans="2:6" x14ac:dyDescent="0.35">
      <c r="B60" s="563"/>
      <c r="C60" s="559"/>
      <c r="D60" s="559"/>
      <c r="E60" s="559"/>
      <c r="F60" s="553"/>
    </row>
    <row r="61" spans="2:6" x14ac:dyDescent="0.35">
      <c r="B61" s="563"/>
      <c r="C61" s="559"/>
      <c r="D61" s="559"/>
      <c r="E61" s="559"/>
      <c r="F61" s="553"/>
    </row>
    <row r="62" spans="2:6" x14ac:dyDescent="0.35">
      <c r="B62" s="563"/>
      <c r="C62" s="559"/>
      <c r="D62" s="559"/>
      <c r="E62" s="559"/>
      <c r="F62" s="553"/>
    </row>
    <row r="63" spans="2:6" x14ac:dyDescent="0.35">
      <c r="B63" s="563"/>
      <c r="C63" s="559"/>
      <c r="D63" s="559"/>
      <c r="E63" s="559"/>
      <c r="F63" s="553"/>
    </row>
    <row r="64" spans="2:6" x14ac:dyDescent="0.35">
      <c r="B64" s="563"/>
      <c r="C64" s="559"/>
      <c r="D64" s="559"/>
      <c r="E64" s="559"/>
      <c r="F64" s="553"/>
    </row>
    <row r="65" spans="2:6" x14ac:dyDescent="0.35">
      <c r="B65" s="563"/>
      <c r="C65" s="559"/>
      <c r="D65" s="559"/>
      <c r="E65" s="559"/>
      <c r="F65" s="553"/>
    </row>
    <row r="66" spans="2:6" x14ac:dyDescent="0.35">
      <c r="B66" s="563"/>
      <c r="C66" s="559"/>
      <c r="D66" s="559"/>
      <c r="E66" s="559"/>
      <c r="F66" s="553"/>
    </row>
    <row r="67" spans="2:6" x14ac:dyDescent="0.35">
      <c r="B67" s="563"/>
      <c r="C67" s="559"/>
      <c r="D67" s="559"/>
      <c r="E67" s="559"/>
      <c r="F67" s="553"/>
    </row>
    <row r="68" spans="2:6" x14ac:dyDescent="0.35">
      <c r="B68" s="563"/>
      <c r="C68" s="559"/>
      <c r="D68" s="559"/>
      <c r="E68" s="559"/>
      <c r="F68" s="553"/>
    </row>
    <row r="69" spans="2:6" x14ac:dyDescent="0.35">
      <c r="B69" s="563"/>
      <c r="C69" s="559"/>
      <c r="D69" s="559"/>
      <c r="E69" s="559"/>
      <c r="F69" s="553"/>
    </row>
    <row r="70" spans="2:6" x14ac:dyDescent="0.35">
      <c r="B70" s="563"/>
      <c r="C70" s="559"/>
      <c r="D70" s="559"/>
      <c r="E70" s="559"/>
      <c r="F70" s="553"/>
    </row>
    <row r="71" spans="2:6" x14ac:dyDescent="0.35">
      <c r="B71" s="563"/>
      <c r="C71" s="559"/>
      <c r="D71" s="559"/>
      <c r="E71" s="559"/>
      <c r="F71" s="553"/>
    </row>
    <row r="72" spans="2:6" x14ac:dyDescent="0.35">
      <c r="B72" s="563"/>
      <c r="C72" s="559"/>
      <c r="D72" s="559"/>
      <c r="E72" s="559"/>
      <c r="F72" s="553"/>
    </row>
  </sheetData>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239"/>
  <sheetViews>
    <sheetView showGridLines="0" view="pageBreakPreview" zoomScaleNormal="90" zoomScaleSheetLayoutView="100" workbookViewId="0">
      <selection activeCell="G31" sqref="G31"/>
    </sheetView>
  </sheetViews>
  <sheetFormatPr defaultColWidth="9.1796875" defaultRowHeight="12.5" x14ac:dyDescent="0.25"/>
  <cols>
    <col min="1" max="1" width="4" style="503" bestFit="1" customWidth="1"/>
    <col min="2" max="2" width="16.81640625" style="348" customWidth="1"/>
    <col min="3" max="3" width="1.26953125" style="348" customWidth="1"/>
    <col min="4" max="6" width="27.26953125" style="348" customWidth="1"/>
    <col min="7" max="7" width="20.1796875" style="348" customWidth="1"/>
    <col min="8" max="8" width="15.453125" style="348" customWidth="1"/>
    <col min="9" max="16384" width="9.1796875" style="348"/>
  </cols>
  <sheetData>
    <row r="3" spans="1:8" ht="14.5" x14ac:dyDescent="0.25">
      <c r="F3" s="443"/>
      <c r="G3" s="165" t="s">
        <v>134</v>
      </c>
      <c r="H3" s="165">
        <f>'00 - Cover'!$F$16</f>
        <v>0</v>
      </c>
    </row>
    <row r="4" spans="1:8" ht="14.5" x14ac:dyDescent="0.25">
      <c r="F4" s="443"/>
      <c r="G4" s="165" t="s">
        <v>1117</v>
      </c>
      <c r="H4" s="165">
        <f>'00 - Cover'!$F$15</f>
        <v>0</v>
      </c>
    </row>
    <row r="5" spans="1:8" ht="14.5" x14ac:dyDescent="0.25">
      <c r="F5" s="443"/>
      <c r="G5" s="165" t="s">
        <v>94</v>
      </c>
      <c r="H5" s="165">
        <f>'00 - Cover'!$F$16</f>
        <v>0</v>
      </c>
    </row>
    <row r="6" spans="1:8" ht="13" x14ac:dyDescent="0.25">
      <c r="G6" s="165" t="s">
        <v>87</v>
      </c>
      <c r="H6" s="165">
        <f>'00 - Cover'!$F$17</f>
        <v>0</v>
      </c>
    </row>
    <row r="8" spans="1:8" ht="15.5" x14ac:dyDescent="0.25">
      <c r="B8" s="730" t="s">
        <v>1241</v>
      </c>
      <c r="C8" s="731"/>
      <c r="D8" s="731"/>
      <c r="E8" s="731"/>
      <c r="F8" s="731"/>
      <c r="G8" s="731"/>
      <c r="H8" s="731"/>
    </row>
    <row r="9" spans="1:8" ht="13" thickBot="1" x14ac:dyDescent="0.3"/>
    <row r="10" spans="1:8" ht="18.649999999999999" customHeight="1" x14ac:dyDescent="0.4">
      <c r="A10" s="504"/>
      <c r="B10" s="946" t="s">
        <v>215</v>
      </c>
      <c r="C10" s="385"/>
      <c r="D10" s="946" t="s">
        <v>1101</v>
      </c>
      <c r="E10" s="946" t="s">
        <v>1103</v>
      </c>
      <c r="F10" s="946" t="s">
        <v>1102</v>
      </c>
      <c r="G10" s="384"/>
    </row>
    <row r="11" spans="1:8" ht="18" x14ac:dyDescent="0.4">
      <c r="A11" s="504"/>
      <c r="B11" s="947"/>
      <c r="C11" s="385"/>
      <c r="D11" s="947"/>
      <c r="E11" s="947"/>
      <c r="F11" s="947"/>
      <c r="G11" s="384"/>
    </row>
    <row r="12" spans="1:8" ht="13.5" thickBot="1" x14ac:dyDescent="0.3">
      <c r="A12" s="504"/>
      <c r="B12" s="948"/>
      <c r="C12" s="386"/>
      <c r="D12" s="948"/>
      <c r="E12" s="948"/>
      <c r="F12" s="948"/>
      <c r="G12" s="384"/>
    </row>
    <row r="13" spans="1:8" ht="13" x14ac:dyDescent="0.25">
      <c r="A13" s="504"/>
      <c r="B13" s="387"/>
      <c r="C13" s="388"/>
      <c r="D13" s="389"/>
      <c r="E13" s="390"/>
      <c r="F13" s="390"/>
      <c r="G13" s="391"/>
    </row>
    <row r="14" spans="1:8" ht="13" x14ac:dyDescent="0.25">
      <c r="A14" s="504"/>
      <c r="B14" s="392"/>
      <c r="C14" s="388"/>
      <c r="D14" s="393"/>
      <c r="E14" s="394"/>
      <c r="F14" s="394"/>
      <c r="G14" s="384"/>
    </row>
    <row r="15" spans="1:8" ht="13" x14ac:dyDescent="0.25">
      <c r="A15" s="504"/>
      <c r="B15" s="392"/>
      <c r="C15" s="388"/>
      <c r="D15" s="393"/>
      <c r="E15" s="394"/>
      <c r="F15" s="394"/>
      <c r="G15" s="384"/>
    </row>
    <row r="16" spans="1:8" ht="13" x14ac:dyDescent="0.25">
      <c r="A16" s="504"/>
      <c r="B16" s="392"/>
      <c r="C16" s="388"/>
      <c r="D16" s="393"/>
      <c r="E16" s="394"/>
      <c r="F16" s="394"/>
      <c r="G16" s="384"/>
    </row>
    <row r="17" spans="1:7" ht="13" x14ac:dyDescent="0.25">
      <c r="A17" s="504"/>
      <c r="B17" s="392"/>
      <c r="C17" s="388"/>
      <c r="D17" s="393"/>
      <c r="E17" s="394"/>
      <c r="F17" s="394"/>
      <c r="G17" s="384"/>
    </row>
    <row r="18" spans="1:7" ht="13" x14ac:dyDescent="0.25">
      <c r="A18" s="504"/>
      <c r="B18" s="392"/>
      <c r="C18" s="388"/>
      <c r="D18" s="393"/>
      <c r="E18" s="394"/>
      <c r="F18" s="394"/>
      <c r="G18" s="384"/>
    </row>
    <row r="19" spans="1:7" ht="13" x14ac:dyDescent="0.25">
      <c r="A19" s="504"/>
      <c r="B19" s="392"/>
      <c r="C19" s="388"/>
      <c r="D19" s="393"/>
      <c r="E19" s="394"/>
      <c r="F19" s="394"/>
      <c r="G19" s="384"/>
    </row>
    <row r="20" spans="1:7" ht="13" x14ac:dyDescent="0.25">
      <c r="A20" s="504"/>
      <c r="B20" s="392"/>
      <c r="C20" s="388"/>
      <c r="D20" s="393"/>
      <c r="E20" s="394"/>
      <c r="F20" s="394"/>
      <c r="G20" s="384"/>
    </row>
    <row r="21" spans="1:7" ht="13" x14ac:dyDescent="0.25">
      <c r="A21" s="504"/>
      <c r="B21" s="392"/>
      <c r="C21" s="388"/>
      <c r="D21" s="393"/>
      <c r="E21" s="394"/>
      <c r="F21" s="394"/>
      <c r="G21" s="384"/>
    </row>
    <row r="22" spans="1:7" ht="13" x14ac:dyDescent="0.25">
      <c r="A22" s="504"/>
      <c r="B22" s="392"/>
      <c r="C22" s="388"/>
      <c r="D22" s="393"/>
      <c r="E22" s="394"/>
      <c r="F22" s="394"/>
      <c r="G22" s="384"/>
    </row>
    <row r="23" spans="1:7" ht="13" x14ac:dyDescent="0.25">
      <c r="A23" s="504"/>
      <c r="B23" s="392"/>
      <c r="C23" s="388"/>
      <c r="D23" s="393"/>
      <c r="E23" s="394"/>
      <c r="F23" s="394"/>
      <c r="G23" s="384"/>
    </row>
    <row r="24" spans="1:7" ht="13" x14ac:dyDescent="0.25">
      <c r="A24" s="504"/>
      <c r="B24" s="392"/>
      <c r="C24" s="388"/>
      <c r="D24" s="393"/>
      <c r="E24" s="394"/>
      <c r="F24" s="394"/>
      <c r="G24" s="384"/>
    </row>
    <row r="25" spans="1:7" ht="13" x14ac:dyDescent="0.25">
      <c r="A25" s="504"/>
      <c r="B25" s="392"/>
      <c r="C25" s="388"/>
      <c r="D25" s="393"/>
      <c r="E25" s="394"/>
      <c r="F25" s="394"/>
      <c r="G25" s="384"/>
    </row>
    <row r="26" spans="1:7" ht="13" x14ac:dyDescent="0.25">
      <c r="A26" s="504"/>
      <c r="B26" s="392"/>
      <c r="C26" s="388"/>
      <c r="D26" s="393"/>
      <c r="E26" s="394"/>
      <c r="F26" s="394"/>
      <c r="G26" s="384"/>
    </row>
    <row r="27" spans="1:7" ht="13" x14ac:dyDescent="0.25">
      <c r="A27" s="504"/>
      <c r="B27" s="392"/>
      <c r="C27" s="388"/>
      <c r="D27" s="393"/>
      <c r="E27" s="394"/>
      <c r="F27" s="394"/>
      <c r="G27" s="384"/>
    </row>
    <row r="28" spans="1:7" ht="13" x14ac:dyDescent="0.25">
      <c r="A28" s="504"/>
      <c r="B28" s="392"/>
      <c r="C28" s="388"/>
      <c r="D28" s="393"/>
      <c r="E28" s="394"/>
      <c r="F28" s="394"/>
      <c r="G28" s="384"/>
    </row>
    <row r="29" spans="1:7" ht="13" x14ac:dyDescent="0.25">
      <c r="A29" s="504"/>
      <c r="B29" s="392"/>
      <c r="C29" s="388"/>
      <c r="D29" s="393"/>
      <c r="E29" s="394"/>
      <c r="F29" s="394"/>
      <c r="G29" s="384"/>
    </row>
    <row r="30" spans="1:7" ht="13" x14ac:dyDescent="0.25">
      <c r="A30" s="504"/>
      <c r="B30" s="392"/>
      <c r="C30" s="388"/>
      <c r="D30" s="393"/>
      <c r="E30" s="394"/>
      <c r="F30" s="394"/>
      <c r="G30" s="384"/>
    </row>
    <row r="31" spans="1:7" ht="13" x14ac:dyDescent="0.25">
      <c r="A31" s="504"/>
      <c r="B31" s="392"/>
      <c r="C31" s="388"/>
      <c r="D31" s="393"/>
      <c r="E31" s="394"/>
      <c r="F31" s="394"/>
      <c r="G31" s="384"/>
    </row>
    <row r="32" spans="1:7" ht="13" x14ac:dyDescent="0.25">
      <c r="A32" s="504"/>
      <c r="B32" s="392"/>
      <c r="C32" s="388"/>
      <c r="D32" s="393"/>
      <c r="E32" s="394"/>
      <c r="F32" s="394"/>
      <c r="G32" s="384"/>
    </row>
    <row r="33" spans="1:7" ht="13" x14ac:dyDescent="0.25">
      <c r="A33" s="504"/>
      <c r="B33" s="392"/>
      <c r="C33" s="388"/>
      <c r="D33" s="393"/>
      <c r="E33" s="394"/>
      <c r="F33" s="394"/>
      <c r="G33" s="384"/>
    </row>
    <row r="34" spans="1:7" ht="13" x14ac:dyDescent="0.25">
      <c r="A34" s="504"/>
      <c r="B34" s="392"/>
      <c r="C34" s="388"/>
      <c r="D34" s="393"/>
      <c r="E34" s="394"/>
      <c r="F34" s="394"/>
      <c r="G34" s="384"/>
    </row>
    <row r="35" spans="1:7" ht="13" x14ac:dyDescent="0.25">
      <c r="A35" s="504"/>
      <c r="B35" s="392"/>
      <c r="C35" s="388"/>
      <c r="D35" s="393"/>
      <c r="E35" s="394"/>
      <c r="F35" s="394"/>
      <c r="G35" s="384"/>
    </row>
    <row r="36" spans="1:7" ht="13" x14ac:dyDescent="0.25">
      <c r="A36" s="504"/>
      <c r="B36" s="392"/>
      <c r="C36" s="388"/>
      <c r="D36" s="393"/>
      <c r="E36" s="394"/>
      <c r="F36" s="394"/>
      <c r="G36" s="384"/>
    </row>
    <row r="37" spans="1:7" ht="13" x14ac:dyDescent="0.25">
      <c r="A37" s="504"/>
      <c r="B37" s="392"/>
      <c r="C37" s="388"/>
      <c r="D37" s="393"/>
      <c r="E37" s="394"/>
      <c r="F37" s="394"/>
      <c r="G37" s="384"/>
    </row>
    <row r="38" spans="1:7" ht="13" x14ac:dyDescent="0.25">
      <c r="A38" s="504"/>
      <c r="B38" s="392"/>
      <c r="C38" s="388"/>
      <c r="D38" s="393"/>
      <c r="E38" s="394"/>
      <c r="F38" s="394"/>
      <c r="G38" s="384"/>
    </row>
    <row r="39" spans="1:7" ht="13" x14ac:dyDescent="0.25">
      <c r="A39" s="504"/>
      <c r="B39" s="392"/>
      <c r="C39" s="388"/>
      <c r="D39" s="393"/>
      <c r="E39" s="394"/>
      <c r="F39" s="394"/>
      <c r="G39" s="384"/>
    </row>
    <row r="40" spans="1:7" ht="13" x14ac:dyDescent="0.25">
      <c r="A40" s="504"/>
      <c r="B40" s="392"/>
      <c r="C40" s="388"/>
      <c r="D40" s="393"/>
      <c r="E40" s="394"/>
      <c r="F40" s="394"/>
      <c r="G40" s="384"/>
    </row>
    <row r="41" spans="1:7" ht="13" x14ac:dyDescent="0.25">
      <c r="A41" s="504"/>
      <c r="B41" s="392"/>
      <c r="C41" s="388"/>
      <c r="D41" s="393"/>
      <c r="E41" s="394"/>
      <c r="F41" s="394"/>
      <c r="G41" s="384"/>
    </row>
    <row r="42" spans="1:7" ht="13" x14ac:dyDescent="0.25">
      <c r="A42" s="504"/>
      <c r="B42" s="392"/>
      <c r="C42" s="388"/>
      <c r="D42" s="393"/>
      <c r="E42" s="394"/>
      <c r="F42" s="394"/>
      <c r="G42" s="384"/>
    </row>
    <row r="43" spans="1:7" ht="13" x14ac:dyDescent="0.25">
      <c r="A43" s="504"/>
      <c r="B43" s="392"/>
      <c r="C43" s="388"/>
      <c r="D43" s="393"/>
      <c r="E43" s="394"/>
      <c r="F43" s="394"/>
      <c r="G43" s="384"/>
    </row>
    <row r="44" spans="1:7" ht="13" x14ac:dyDescent="0.25">
      <c r="A44" s="504"/>
      <c r="B44" s="392"/>
      <c r="C44" s="388"/>
      <c r="D44" s="393"/>
      <c r="E44" s="394"/>
      <c r="F44" s="394"/>
      <c r="G44" s="384"/>
    </row>
    <row r="45" spans="1:7" ht="13" x14ac:dyDescent="0.25">
      <c r="A45" s="504"/>
      <c r="B45" s="392"/>
      <c r="C45" s="388"/>
      <c r="D45" s="393"/>
      <c r="E45" s="394"/>
      <c r="F45" s="394"/>
      <c r="G45" s="384"/>
    </row>
    <row r="46" spans="1:7" ht="13" x14ac:dyDescent="0.25">
      <c r="A46" s="504"/>
      <c r="B46" s="392"/>
      <c r="C46" s="388"/>
      <c r="D46" s="393"/>
      <c r="E46" s="394"/>
      <c r="F46" s="394"/>
      <c r="G46" s="384"/>
    </row>
    <row r="47" spans="1:7" ht="13" x14ac:dyDescent="0.25">
      <c r="A47" s="504"/>
      <c r="B47" s="392"/>
      <c r="C47" s="388"/>
      <c r="D47" s="393"/>
      <c r="E47" s="394"/>
      <c r="F47" s="394"/>
      <c r="G47" s="384"/>
    </row>
    <row r="48" spans="1:7" ht="13" x14ac:dyDescent="0.25">
      <c r="A48" s="504"/>
      <c r="B48" s="392"/>
      <c r="C48" s="388"/>
      <c r="D48" s="393"/>
      <c r="E48" s="394"/>
      <c r="F48" s="394"/>
      <c r="G48" s="384"/>
    </row>
    <row r="49" spans="1:7" ht="13" x14ac:dyDescent="0.25">
      <c r="A49" s="504"/>
      <c r="B49" s="392"/>
      <c r="C49" s="388"/>
      <c r="D49" s="393"/>
      <c r="E49" s="394"/>
      <c r="F49" s="394"/>
      <c r="G49" s="384"/>
    </row>
    <row r="50" spans="1:7" ht="13" x14ac:dyDescent="0.25">
      <c r="A50" s="504"/>
      <c r="B50" s="392"/>
      <c r="C50" s="388"/>
      <c r="D50" s="393"/>
      <c r="E50" s="394"/>
      <c r="F50" s="394"/>
      <c r="G50" s="384"/>
    </row>
    <row r="51" spans="1:7" ht="13" x14ac:dyDescent="0.25">
      <c r="A51" s="504"/>
      <c r="B51" s="392"/>
      <c r="C51" s="388"/>
      <c r="D51" s="393"/>
      <c r="E51" s="394"/>
      <c r="F51" s="394"/>
      <c r="G51" s="384"/>
    </row>
    <row r="52" spans="1:7" ht="13" x14ac:dyDescent="0.25">
      <c r="A52" s="504"/>
      <c r="B52" s="392"/>
      <c r="C52" s="388"/>
      <c r="D52" s="393"/>
      <c r="E52" s="394"/>
      <c r="F52" s="394"/>
      <c r="G52" s="384"/>
    </row>
    <row r="53" spans="1:7" ht="13" x14ac:dyDescent="0.25">
      <c r="A53" s="504"/>
      <c r="B53" s="392"/>
      <c r="C53" s="388"/>
      <c r="D53" s="393"/>
      <c r="E53" s="394"/>
      <c r="F53" s="394"/>
      <c r="G53" s="384"/>
    </row>
    <row r="54" spans="1:7" ht="13" x14ac:dyDescent="0.25">
      <c r="A54" s="504"/>
      <c r="B54" s="392"/>
      <c r="C54" s="388"/>
      <c r="D54" s="393"/>
      <c r="E54" s="394"/>
      <c r="F54" s="394"/>
      <c r="G54" s="384"/>
    </row>
    <row r="55" spans="1:7" ht="13" x14ac:dyDescent="0.25">
      <c r="A55" s="504"/>
      <c r="B55" s="392"/>
      <c r="C55" s="388"/>
      <c r="D55" s="393"/>
      <c r="E55" s="394"/>
      <c r="F55" s="394"/>
      <c r="G55" s="384"/>
    </row>
    <row r="56" spans="1:7" ht="13" x14ac:dyDescent="0.25">
      <c r="A56" s="504"/>
      <c r="B56" s="392"/>
      <c r="C56" s="388"/>
      <c r="D56" s="393"/>
      <c r="E56" s="394"/>
      <c r="F56" s="394"/>
      <c r="G56" s="384"/>
    </row>
    <row r="57" spans="1:7" ht="13" x14ac:dyDescent="0.25">
      <c r="A57" s="504"/>
      <c r="B57" s="392"/>
      <c r="C57" s="388"/>
      <c r="D57" s="393"/>
      <c r="E57" s="394"/>
      <c r="F57" s="394"/>
      <c r="G57" s="384"/>
    </row>
    <row r="58" spans="1:7" ht="13" x14ac:dyDescent="0.25">
      <c r="A58" s="504"/>
      <c r="B58" s="392"/>
      <c r="C58" s="388"/>
      <c r="D58" s="393"/>
      <c r="E58" s="394"/>
      <c r="F58" s="394"/>
      <c r="G58" s="384"/>
    </row>
    <row r="59" spans="1:7" ht="13" x14ac:dyDescent="0.25">
      <c r="A59" s="504"/>
      <c r="B59" s="392"/>
      <c r="C59" s="388"/>
      <c r="D59" s="393"/>
      <c r="E59" s="394"/>
      <c r="F59" s="394"/>
      <c r="G59" s="384"/>
    </row>
    <row r="60" spans="1:7" ht="13" x14ac:dyDescent="0.25">
      <c r="A60" s="504"/>
      <c r="B60" s="392"/>
      <c r="C60" s="388"/>
      <c r="D60" s="393"/>
      <c r="E60" s="394"/>
      <c r="F60" s="394"/>
      <c r="G60" s="384"/>
    </row>
    <row r="61" spans="1:7" ht="13" x14ac:dyDescent="0.25">
      <c r="A61" s="504"/>
      <c r="B61" s="392"/>
      <c r="C61" s="388"/>
      <c r="D61" s="393"/>
      <c r="E61" s="394"/>
      <c r="F61" s="394"/>
      <c r="G61" s="384"/>
    </row>
    <row r="62" spans="1:7" ht="13" x14ac:dyDescent="0.25">
      <c r="A62" s="504"/>
      <c r="B62" s="392"/>
      <c r="C62" s="388"/>
      <c r="D62" s="393"/>
      <c r="E62" s="394"/>
      <c r="F62" s="394"/>
      <c r="G62" s="384"/>
    </row>
    <row r="63" spans="1:7" ht="13" x14ac:dyDescent="0.25">
      <c r="A63" s="504"/>
      <c r="B63" s="392"/>
      <c r="C63" s="388"/>
      <c r="D63" s="393"/>
      <c r="E63" s="394"/>
      <c r="F63" s="394"/>
      <c r="G63" s="384"/>
    </row>
    <row r="64" spans="1:7" ht="13" x14ac:dyDescent="0.25">
      <c r="A64" s="504"/>
      <c r="B64" s="392"/>
      <c r="C64" s="388"/>
      <c r="D64" s="393"/>
      <c r="E64" s="394"/>
      <c r="F64" s="394"/>
      <c r="G64" s="384"/>
    </row>
    <row r="65" spans="1:7" ht="13" x14ac:dyDescent="0.25">
      <c r="A65" s="504"/>
      <c r="B65" s="392"/>
      <c r="C65" s="388"/>
      <c r="D65" s="393"/>
      <c r="E65" s="394"/>
      <c r="F65" s="394"/>
      <c r="G65" s="384"/>
    </row>
    <row r="66" spans="1:7" ht="13" x14ac:dyDescent="0.25">
      <c r="A66" s="504"/>
      <c r="B66" s="392"/>
      <c r="C66" s="388"/>
      <c r="D66" s="393"/>
      <c r="E66" s="394"/>
      <c r="F66" s="394"/>
      <c r="G66" s="384"/>
    </row>
    <row r="67" spans="1:7" ht="13" x14ac:dyDescent="0.25">
      <c r="A67" s="504"/>
      <c r="B67" s="392"/>
      <c r="C67" s="388"/>
      <c r="D67" s="393"/>
      <c r="E67" s="394"/>
      <c r="F67" s="394"/>
      <c r="G67" s="384"/>
    </row>
    <row r="68" spans="1:7" ht="13" x14ac:dyDescent="0.25">
      <c r="A68" s="504"/>
      <c r="B68" s="392"/>
      <c r="C68" s="388"/>
      <c r="D68" s="393"/>
      <c r="E68" s="394"/>
      <c r="F68" s="394"/>
      <c r="G68" s="384"/>
    </row>
    <row r="69" spans="1:7" ht="13" x14ac:dyDescent="0.25">
      <c r="A69" s="504"/>
      <c r="B69" s="392"/>
      <c r="C69" s="388"/>
      <c r="D69" s="393"/>
      <c r="E69" s="394"/>
      <c r="F69" s="394"/>
      <c r="G69" s="384"/>
    </row>
    <row r="70" spans="1:7" ht="13" x14ac:dyDescent="0.25">
      <c r="A70" s="504"/>
      <c r="B70" s="392"/>
      <c r="C70" s="388"/>
      <c r="D70" s="393"/>
      <c r="E70" s="394"/>
      <c r="F70" s="394"/>
      <c r="G70" s="384"/>
    </row>
    <row r="71" spans="1:7" ht="13" x14ac:dyDescent="0.25">
      <c r="A71" s="504"/>
      <c r="B71" s="392"/>
      <c r="C71" s="388"/>
      <c r="D71" s="393"/>
      <c r="E71" s="394"/>
      <c r="F71" s="394"/>
      <c r="G71" s="384"/>
    </row>
    <row r="72" spans="1:7" ht="13" x14ac:dyDescent="0.25">
      <c r="A72" s="504"/>
      <c r="B72" s="392"/>
      <c r="C72" s="388"/>
      <c r="D72" s="393"/>
      <c r="E72" s="394"/>
      <c r="F72" s="394"/>
      <c r="G72" s="384"/>
    </row>
    <row r="73" spans="1:7" ht="13" x14ac:dyDescent="0.25">
      <c r="A73" s="504"/>
      <c r="B73" s="392"/>
      <c r="C73" s="388"/>
      <c r="D73" s="393"/>
      <c r="E73" s="394"/>
      <c r="F73" s="394"/>
      <c r="G73" s="384"/>
    </row>
    <row r="74" spans="1:7" ht="13" x14ac:dyDescent="0.25">
      <c r="A74" s="504"/>
      <c r="B74" s="392"/>
      <c r="C74" s="388"/>
      <c r="D74" s="393"/>
      <c r="E74" s="394"/>
      <c r="F74" s="394"/>
      <c r="G74" s="384"/>
    </row>
    <row r="75" spans="1:7" ht="13" x14ac:dyDescent="0.25">
      <c r="A75" s="504"/>
      <c r="B75" s="392"/>
      <c r="C75" s="388"/>
      <c r="D75" s="393"/>
      <c r="E75" s="394"/>
      <c r="F75" s="394"/>
      <c r="G75" s="384"/>
    </row>
    <row r="76" spans="1:7" ht="13" x14ac:dyDescent="0.25">
      <c r="A76" s="504"/>
      <c r="B76" s="392"/>
      <c r="C76" s="388"/>
      <c r="D76" s="393"/>
      <c r="E76" s="394"/>
      <c r="F76" s="394"/>
      <c r="G76" s="384"/>
    </row>
    <row r="77" spans="1:7" ht="13" x14ac:dyDescent="0.25">
      <c r="A77" s="504"/>
      <c r="B77" s="392"/>
      <c r="C77" s="388"/>
      <c r="D77" s="393"/>
      <c r="E77" s="394"/>
      <c r="F77" s="394"/>
      <c r="G77" s="384"/>
    </row>
    <row r="78" spans="1:7" ht="13" x14ac:dyDescent="0.25">
      <c r="A78" s="504"/>
      <c r="B78" s="392"/>
      <c r="C78" s="388"/>
      <c r="D78" s="393"/>
      <c r="E78" s="394"/>
      <c r="F78" s="394"/>
      <c r="G78" s="384"/>
    </row>
    <row r="79" spans="1:7" ht="13" x14ac:dyDescent="0.25">
      <c r="A79" s="504"/>
      <c r="B79" s="392"/>
      <c r="C79" s="388"/>
      <c r="D79" s="393"/>
      <c r="E79" s="394"/>
      <c r="F79" s="394"/>
      <c r="G79" s="384"/>
    </row>
    <row r="80" spans="1:7" ht="13" x14ac:dyDescent="0.25">
      <c r="A80" s="504"/>
      <c r="B80" s="392"/>
      <c r="C80" s="388"/>
      <c r="D80" s="393"/>
      <c r="E80" s="394"/>
      <c r="F80" s="394"/>
      <c r="G80" s="384"/>
    </row>
    <row r="81" spans="1:7" ht="13" x14ac:dyDescent="0.25">
      <c r="A81" s="504"/>
      <c r="B81" s="392"/>
      <c r="C81" s="388"/>
      <c r="D81" s="393"/>
      <c r="E81" s="394"/>
      <c r="F81" s="394"/>
      <c r="G81" s="384"/>
    </row>
    <row r="82" spans="1:7" ht="13" x14ac:dyDescent="0.25">
      <c r="A82" s="504"/>
      <c r="B82" s="392"/>
      <c r="C82" s="388"/>
      <c r="D82" s="393"/>
      <c r="E82" s="394"/>
      <c r="F82" s="394"/>
      <c r="G82" s="384"/>
    </row>
    <row r="83" spans="1:7" ht="13" x14ac:dyDescent="0.25">
      <c r="A83" s="504"/>
      <c r="B83" s="392"/>
      <c r="C83" s="388"/>
      <c r="D83" s="393"/>
      <c r="E83" s="394"/>
      <c r="F83" s="394"/>
      <c r="G83" s="384"/>
    </row>
    <row r="84" spans="1:7" ht="13" x14ac:dyDescent="0.25">
      <c r="A84" s="504"/>
      <c r="B84" s="392"/>
      <c r="C84" s="388"/>
      <c r="D84" s="393"/>
      <c r="E84" s="394"/>
      <c r="F84" s="394"/>
      <c r="G84" s="384"/>
    </row>
    <row r="85" spans="1:7" ht="13" x14ac:dyDescent="0.25">
      <c r="A85" s="504"/>
      <c r="B85" s="392"/>
      <c r="C85" s="388"/>
      <c r="D85" s="393"/>
      <c r="E85" s="394"/>
      <c r="F85" s="394"/>
      <c r="G85" s="384"/>
    </row>
    <row r="86" spans="1:7" ht="13" x14ac:dyDescent="0.25">
      <c r="A86" s="504"/>
      <c r="B86" s="392"/>
      <c r="C86" s="388"/>
      <c r="D86" s="393"/>
      <c r="E86" s="394"/>
      <c r="F86" s="394"/>
      <c r="G86" s="384"/>
    </row>
    <row r="87" spans="1:7" ht="13" x14ac:dyDescent="0.25">
      <c r="A87" s="504"/>
      <c r="B87" s="392"/>
      <c r="C87" s="388"/>
      <c r="D87" s="393"/>
      <c r="E87" s="394"/>
      <c r="F87" s="394"/>
      <c r="G87" s="384"/>
    </row>
    <row r="88" spans="1:7" ht="13" x14ac:dyDescent="0.25">
      <c r="A88" s="504"/>
      <c r="B88" s="392"/>
      <c r="C88" s="388"/>
      <c r="D88" s="393"/>
      <c r="E88" s="394"/>
      <c r="F88" s="394"/>
      <c r="G88" s="384"/>
    </row>
    <row r="89" spans="1:7" ht="13" x14ac:dyDescent="0.25">
      <c r="A89" s="504"/>
      <c r="B89" s="392"/>
      <c r="C89" s="388"/>
      <c r="D89" s="393"/>
      <c r="E89" s="394"/>
      <c r="F89" s="394"/>
      <c r="G89" s="384"/>
    </row>
    <row r="90" spans="1:7" ht="13" x14ac:dyDescent="0.25">
      <c r="A90" s="504"/>
      <c r="B90" s="392"/>
      <c r="C90" s="388"/>
      <c r="D90" s="393"/>
      <c r="E90" s="394"/>
      <c r="F90" s="394"/>
      <c r="G90" s="384"/>
    </row>
    <row r="91" spans="1:7" ht="13" x14ac:dyDescent="0.25">
      <c r="A91" s="504"/>
      <c r="B91" s="392"/>
      <c r="C91" s="388"/>
      <c r="D91" s="393"/>
      <c r="E91" s="394"/>
      <c r="F91" s="394"/>
      <c r="G91" s="384"/>
    </row>
    <row r="92" spans="1:7" ht="13" x14ac:dyDescent="0.25">
      <c r="A92" s="504"/>
      <c r="B92" s="392"/>
      <c r="C92" s="388"/>
      <c r="D92" s="393"/>
      <c r="E92" s="394"/>
      <c r="F92" s="394"/>
      <c r="G92" s="384"/>
    </row>
    <row r="93" spans="1:7" ht="13" x14ac:dyDescent="0.25">
      <c r="A93" s="504"/>
      <c r="B93" s="392"/>
      <c r="C93" s="388"/>
      <c r="D93" s="393"/>
      <c r="E93" s="394"/>
      <c r="F93" s="394"/>
      <c r="G93" s="384"/>
    </row>
    <row r="94" spans="1:7" ht="13" x14ac:dyDescent="0.25">
      <c r="A94" s="504"/>
      <c r="B94" s="392"/>
      <c r="C94" s="388"/>
      <c r="D94" s="393"/>
      <c r="E94" s="394"/>
      <c r="F94" s="394"/>
      <c r="G94" s="384"/>
    </row>
    <row r="95" spans="1:7" ht="13" x14ac:dyDescent="0.25">
      <c r="A95" s="504"/>
      <c r="B95" s="392"/>
      <c r="C95" s="388"/>
      <c r="D95" s="393"/>
      <c r="E95" s="394"/>
      <c r="F95" s="394"/>
      <c r="G95" s="384"/>
    </row>
    <row r="96" spans="1:7" ht="13" x14ac:dyDescent="0.25">
      <c r="A96" s="504"/>
      <c r="B96" s="392"/>
      <c r="C96" s="388"/>
      <c r="D96" s="393"/>
      <c r="E96" s="394"/>
      <c r="F96" s="394"/>
      <c r="G96" s="384"/>
    </row>
    <row r="97" spans="1:7" ht="13" x14ac:dyDescent="0.25">
      <c r="A97" s="504"/>
      <c r="B97" s="392"/>
      <c r="C97" s="388"/>
      <c r="D97" s="393"/>
      <c r="E97" s="394"/>
      <c r="F97" s="394"/>
      <c r="G97" s="384"/>
    </row>
    <row r="98" spans="1:7" ht="13" x14ac:dyDescent="0.25">
      <c r="A98" s="504"/>
      <c r="B98" s="392"/>
      <c r="C98" s="388"/>
      <c r="D98" s="393"/>
      <c r="E98" s="394"/>
      <c r="F98" s="394"/>
      <c r="G98" s="384"/>
    </row>
    <row r="99" spans="1:7" ht="13" x14ac:dyDescent="0.25">
      <c r="A99" s="504"/>
      <c r="B99" s="392"/>
      <c r="C99" s="388"/>
      <c r="D99" s="393"/>
      <c r="E99" s="394"/>
      <c r="F99" s="394"/>
      <c r="G99" s="384"/>
    </row>
    <row r="100" spans="1:7" ht="13" x14ac:dyDescent="0.25">
      <c r="A100" s="504"/>
      <c r="B100" s="392"/>
      <c r="C100" s="388"/>
      <c r="D100" s="393"/>
      <c r="E100" s="394"/>
      <c r="F100" s="394"/>
      <c r="G100" s="384"/>
    </row>
    <row r="101" spans="1:7" ht="13" x14ac:dyDescent="0.25">
      <c r="A101" s="504"/>
      <c r="B101" s="392"/>
      <c r="C101" s="388"/>
      <c r="D101" s="393"/>
      <c r="E101" s="394"/>
      <c r="F101" s="394"/>
      <c r="G101" s="384"/>
    </row>
    <row r="102" spans="1:7" ht="13" x14ac:dyDescent="0.25">
      <c r="A102" s="504"/>
      <c r="B102" s="392"/>
      <c r="C102" s="388"/>
      <c r="D102" s="393"/>
      <c r="E102" s="394"/>
      <c r="F102" s="394"/>
      <c r="G102" s="384"/>
    </row>
    <row r="103" spans="1:7" ht="13" x14ac:dyDescent="0.25">
      <c r="A103" s="504"/>
      <c r="B103" s="392"/>
      <c r="C103" s="388"/>
      <c r="D103" s="393"/>
      <c r="E103" s="394"/>
      <c r="F103" s="394"/>
      <c r="G103" s="384"/>
    </row>
    <row r="104" spans="1:7" ht="13" x14ac:dyDescent="0.25">
      <c r="A104" s="504"/>
      <c r="B104" s="392"/>
      <c r="C104" s="388"/>
      <c r="D104" s="393"/>
      <c r="E104" s="394"/>
      <c r="F104" s="394"/>
      <c r="G104" s="384"/>
    </row>
    <row r="105" spans="1:7" ht="13" x14ac:dyDescent="0.25">
      <c r="A105" s="504"/>
      <c r="B105" s="392"/>
      <c r="C105" s="388"/>
      <c r="D105" s="393"/>
      <c r="E105" s="394"/>
      <c r="F105" s="394"/>
      <c r="G105" s="384"/>
    </row>
    <row r="106" spans="1:7" ht="13" x14ac:dyDescent="0.25">
      <c r="A106" s="504"/>
      <c r="B106" s="392"/>
      <c r="C106" s="388"/>
      <c r="D106" s="393"/>
      <c r="E106" s="394"/>
      <c r="F106" s="394"/>
      <c r="G106" s="384"/>
    </row>
    <row r="107" spans="1:7" ht="13" x14ac:dyDescent="0.25">
      <c r="A107" s="504"/>
      <c r="B107" s="392"/>
      <c r="C107" s="388"/>
      <c r="D107" s="393"/>
      <c r="E107" s="394"/>
      <c r="F107" s="394"/>
      <c r="G107" s="384"/>
    </row>
    <row r="108" spans="1:7" ht="13" x14ac:dyDescent="0.25">
      <c r="A108" s="504"/>
      <c r="B108" s="392"/>
      <c r="C108" s="388"/>
      <c r="D108" s="393"/>
      <c r="E108" s="394"/>
      <c r="F108" s="394"/>
      <c r="G108" s="384"/>
    </row>
    <row r="109" spans="1:7" ht="13" x14ac:dyDescent="0.25">
      <c r="A109" s="504"/>
      <c r="B109" s="392"/>
      <c r="C109" s="388"/>
      <c r="D109" s="393"/>
      <c r="E109" s="394"/>
      <c r="F109" s="394"/>
      <c r="G109" s="384"/>
    </row>
    <row r="110" spans="1:7" ht="13" x14ac:dyDescent="0.25">
      <c r="A110" s="504"/>
      <c r="B110" s="392"/>
      <c r="C110" s="388"/>
      <c r="D110" s="393"/>
      <c r="E110" s="394"/>
      <c r="F110" s="394"/>
      <c r="G110" s="384"/>
    </row>
    <row r="111" spans="1:7" ht="13" x14ac:dyDescent="0.25">
      <c r="A111" s="504"/>
      <c r="B111" s="392"/>
      <c r="C111" s="388"/>
      <c r="D111" s="393"/>
      <c r="E111" s="394"/>
      <c r="F111" s="394"/>
      <c r="G111" s="384"/>
    </row>
    <row r="112" spans="1:7" ht="13" x14ac:dyDescent="0.25">
      <c r="A112" s="504"/>
      <c r="B112" s="392"/>
      <c r="C112" s="388"/>
      <c r="D112" s="393"/>
      <c r="E112" s="394"/>
      <c r="F112" s="394"/>
      <c r="G112" s="384"/>
    </row>
    <row r="113" spans="1:7" ht="13" x14ac:dyDescent="0.25">
      <c r="A113" s="504"/>
      <c r="B113" s="392"/>
      <c r="C113" s="388"/>
      <c r="D113" s="393"/>
      <c r="E113" s="394"/>
      <c r="F113" s="394"/>
      <c r="G113" s="384"/>
    </row>
    <row r="114" spans="1:7" ht="13" x14ac:dyDescent="0.25">
      <c r="A114" s="504"/>
      <c r="B114" s="392"/>
      <c r="C114" s="388"/>
      <c r="D114" s="393"/>
      <c r="E114" s="394"/>
      <c r="F114" s="394"/>
      <c r="G114" s="384"/>
    </row>
    <row r="115" spans="1:7" ht="13" x14ac:dyDescent="0.25">
      <c r="A115" s="504"/>
      <c r="B115" s="392"/>
      <c r="C115" s="388"/>
      <c r="D115" s="393"/>
      <c r="E115" s="394"/>
      <c r="F115" s="394"/>
      <c r="G115" s="384"/>
    </row>
    <row r="116" spans="1:7" ht="13" x14ac:dyDescent="0.25">
      <c r="A116" s="504"/>
      <c r="B116" s="392"/>
      <c r="C116" s="388"/>
      <c r="D116" s="393"/>
      <c r="E116" s="394"/>
      <c r="F116" s="394"/>
      <c r="G116" s="384"/>
    </row>
    <row r="117" spans="1:7" ht="13" x14ac:dyDescent="0.25">
      <c r="A117" s="504"/>
      <c r="B117" s="392"/>
      <c r="C117" s="388"/>
      <c r="D117" s="393"/>
      <c r="E117" s="394"/>
      <c r="F117" s="394"/>
      <c r="G117" s="384"/>
    </row>
    <row r="118" spans="1:7" ht="13" x14ac:dyDescent="0.25">
      <c r="A118" s="504"/>
      <c r="B118" s="392"/>
      <c r="C118" s="388"/>
      <c r="D118" s="393"/>
      <c r="E118" s="394"/>
      <c r="F118" s="394"/>
      <c r="G118" s="384"/>
    </row>
    <row r="119" spans="1:7" ht="13" x14ac:dyDescent="0.25">
      <c r="A119" s="504"/>
      <c r="B119" s="392"/>
      <c r="C119" s="388"/>
      <c r="D119" s="393"/>
      <c r="E119" s="394"/>
      <c r="F119" s="394"/>
      <c r="G119" s="384"/>
    </row>
    <row r="120" spans="1:7" ht="13" x14ac:dyDescent="0.25">
      <c r="A120" s="504"/>
      <c r="B120" s="392"/>
      <c r="C120" s="388"/>
      <c r="D120" s="393"/>
      <c r="E120" s="394"/>
      <c r="F120" s="394"/>
      <c r="G120" s="384"/>
    </row>
    <row r="121" spans="1:7" ht="13" x14ac:dyDescent="0.25">
      <c r="A121" s="504"/>
      <c r="B121" s="392"/>
      <c r="C121" s="388"/>
      <c r="D121" s="393"/>
      <c r="E121" s="394"/>
      <c r="F121" s="394"/>
      <c r="G121" s="384"/>
    </row>
    <row r="122" spans="1:7" ht="13" x14ac:dyDescent="0.25">
      <c r="A122" s="504"/>
      <c r="B122" s="392"/>
      <c r="C122" s="388"/>
      <c r="D122" s="393"/>
      <c r="E122" s="394"/>
      <c r="F122" s="394"/>
      <c r="G122" s="384"/>
    </row>
    <row r="123" spans="1:7" ht="13" x14ac:dyDescent="0.25">
      <c r="A123" s="504"/>
      <c r="B123" s="392"/>
      <c r="C123" s="388"/>
      <c r="D123" s="393"/>
      <c r="E123" s="394"/>
      <c r="F123" s="394"/>
      <c r="G123" s="384"/>
    </row>
    <row r="124" spans="1:7" ht="13" x14ac:dyDescent="0.25">
      <c r="A124" s="504"/>
      <c r="B124" s="392"/>
      <c r="C124" s="388"/>
      <c r="D124" s="393"/>
      <c r="E124" s="394"/>
      <c r="F124" s="394"/>
      <c r="G124" s="384"/>
    </row>
    <row r="125" spans="1:7" ht="13" x14ac:dyDescent="0.25">
      <c r="A125" s="504"/>
      <c r="B125" s="392"/>
      <c r="C125" s="388"/>
      <c r="D125" s="393"/>
      <c r="E125" s="394"/>
      <c r="F125" s="394"/>
      <c r="G125" s="384"/>
    </row>
    <row r="126" spans="1:7" ht="13" x14ac:dyDescent="0.25">
      <c r="A126" s="504"/>
      <c r="B126" s="392"/>
      <c r="C126" s="388"/>
      <c r="D126" s="393"/>
      <c r="E126" s="394"/>
      <c r="F126" s="394"/>
      <c r="G126" s="384"/>
    </row>
    <row r="127" spans="1:7" ht="13" x14ac:dyDescent="0.25">
      <c r="A127" s="504"/>
      <c r="B127" s="392"/>
      <c r="C127" s="388"/>
      <c r="D127" s="393"/>
      <c r="E127" s="394"/>
      <c r="F127" s="394"/>
      <c r="G127" s="384"/>
    </row>
    <row r="128" spans="1:7" ht="13" x14ac:dyDescent="0.25">
      <c r="A128" s="504"/>
      <c r="B128" s="392"/>
      <c r="C128" s="388"/>
      <c r="D128" s="393"/>
      <c r="E128" s="394"/>
      <c r="F128" s="394"/>
      <c r="G128" s="384"/>
    </row>
    <row r="129" spans="1:7" ht="13" x14ac:dyDescent="0.25">
      <c r="A129" s="504"/>
      <c r="B129" s="392"/>
      <c r="C129" s="388"/>
      <c r="D129" s="393"/>
      <c r="E129" s="394"/>
      <c r="F129" s="394"/>
      <c r="G129" s="384"/>
    </row>
    <row r="130" spans="1:7" ht="13" x14ac:dyDescent="0.25">
      <c r="A130" s="504"/>
      <c r="B130" s="392"/>
      <c r="C130" s="388"/>
      <c r="D130" s="393"/>
      <c r="E130" s="394"/>
      <c r="F130" s="394"/>
      <c r="G130" s="384"/>
    </row>
    <row r="131" spans="1:7" ht="13" x14ac:dyDescent="0.25">
      <c r="A131" s="504"/>
      <c r="B131" s="392"/>
      <c r="C131" s="388"/>
      <c r="D131" s="393"/>
      <c r="E131" s="394"/>
      <c r="F131" s="394"/>
      <c r="G131" s="384"/>
    </row>
    <row r="132" spans="1:7" ht="13" x14ac:dyDescent="0.25">
      <c r="A132" s="504"/>
      <c r="B132" s="392"/>
      <c r="C132" s="388"/>
      <c r="D132" s="393"/>
      <c r="E132" s="394"/>
      <c r="F132" s="394"/>
      <c r="G132" s="384"/>
    </row>
    <row r="133" spans="1:7" ht="13" x14ac:dyDescent="0.25">
      <c r="A133" s="504"/>
      <c r="B133" s="392"/>
      <c r="C133" s="388"/>
      <c r="D133" s="393"/>
      <c r="E133" s="394"/>
      <c r="F133" s="394"/>
      <c r="G133" s="384"/>
    </row>
    <row r="134" spans="1:7" ht="13" x14ac:dyDescent="0.25">
      <c r="A134" s="504"/>
      <c r="B134" s="392"/>
      <c r="C134" s="388"/>
      <c r="D134" s="393"/>
      <c r="E134" s="394"/>
      <c r="F134" s="394"/>
      <c r="G134" s="384"/>
    </row>
    <row r="135" spans="1:7" ht="13" x14ac:dyDescent="0.25">
      <c r="A135" s="504"/>
      <c r="B135" s="392"/>
      <c r="C135" s="388"/>
      <c r="D135" s="393"/>
      <c r="E135" s="394"/>
      <c r="F135" s="394"/>
      <c r="G135" s="384"/>
    </row>
    <row r="136" spans="1:7" ht="13" x14ac:dyDescent="0.25">
      <c r="A136" s="504"/>
      <c r="B136" s="392"/>
      <c r="C136" s="388"/>
      <c r="D136" s="393"/>
      <c r="E136" s="394"/>
      <c r="F136" s="394"/>
      <c r="G136" s="384"/>
    </row>
    <row r="137" spans="1:7" ht="13" x14ac:dyDescent="0.25">
      <c r="A137" s="504"/>
      <c r="B137" s="392"/>
      <c r="C137" s="388"/>
      <c r="D137" s="393"/>
      <c r="E137" s="394"/>
      <c r="F137" s="394"/>
      <c r="G137" s="384"/>
    </row>
    <row r="138" spans="1:7" ht="13" x14ac:dyDescent="0.25">
      <c r="A138" s="504"/>
      <c r="B138" s="392"/>
      <c r="C138" s="388"/>
      <c r="D138" s="393"/>
      <c r="E138" s="394"/>
      <c r="F138" s="394"/>
      <c r="G138" s="384"/>
    </row>
    <row r="139" spans="1:7" ht="13" x14ac:dyDescent="0.25">
      <c r="A139" s="504"/>
      <c r="B139" s="392"/>
      <c r="C139" s="388"/>
      <c r="D139" s="393"/>
      <c r="E139" s="394"/>
      <c r="F139" s="394"/>
      <c r="G139" s="384"/>
    </row>
    <row r="140" spans="1:7" ht="13" x14ac:dyDescent="0.25">
      <c r="A140" s="504"/>
      <c r="B140" s="392"/>
      <c r="C140" s="388"/>
      <c r="D140" s="393"/>
      <c r="E140" s="394"/>
      <c r="F140" s="394"/>
      <c r="G140" s="384"/>
    </row>
    <row r="141" spans="1:7" ht="13" x14ac:dyDescent="0.25">
      <c r="A141" s="504"/>
      <c r="B141" s="392"/>
      <c r="C141" s="388"/>
      <c r="D141" s="393"/>
      <c r="E141" s="394"/>
      <c r="F141" s="394"/>
      <c r="G141" s="384"/>
    </row>
    <row r="142" spans="1:7" ht="13" x14ac:dyDescent="0.25">
      <c r="A142" s="504"/>
      <c r="B142" s="392"/>
      <c r="C142" s="388"/>
      <c r="D142" s="393"/>
      <c r="E142" s="394"/>
      <c r="F142" s="394"/>
      <c r="G142" s="384"/>
    </row>
    <row r="143" spans="1:7" ht="13" x14ac:dyDescent="0.25">
      <c r="A143" s="504"/>
      <c r="B143" s="392"/>
      <c r="C143" s="388"/>
      <c r="D143" s="393"/>
      <c r="E143" s="394"/>
      <c r="F143" s="394"/>
      <c r="G143" s="384"/>
    </row>
    <row r="144" spans="1:7" ht="13" x14ac:dyDescent="0.25">
      <c r="A144" s="504"/>
      <c r="B144" s="392"/>
      <c r="C144" s="388"/>
      <c r="D144" s="393"/>
      <c r="E144" s="394"/>
      <c r="F144" s="394"/>
      <c r="G144" s="384"/>
    </row>
    <row r="145" spans="1:7" ht="13" x14ac:dyDescent="0.25">
      <c r="A145" s="504"/>
      <c r="B145" s="392"/>
      <c r="C145" s="388"/>
      <c r="D145" s="393"/>
      <c r="E145" s="394"/>
      <c r="F145" s="394"/>
      <c r="G145" s="384"/>
    </row>
    <row r="146" spans="1:7" ht="13" x14ac:dyDescent="0.25">
      <c r="A146" s="504"/>
      <c r="B146" s="392"/>
      <c r="C146" s="388"/>
      <c r="D146" s="393"/>
      <c r="E146" s="394"/>
      <c r="F146" s="394"/>
      <c r="G146" s="384"/>
    </row>
    <row r="147" spans="1:7" ht="13" x14ac:dyDescent="0.25">
      <c r="A147" s="504"/>
      <c r="B147" s="392"/>
      <c r="C147" s="388"/>
      <c r="D147" s="393"/>
      <c r="E147" s="394"/>
      <c r="F147" s="394"/>
      <c r="G147" s="384"/>
    </row>
    <row r="148" spans="1:7" ht="13" x14ac:dyDescent="0.25">
      <c r="A148" s="504"/>
      <c r="B148" s="392"/>
      <c r="C148" s="388"/>
      <c r="D148" s="393"/>
      <c r="E148" s="394"/>
      <c r="F148" s="394"/>
      <c r="G148" s="384"/>
    </row>
    <row r="149" spans="1:7" ht="13" x14ac:dyDescent="0.25">
      <c r="A149" s="504"/>
      <c r="B149" s="392"/>
      <c r="C149" s="388"/>
      <c r="D149" s="393"/>
      <c r="E149" s="394"/>
      <c r="F149" s="394"/>
      <c r="G149" s="384"/>
    </row>
    <row r="150" spans="1:7" ht="13" x14ac:dyDescent="0.25">
      <c r="A150" s="504"/>
      <c r="B150" s="392"/>
      <c r="C150" s="388"/>
      <c r="D150" s="393"/>
      <c r="E150" s="394"/>
      <c r="F150" s="394"/>
      <c r="G150" s="384"/>
    </row>
    <row r="151" spans="1:7" ht="13" x14ac:dyDescent="0.25">
      <c r="A151" s="504"/>
      <c r="B151" s="392"/>
      <c r="C151" s="388"/>
      <c r="D151" s="393"/>
      <c r="E151" s="394"/>
      <c r="F151" s="394"/>
      <c r="G151" s="384"/>
    </row>
    <row r="152" spans="1:7" ht="13" x14ac:dyDescent="0.25">
      <c r="A152" s="504"/>
      <c r="B152" s="392"/>
      <c r="C152" s="388"/>
      <c r="D152" s="393"/>
      <c r="E152" s="394"/>
      <c r="F152" s="394"/>
      <c r="G152" s="384"/>
    </row>
    <row r="153" spans="1:7" ht="13" x14ac:dyDescent="0.25">
      <c r="A153" s="504"/>
      <c r="B153" s="392"/>
      <c r="C153" s="388"/>
      <c r="D153" s="393"/>
      <c r="E153" s="394"/>
      <c r="F153" s="394"/>
      <c r="G153" s="384"/>
    </row>
    <row r="154" spans="1:7" ht="13" x14ac:dyDescent="0.25">
      <c r="A154" s="504"/>
      <c r="B154" s="392"/>
      <c r="C154" s="388"/>
      <c r="D154" s="393"/>
      <c r="E154" s="394"/>
      <c r="F154" s="394"/>
      <c r="G154" s="384"/>
    </row>
    <row r="155" spans="1:7" ht="13" x14ac:dyDescent="0.25">
      <c r="A155" s="504"/>
      <c r="B155" s="392"/>
      <c r="C155" s="388"/>
      <c r="D155" s="393"/>
      <c r="E155" s="394"/>
      <c r="F155" s="394"/>
      <c r="G155" s="384"/>
    </row>
    <row r="156" spans="1:7" ht="13" x14ac:dyDescent="0.25">
      <c r="A156" s="504"/>
      <c r="B156" s="392"/>
      <c r="C156" s="388"/>
      <c r="D156" s="393"/>
      <c r="E156" s="394"/>
      <c r="F156" s="394"/>
      <c r="G156" s="384"/>
    </row>
    <row r="157" spans="1:7" ht="13" x14ac:dyDescent="0.25">
      <c r="A157" s="504"/>
      <c r="B157" s="392"/>
      <c r="C157" s="388"/>
      <c r="D157" s="393"/>
      <c r="E157" s="394"/>
      <c r="F157" s="394"/>
      <c r="G157" s="384"/>
    </row>
    <row r="158" spans="1:7" ht="13" x14ac:dyDescent="0.25">
      <c r="A158" s="504"/>
      <c r="B158" s="392"/>
      <c r="C158" s="388"/>
      <c r="D158" s="393"/>
      <c r="E158" s="394"/>
      <c r="F158" s="394"/>
      <c r="G158" s="384"/>
    </row>
    <row r="159" spans="1:7" ht="13" x14ac:dyDescent="0.25">
      <c r="A159" s="504"/>
      <c r="B159" s="392"/>
      <c r="C159" s="388"/>
      <c r="D159" s="393"/>
      <c r="E159" s="394"/>
      <c r="F159" s="394"/>
      <c r="G159" s="384"/>
    </row>
    <row r="160" spans="1:7" ht="13" x14ac:dyDescent="0.25">
      <c r="A160" s="504"/>
      <c r="B160" s="392"/>
      <c r="C160" s="388"/>
      <c r="D160" s="393"/>
      <c r="E160" s="394"/>
      <c r="F160" s="394"/>
      <c r="G160" s="384"/>
    </row>
    <row r="161" spans="1:7" ht="13" x14ac:dyDescent="0.25">
      <c r="A161" s="504"/>
      <c r="B161" s="392"/>
      <c r="C161" s="388"/>
      <c r="D161" s="393"/>
      <c r="E161" s="394"/>
      <c r="F161" s="394"/>
      <c r="G161" s="384"/>
    </row>
    <row r="162" spans="1:7" ht="13" x14ac:dyDescent="0.25">
      <c r="A162" s="504"/>
      <c r="B162" s="392"/>
      <c r="C162" s="388"/>
      <c r="D162" s="393"/>
      <c r="E162" s="394"/>
      <c r="F162" s="394"/>
      <c r="G162" s="384"/>
    </row>
    <row r="163" spans="1:7" ht="13" x14ac:dyDescent="0.25">
      <c r="A163" s="504"/>
      <c r="B163" s="392"/>
      <c r="C163" s="388"/>
      <c r="D163" s="393"/>
      <c r="E163" s="394"/>
      <c r="F163" s="394"/>
      <c r="G163" s="384"/>
    </row>
    <row r="164" spans="1:7" ht="13" x14ac:dyDescent="0.25">
      <c r="A164" s="504"/>
      <c r="B164" s="392"/>
      <c r="C164" s="388"/>
      <c r="D164" s="393"/>
      <c r="E164" s="394"/>
      <c r="F164" s="394"/>
      <c r="G164" s="384"/>
    </row>
    <row r="165" spans="1:7" ht="13" x14ac:dyDescent="0.25">
      <c r="A165" s="504"/>
      <c r="B165" s="392"/>
      <c r="C165" s="388"/>
      <c r="D165" s="393"/>
      <c r="E165" s="394"/>
      <c r="F165" s="394"/>
      <c r="G165" s="384"/>
    </row>
    <row r="166" spans="1:7" ht="13" x14ac:dyDescent="0.25">
      <c r="A166" s="504"/>
      <c r="B166" s="392"/>
      <c r="C166" s="388"/>
      <c r="D166" s="393"/>
      <c r="E166" s="394"/>
      <c r="F166" s="394"/>
      <c r="G166" s="384"/>
    </row>
    <row r="167" spans="1:7" ht="13" x14ac:dyDescent="0.25">
      <c r="A167" s="504"/>
      <c r="B167" s="392"/>
      <c r="C167" s="388"/>
      <c r="D167" s="393"/>
      <c r="E167" s="394"/>
      <c r="F167" s="394"/>
      <c r="G167" s="384"/>
    </row>
    <row r="168" spans="1:7" ht="13" x14ac:dyDescent="0.25">
      <c r="A168" s="504"/>
      <c r="B168" s="392"/>
      <c r="C168" s="388"/>
      <c r="D168" s="393"/>
      <c r="E168" s="394"/>
      <c r="F168" s="394"/>
      <c r="G168" s="384"/>
    </row>
    <row r="169" spans="1:7" ht="13" x14ac:dyDescent="0.25">
      <c r="A169" s="504"/>
      <c r="B169" s="392"/>
      <c r="C169" s="388"/>
      <c r="D169" s="393"/>
      <c r="E169" s="394"/>
      <c r="F169" s="394"/>
      <c r="G169" s="384"/>
    </row>
    <row r="170" spans="1:7" ht="13" x14ac:dyDescent="0.25">
      <c r="A170" s="504"/>
      <c r="B170" s="392"/>
      <c r="C170" s="388"/>
      <c r="D170" s="393"/>
      <c r="E170" s="394"/>
      <c r="F170" s="394"/>
      <c r="G170" s="384"/>
    </row>
    <row r="171" spans="1:7" ht="13" x14ac:dyDescent="0.25">
      <c r="A171" s="504"/>
      <c r="B171" s="392"/>
      <c r="C171" s="388"/>
      <c r="D171" s="393"/>
      <c r="E171" s="394"/>
      <c r="F171" s="394"/>
      <c r="G171" s="384"/>
    </row>
    <row r="172" spans="1:7" ht="13" x14ac:dyDescent="0.25">
      <c r="A172" s="504"/>
      <c r="B172" s="392"/>
      <c r="C172" s="388"/>
      <c r="D172" s="393"/>
      <c r="E172" s="394"/>
      <c r="F172" s="394"/>
      <c r="G172" s="384"/>
    </row>
    <row r="173" spans="1:7" ht="13" x14ac:dyDescent="0.25">
      <c r="A173" s="504"/>
      <c r="B173" s="392"/>
      <c r="C173" s="388"/>
      <c r="D173" s="393"/>
      <c r="E173" s="394"/>
      <c r="F173" s="394"/>
      <c r="G173" s="384"/>
    </row>
    <row r="174" spans="1:7" ht="13" x14ac:dyDescent="0.25">
      <c r="A174" s="504"/>
      <c r="B174" s="392"/>
      <c r="C174" s="388"/>
      <c r="D174" s="393"/>
      <c r="E174" s="394"/>
      <c r="F174" s="394"/>
      <c r="G174" s="384"/>
    </row>
    <row r="175" spans="1:7" ht="13" x14ac:dyDescent="0.25">
      <c r="A175" s="504"/>
      <c r="B175" s="392"/>
      <c r="C175" s="388"/>
      <c r="D175" s="393"/>
      <c r="E175" s="394"/>
      <c r="F175" s="394"/>
      <c r="G175" s="384"/>
    </row>
    <row r="176" spans="1:7" ht="13" x14ac:dyDescent="0.25">
      <c r="A176" s="504"/>
      <c r="B176" s="392"/>
      <c r="C176" s="388"/>
      <c r="D176" s="393"/>
      <c r="E176" s="394"/>
      <c r="F176" s="394"/>
      <c r="G176" s="384"/>
    </row>
    <row r="177" spans="1:7" ht="13" x14ac:dyDescent="0.25">
      <c r="A177" s="504"/>
      <c r="B177" s="392"/>
      <c r="C177" s="388"/>
      <c r="D177" s="393"/>
      <c r="E177" s="394"/>
      <c r="F177" s="394"/>
      <c r="G177" s="384"/>
    </row>
    <row r="178" spans="1:7" ht="13" x14ac:dyDescent="0.25">
      <c r="A178" s="504"/>
      <c r="B178" s="392"/>
      <c r="C178" s="388"/>
      <c r="D178" s="393"/>
      <c r="E178" s="394"/>
      <c r="F178" s="394"/>
      <c r="G178" s="384"/>
    </row>
    <row r="179" spans="1:7" ht="13" x14ac:dyDescent="0.25">
      <c r="A179" s="504"/>
      <c r="B179" s="392"/>
      <c r="C179" s="388"/>
      <c r="D179" s="393"/>
      <c r="E179" s="394"/>
      <c r="F179" s="394"/>
      <c r="G179" s="384"/>
    </row>
    <row r="180" spans="1:7" ht="13" x14ac:dyDescent="0.25">
      <c r="A180" s="504"/>
      <c r="B180" s="392"/>
      <c r="C180" s="388"/>
      <c r="D180" s="393"/>
      <c r="E180" s="394"/>
      <c r="F180" s="394"/>
      <c r="G180" s="384"/>
    </row>
    <row r="181" spans="1:7" ht="13" x14ac:dyDescent="0.25">
      <c r="A181" s="504"/>
      <c r="B181" s="392"/>
      <c r="C181" s="388"/>
      <c r="D181" s="393"/>
      <c r="E181" s="394"/>
      <c r="F181" s="394"/>
      <c r="G181" s="384"/>
    </row>
    <row r="182" spans="1:7" ht="13" x14ac:dyDescent="0.25">
      <c r="A182" s="504"/>
      <c r="B182" s="392"/>
      <c r="C182" s="388"/>
      <c r="D182" s="393"/>
      <c r="E182" s="394"/>
      <c r="F182" s="394"/>
      <c r="G182" s="384"/>
    </row>
    <row r="183" spans="1:7" ht="13" x14ac:dyDescent="0.25">
      <c r="A183" s="504"/>
      <c r="B183" s="392"/>
      <c r="C183" s="388"/>
      <c r="D183" s="393"/>
      <c r="E183" s="394"/>
      <c r="F183" s="394"/>
      <c r="G183" s="384"/>
    </row>
    <row r="184" spans="1:7" ht="13" x14ac:dyDescent="0.25">
      <c r="A184" s="504"/>
      <c r="B184" s="392"/>
      <c r="C184" s="388"/>
      <c r="D184" s="393"/>
      <c r="E184" s="394"/>
      <c r="F184" s="394"/>
      <c r="G184" s="384"/>
    </row>
    <row r="185" spans="1:7" ht="13" x14ac:dyDescent="0.25">
      <c r="A185" s="504"/>
      <c r="B185" s="392"/>
      <c r="C185" s="388"/>
      <c r="D185" s="393"/>
      <c r="E185" s="394"/>
      <c r="F185" s="394"/>
      <c r="G185" s="384"/>
    </row>
    <row r="186" spans="1:7" ht="13" x14ac:dyDescent="0.25">
      <c r="A186" s="504"/>
      <c r="B186" s="392"/>
      <c r="C186" s="388"/>
      <c r="D186" s="393"/>
      <c r="E186" s="394"/>
      <c r="F186" s="394"/>
      <c r="G186" s="384"/>
    </row>
    <row r="187" spans="1:7" ht="13" x14ac:dyDescent="0.25">
      <c r="A187" s="504"/>
      <c r="B187" s="392"/>
      <c r="C187" s="388"/>
      <c r="D187" s="393"/>
      <c r="E187" s="394"/>
      <c r="F187" s="394"/>
      <c r="G187" s="384"/>
    </row>
    <row r="188" spans="1:7" ht="13" x14ac:dyDescent="0.25">
      <c r="A188" s="504"/>
      <c r="B188" s="392"/>
      <c r="C188" s="388"/>
      <c r="D188" s="393"/>
      <c r="E188" s="394"/>
      <c r="F188" s="394"/>
      <c r="G188" s="384"/>
    </row>
    <row r="189" spans="1:7" ht="13" x14ac:dyDescent="0.25">
      <c r="A189" s="504"/>
      <c r="B189" s="392"/>
      <c r="C189" s="388"/>
      <c r="D189" s="393"/>
      <c r="E189" s="394"/>
      <c r="F189" s="394"/>
      <c r="G189" s="384"/>
    </row>
    <row r="190" spans="1:7" ht="13" x14ac:dyDescent="0.25">
      <c r="A190" s="504"/>
      <c r="B190" s="392"/>
      <c r="C190" s="388"/>
      <c r="D190" s="393"/>
      <c r="E190" s="394"/>
      <c r="F190" s="394"/>
      <c r="G190" s="384"/>
    </row>
    <row r="191" spans="1:7" ht="13" x14ac:dyDescent="0.25">
      <c r="A191" s="504"/>
      <c r="B191" s="392"/>
      <c r="C191" s="388"/>
      <c r="D191" s="393"/>
      <c r="E191" s="394"/>
      <c r="F191" s="394"/>
      <c r="G191" s="384"/>
    </row>
    <row r="192" spans="1:7" ht="13" x14ac:dyDescent="0.25">
      <c r="A192" s="504"/>
      <c r="B192" s="392"/>
      <c r="C192" s="388"/>
      <c r="D192" s="393"/>
      <c r="E192" s="394"/>
      <c r="F192" s="394"/>
      <c r="G192" s="384"/>
    </row>
    <row r="193" spans="1:7" ht="13" x14ac:dyDescent="0.25">
      <c r="A193" s="504"/>
      <c r="B193" s="392"/>
      <c r="C193" s="388"/>
      <c r="D193" s="393"/>
      <c r="E193" s="394"/>
      <c r="F193" s="394"/>
      <c r="G193" s="384"/>
    </row>
    <row r="194" spans="1:7" ht="13" x14ac:dyDescent="0.25">
      <c r="A194" s="504"/>
      <c r="B194" s="392"/>
      <c r="C194" s="388"/>
      <c r="D194" s="393"/>
      <c r="E194" s="394"/>
      <c r="F194" s="394"/>
      <c r="G194" s="384"/>
    </row>
    <row r="195" spans="1:7" ht="13" x14ac:dyDescent="0.25">
      <c r="A195" s="504"/>
      <c r="B195" s="392"/>
      <c r="C195" s="388"/>
      <c r="D195" s="393"/>
      <c r="E195" s="394"/>
      <c r="F195" s="394"/>
      <c r="G195" s="384"/>
    </row>
    <row r="196" spans="1:7" ht="13" x14ac:dyDescent="0.25">
      <c r="A196" s="504"/>
      <c r="B196" s="392"/>
      <c r="C196" s="388"/>
      <c r="D196" s="393"/>
      <c r="E196" s="394"/>
      <c r="F196" s="394"/>
      <c r="G196" s="384"/>
    </row>
    <row r="197" spans="1:7" ht="13" x14ac:dyDescent="0.25">
      <c r="A197" s="504"/>
      <c r="B197" s="392"/>
      <c r="C197" s="388"/>
      <c r="D197" s="393"/>
      <c r="E197" s="394"/>
      <c r="F197" s="394"/>
      <c r="G197" s="384"/>
    </row>
    <row r="198" spans="1:7" ht="13" x14ac:dyDescent="0.25">
      <c r="A198" s="504"/>
      <c r="B198" s="392"/>
      <c r="C198" s="388"/>
      <c r="D198" s="393"/>
      <c r="E198" s="394"/>
      <c r="F198" s="394"/>
      <c r="G198" s="384"/>
    </row>
    <row r="199" spans="1:7" ht="13" x14ac:dyDescent="0.25">
      <c r="A199" s="504"/>
      <c r="B199" s="392"/>
      <c r="C199" s="388"/>
      <c r="D199" s="393"/>
      <c r="E199" s="394"/>
      <c r="F199" s="394"/>
      <c r="G199" s="384"/>
    </row>
    <row r="200" spans="1:7" ht="13" x14ac:dyDescent="0.25">
      <c r="A200" s="504"/>
      <c r="B200" s="392"/>
      <c r="C200" s="388"/>
      <c r="D200" s="393"/>
      <c r="E200" s="394"/>
      <c r="F200" s="394"/>
      <c r="G200" s="384"/>
    </row>
    <row r="201" spans="1:7" ht="13" x14ac:dyDescent="0.25">
      <c r="A201" s="504"/>
      <c r="B201" s="392"/>
      <c r="C201" s="388"/>
      <c r="D201" s="393"/>
      <c r="E201" s="394"/>
      <c r="F201" s="394"/>
      <c r="G201" s="384"/>
    </row>
    <row r="202" spans="1:7" ht="13" x14ac:dyDescent="0.25">
      <c r="A202" s="504"/>
      <c r="B202" s="392"/>
      <c r="C202" s="388"/>
      <c r="D202" s="393"/>
      <c r="E202" s="394"/>
      <c r="F202" s="394"/>
      <c r="G202" s="384"/>
    </row>
    <row r="203" spans="1:7" ht="13" x14ac:dyDescent="0.25">
      <c r="A203" s="504"/>
      <c r="B203" s="392"/>
      <c r="C203" s="388"/>
      <c r="D203" s="393"/>
      <c r="E203" s="394"/>
      <c r="F203" s="394"/>
      <c r="G203" s="384"/>
    </row>
    <row r="204" spans="1:7" ht="13" x14ac:dyDescent="0.25">
      <c r="A204" s="504"/>
      <c r="B204" s="392"/>
      <c r="C204" s="388"/>
      <c r="D204" s="393"/>
      <c r="E204" s="394"/>
      <c r="F204" s="394"/>
      <c r="G204" s="384"/>
    </row>
    <row r="205" spans="1:7" ht="13" x14ac:dyDescent="0.25">
      <c r="A205" s="504"/>
      <c r="B205" s="392"/>
      <c r="C205" s="388"/>
      <c r="D205" s="393"/>
      <c r="E205" s="394"/>
      <c r="F205" s="394"/>
      <c r="G205" s="384"/>
    </row>
    <row r="206" spans="1:7" ht="13" x14ac:dyDescent="0.25">
      <c r="A206" s="504"/>
      <c r="B206" s="392"/>
      <c r="C206" s="388"/>
      <c r="D206" s="393"/>
      <c r="E206" s="394"/>
      <c r="F206" s="394"/>
      <c r="G206" s="384"/>
    </row>
    <row r="207" spans="1:7" ht="13" x14ac:dyDescent="0.25">
      <c r="A207" s="504"/>
      <c r="B207" s="392"/>
      <c r="C207" s="388"/>
      <c r="D207" s="393"/>
      <c r="E207" s="394"/>
      <c r="F207" s="394"/>
      <c r="G207" s="384"/>
    </row>
    <row r="208" spans="1:7" ht="13" x14ac:dyDescent="0.25">
      <c r="A208" s="504"/>
      <c r="B208" s="392"/>
      <c r="C208" s="388"/>
      <c r="D208" s="393"/>
      <c r="E208" s="394"/>
      <c r="F208" s="394"/>
      <c r="G208" s="384"/>
    </row>
    <row r="209" spans="1:7" ht="13" x14ac:dyDescent="0.25">
      <c r="A209" s="504"/>
      <c r="B209" s="392"/>
      <c r="C209" s="388"/>
      <c r="D209" s="393"/>
      <c r="E209" s="394"/>
      <c r="F209" s="394"/>
      <c r="G209" s="384"/>
    </row>
    <row r="210" spans="1:7" ht="13" x14ac:dyDescent="0.25">
      <c r="A210" s="504"/>
      <c r="B210" s="392"/>
      <c r="C210" s="388"/>
      <c r="D210" s="393"/>
      <c r="E210" s="394"/>
      <c r="F210" s="394"/>
      <c r="G210" s="384"/>
    </row>
    <row r="211" spans="1:7" ht="13" x14ac:dyDescent="0.25">
      <c r="A211" s="504"/>
      <c r="B211" s="392"/>
      <c r="C211" s="388"/>
      <c r="D211" s="393"/>
      <c r="E211" s="394"/>
      <c r="F211" s="394"/>
      <c r="G211" s="384"/>
    </row>
    <row r="212" spans="1:7" ht="13" x14ac:dyDescent="0.25">
      <c r="A212" s="504"/>
      <c r="B212" s="392"/>
      <c r="C212" s="388"/>
      <c r="D212" s="393"/>
      <c r="E212" s="394"/>
      <c r="F212" s="394"/>
      <c r="G212" s="384"/>
    </row>
    <row r="213" spans="1:7" ht="13" x14ac:dyDescent="0.25">
      <c r="A213" s="504"/>
      <c r="B213" s="392"/>
      <c r="C213" s="388"/>
      <c r="D213" s="393"/>
      <c r="E213" s="394"/>
      <c r="F213" s="394"/>
      <c r="G213" s="384"/>
    </row>
    <row r="214" spans="1:7" ht="13" x14ac:dyDescent="0.25">
      <c r="A214" s="504"/>
      <c r="B214" s="392"/>
      <c r="C214" s="388"/>
      <c r="D214" s="393"/>
      <c r="E214" s="394"/>
      <c r="F214" s="394"/>
      <c r="G214" s="384"/>
    </row>
    <row r="215" spans="1:7" ht="13" x14ac:dyDescent="0.25">
      <c r="A215" s="504"/>
      <c r="B215" s="392"/>
      <c r="C215" s="388"/>
      <c r="D215" s="393"/>
      <c r="E215" s="394"/>
      <c r="F215" s="394"/>
      <c r="G215" s="384"/>
    </row>
    <row r="216" spans="1:7" ht="13" x14ac:dyDescent="0.25">
      <c r="A216" s="504"/>
      <c r="B216" s="392"/>
      <c r="C216" s="388"/>
      <c r="D216" s="393"/>
      <c r="E216" s="394"/>
      <c r="F216" s="394"/>
      <c r="G216" s="384"/>
    </row>
    <row r="217" spans="1:7" ht="13" x14ac:dyDescent="0.25">
      <c r="A217" s="504"/>
      <c r="B217" s="392"/>
      <c r="C217" s="388"/>
      <c r="D217" s="393"/>
      <c r="E217" s="394"/>
      <c r="F217" s="394"/>
      <c r="G217" s="384"/>
    </row>
    <row r="218" spans="1:7" ht="13" x14ac:dyDescent="0.25">
      <c r="A218" s="504"/>
      <c r="B218" s="392"/>
      <c r="C218" s="388"/>
      <c r="D218" s="393"/>
      <c r="E218" s="394"/>
      <c r="F218" s="394"/>
      <c r="G218" s="384"/>
    </row>
    <row r="219" spans="1:7" ht="13" x14ac:dyDescent="0.25">
      <c r="A219" s="504"/>
      <c r="B219" s="392"/>
      <c r="C219" s="388"/>
      <c r="D219" s="393"/>
      <c r="E219" s="394"/>
      <c r="F219" s="394"/>
      <c r="G219" s="384"/>
    </row>
    <row r="220" spans="1:7" ht="13" x14ac:dyDescent="0.25">
      <c r="A220" s="504"/>
      <c r="B220" s="392"/>
      <c r="C220" s="388"/>
      <c r="D220" s="393"/>
      <c r="E220" s="394"/>
      <c r="F220" s="394"/>
      <c r="G220" s="384"/>
    </row>
    <row r="221" spans="1:7" ht="13" x14ac:dyDescent="0.25">
      <c r="A221" s="504"/>
      <c r="B221" s="392"/>
      <c r="C221" s="388"/>
      <c r="D221" s="393"/>
      <c r="E221" s="394"/>
      <c r="F221" s="394"/>
      <c r="G221" s="384"/>
    </row>
    <row r="222" spans="1:7" ht="13" x14ac:dyDescent="0.25">
      <c r="A222" s="504"/>
      <c r="B222" s="392"/>
      <c r="C222" s="388"/>
      <c r="D222" s="393"/>
      <c r="E222" s="394"/>
      <c r="F222" s="394"/>
      <c r="G222" s="384"/>
    </row>
    <row r="223" spans="1:7" ht="13" x14ac:dyDescent="0.25">
      <c r="A223" s="504"/>
      <c r="B223" s="392"/>
      <c r="C223" s="388"/>
      <c r="D223" s="393"/>
      <c r="E223" s="394"/>
      <c r="F223" s="394"/>
      <c r="G223" s="384"/>
    </row>
    <row r="224" spans="1:7" ht="13" x14ac:dyDescent="0.25">
      <c r="A224" s="504"/>
      <c r="B224" s="392"/>
      <c r="C224" s="388"/>
      <c r="D224" s="393"/>
      <c r="E224" s="394"/>
      <c r="F224" s="394"/>
      <c r="G224" s="384"/>
    </row>
    <row r="225" spans="1:7" ht="13" x14ac:dyDescent="0.25">
      <c r="A225" s="504"/>
      <c r="B225" s="392"/>
      <c r="C225" s="388"/>
      <c r="D225" s="393"/>
      <c r="E225" s="394"/>
      <c r="F225" s="394"/>
      <c r="G225" s="384"/>
    </row>
    <row r="226" spans="1:7" ht="13" x14ac:dyDescent="0.25">
      <c r="A226" s="504"/>
      <c r="B226" s="392"/>
      <c r="C226" s="388"/>
      <c r="D226" s="393"/>
      <c r="E226" s="394"/>
      <c r="F226" s="394"/>
      <c r="G226" s="384"/>
    </row>
    <row r="227" spans="1:7" ht="13" x14ac:dyDescent="0.25">
      <c r="A227" s="504"/>
      <c r="B227" s="392"/>
      <c r="C227" s="388"/>
      <c r="D227" s="393"/>
      <c r="E227" s="394"/>
      <c r="F227" s="394"/>
      <c r="G227" s="384"/>
    </row>
    <row r="228" spans="1:7" ht="13" x14ac:dyDescent="0.25">
      <c r="A228" s="504"/>
      <c r="B228" s="392"/>
      <c r="C228" s="388"/>
      <c r="D228" s="393"/>
      <c r="E228" s="394"/>
      <c r="F228" s="394"/>
      <c r="G228" s="384"/>
    </row>
    <row r="229" spans="1:7" ht="13" x14ac:dyDescent="0.25">
      <c r="A229" s="504"/>
      <c r="B229" s="392"/>
      <c r="C229" s="388"/>
      <c r="D229" s="393"/>
      <c r="E229" s="394"/>
      <c r="F229" s="394"/>
      <c r="G229" s="384"/>
    </row>
    <row r="230" spans="1:7" ht="13" x14ac:dyDescent="0.25">
      <c r="A230" s="504"/>
      <c r="B230" s="392"/>
      <c r="C230" s="388"/>
      <c r="D230" s="393"/>
      <c r="E230" s="394"/>
      <c r="F230" s="394"/>
      <c r="G230" s="384"/>
    </row>
    <row r="231" spans="1:7" ht="13" x14ac:dyDescent="0.25">
      <c r="A231" s="504"/>
      <c r="B231" s="392"/>
      <c r="C231" s="388"/>
      <c r="D231" s="393"/>
      <c r="E231" s="394"/>
      <c r="F231" s="394"/>
      <c r="G231" s="384"/>
    </row>
    <row r="232" spans="1:7" ht="13" x14ac:dyDescent="0.25">
      <c r="A232" s="504"/>
      <c r="B232" s="392"/>
      <c r="C232" s="388"/>
      <c r="D232" s="393"/>
      <c r="E232" s="394"/>
      <c r="F232" s="394"/>
      <c r="G232" s="384"/>
    </row>
    <row r="233" spans="1:7" ht="13" x14ac:dyDescent="0.25">
      <c r="A233" s="504"/>
      <c r="B233" s="392"/>
      <c r="C233" s="388"/>
      <c r="D233" s="393"/>
      <c r="E233" s="394"/>
      <c r="F233" s="394"/>
      <c r="G233" s="384"/>
    </row>
    <row r="234" spans="1:7" ht="13" x14ac:dyDescent="0.25">
      <c r="A234" s="504"/>
      <c r="B234" s="392"/>
      <c r="C234" s="388"/>
      <c r="D234" s="393"/>
      <c r="E234" s="394"/>
      <c r="F234" s="394"/>
      <c r="G234" s="384"/>
    </row>
    <row r="235" spans="1:7" ht="13" x14ac:dyDescent="0.25">
      <c r="A235" s="504"/>
      <c r="B235" s="392"/>
      <c r="C235" s="388"/>
      <c r="D235" s="393"/>
      <c r="E235" s="394"/>
      <c r="F235" s="394"/>
      <c r="G235" s="384"/>
    </row>
    <row r="236" spans="1:7" ht="13" x14ac:dyDescent="0.25">
      <c r="A236" s="504"/>
      <c r="B236" s="392"/>
      <c r="C236" s="388"/>
      <c r="D236" s="393"/>
      <c r="E236" s="394"/>
      <c r="F236" s="394"/>
      <c r="G236" s="384"/>
    </row>
    <row r="237" spans="1:7" ht="13" x14ac:dyDescent="0.25">
      <c r="A237" s="504"/>
      <c r="B237" s="392"/>
      <c r="C237" s="388"/>
      <c r="D237" s="393"/>
      <c r="E237" s="394"/>
      <c r="F237" s="394"/>
      <c r="G237" s="384"/>
    </row>
    <row r="238" spans="1:7" ht="13" x14ac:dyDescent="0.25">
      <c r="A238" s="504">
        <v>225</v>
      </c>
      <c r="B238" s="392"/>
      <c r="C238" s="388"/>
      <c r="D238" s="393"/>
      <c r="E238" s="394"/>
      <c r="F238" s="394"/>
      <c r="G238" s="384"/>
    </row>
    <row r="239" spans="1:7" ht="13" x14ac:dyDescent="0.25">
      <c r="A239" s="504">
        <v>226</v>
      </c>
      <c r="B239" s="392"/>
      <c r="C239" s="388"/>
      <c r="D239" s="393"/>
      <c r="E239" s="394"/>
      <c r="F239" s="394"/>
      <c r="G239" s="384"/>
    </row>
  </sheetData>
  <mergeCells count="4">
    <mergeCell ref="B10:B12"/>
    <mergeCell ref="D10:D12"/>
    <mergeCell ref="E10:E12"/>
    <mergeCell ref="F10:F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R217"/>
  <sheetViews>
    <sheetView showGridLines="0" view="pageBreakPreview" zoomScale="85" zoomScaleNormal="25" zoomScaleSheetLayoutView="85" workbookViewId="0">
      <selection activeCell="L45" sqref="L45"/>
    </sheetView>
  </sheetViews>
  <sheetFormatPr defaultColWidth="11.453125" defaultRowHeight="13" x14ac:dyDescent="0.25"/>
  <cols>
    <col min="1" max="1" width="1.81640625" style="628" customWidth="1"/>
    <col min="2" max="2" width="15.81640625" style="680" customWidth="1"/>
    <col min="3" max="3" width="2.81640625" style="628" customWidth="1"/>
    <col min="4" max="4" width="26.54296875" style="628" customWidth="1"/>
    <col min="5" max="5" width="22.1796875" style="628" customWidth="1"/>
    <col min="6" max="6" width="19.54296875" style="628" customWidth="1"/>
    <col min="7" max="7" width="26.1796875" style="628" bestFit="1" customWidth="1"/>
    <col min="8" max="8" width="21.453125" style="681" customWidth="1"/>
    <col min="9" max="9" width="18.81640625" style="628" customWidth="1"/>
    <col min="10" max="10" width="2.81640625" style="628" customWidth="1"/>
    <col min="11" max="11" width="31.81640625" style="628" bestFit="1" customWidth="1"/>
    <col min="12" max="12" width="24.453125" style="628" bestFit="1" customWidth="1"/>
    <col min="13" max="13" width="18.81640625" style="628" customWidth="1"/>
    <col min="14" max="14" width="21.81640625" style="628" bestFit="1" customWidth="1"/>
    <col min="15" max="15" width="21.81640625" style="681" customWidth="1"/>
    <col min="16" max="16" width="18.81640625" style="628" customWidth="1"/>
    <col min="17" max="17" width="2.81640625" style="628" customWidth="1"/>
    <col min="18" max="18" width="25.7265625" style="628" bestFit="1" customWidth="1"/>
    <col min="19" max="23" width="21.1796875" style="628" customWidth="1"/>
    <col min="24" max="16384" width="11.453125" style="628"/>
  </cols>
  <sheetData>
    <row r="1" spans="2:44" ht="6.75" customHeight="1" x14ac:dyDescent="0.25">
      <c r="B1" s="628"/>
      <c r="H1" s="628"/>
      <c r="O1" s="628"/>
    </row>
    <row r="2" spans="2:44" ht="11.25" customHeight="1" x14ac:dyDescent="0.25">
      <c r="B2" s="628"/>
      <c r="H2" s="628"/>
      <c r="O2" s="628"/>
    </row>
    <row r="3" spans="2:44" ht="11.25" customHeight="1" x14ac:dyDescent="0.25">
      <c r="B3" s="628"/>
      <c r="H3" s="628"/>
      <c r="O3" s="628"/>
    </row>
    <row r="4" spans="2:44" ht="11.25" customHeight="1" x14ac:dyDescent="0.25">
      <c r="B4" s="628"/>
      <c r="H4" s="628"/>
      <c r="O4" s="628"/>
    </row>
    <row r="5" spans="2:44" ht="11.25" customHeight="1" x14ac:dyDescent="0.25">
      <c r="B5" s="628"/>
      <c r="H5" s="628"/>
      <c r="O5" s="628"/>
    </row>
    <row r="6" spans="2:44" ht="11.25" customHeight="1" x14ac:dyDescent="0.25">
      <c r="B6" s="628"/>
      <c r="H6" s="628"/>
      <c r="O6" s="628"/>
    </row>
    <row r="7" spans="2:44" ht="11.25" customHeight="1" x14ac:dyDescent="0.25">
      <c r="B7" s="628"/>
      <c r="H7" s="628"/>
      <c r="O7" s="628"/>
    </row>
    <row r="8" spans="2:44" ht="11.25" customHeight="1" x14ac:dyDescent="0.25">
      <c r="B8" s="628"/>
      <c r="H8" s="628"/>
      <c r="O8" s="628"/>
    </row>
    <row r="9" spans="2:44" ht="14.25" customHeight="1" x14ac:dyDescent="0.25">
      <c r="B9" s="628"/>
      <c r="H9" s="628"/>
      <c r="O9" s="628"/>
    </row>
    <row r="10" spans="2:44" ht="15.5" x14ac:dyDescent="0.35">
      <c r="B10" s="951" t="s">
        <v>1330</v>
      </c>
      <c r="C10" s="952"/>
      <c r="D10" s="952"/>
      <c r="E10" s="952"/>
      <c r="F10" s="952"/>
      <c r="G10" s="952"/>
      <c r="H10" s="952"/>
      <c r="I10" s="952"/>
      <c r="J10" s="952"/>
      <c r="K10" s="952"/>
      <c r="L10" s="952"/>
      <c r="M10" s="952"/>
      <c r="N10" s="952"/>
      <c r="O10" s="952"/>
      <c r="P10" s="952"/>
      <c r="Q10" s="952"/>
      <c r="R10" s="952"/>
      <c r="S10" s="952"/>
      <c r="T10" s="952"/>
      <c r="U10" s="952"/>
      <c r="V10" s="952"/>
      <c r="W10" s="952"/>
    </row>
    <row r="11" spans="2:44" ht="21" customHeight="1" x14ac:dyDescent="0.25">
      <c r="B11" s="628"/>
      <c r="C11" s="629"/>
      <c r="D11" s="629"/>
      <c r="E11" s="629"/>
      <c r="F11" s="629"/>
      <c r="G11" s="629"/>
      <c r="H11" s="629"/>
      <c r="I11" s="629"/>
      <c r="J11" s="629"/>
      <c r="K11" s="629"/>
      <c r="L11" s="629"/>
      <c r="M11" s="629"/>
      <c r="N11" s="629"/>
      <c r="O11" s="629"/>
      <c r="P11" s="629"/>
      <c r="Q11" s="629"/>
    </row>
    <row r="12" spans="2:44" ht="12" customHeight="1" x14ac:dyDescent="0.25">
      <c r="B12" s="628"/>
      <c r="D12" s="630" t="s">
        <v>98</v>
      </c>
      <c r="E12" s="631" t="s">
        <v>1156</v>
      </c>
      <c r="F12" s="629"/>
      <c r="G12" s="629"/>
      <c r="H12" s="629"/>
      <c r="I12" s="629"/>
      <c r="J12" s="629"/>
      <c r="K12" s="630" t="s">
        <v>98</v>
      </c>
      <c r="L12" s="631" t="s">
        <v>1178</v>
      </c>
      <c r="O12" s="628"/>
      <c r="P12" s="629"/>
      <c r="Q12" s="629"/>
      <c r="R12" s="630" t="s">
        <v>98</v>
      </c>
      <c r="S12" s="631" t="s">
        <v>1200</v>
      </c>
    </row>
    <row r="13" spans="2:44" s="632" customFormat="1" ht="12" customHeight="1" x14ac:dyDescent="0.25">
      <c r="C13" s="633"/>
      <c r="D13" s="634" t="s">
        <v>1170</v>
      </c>
      <c r="E13" s="635">
        <v>100</v>
      </c>
      <c r="F13" s="633"/>
      <c r="G13" s="633"/>
      <c r="H13" s="633"/>
      <c r="I13" s="633"/>
      <c r="J13" s="633"/>
      <c r="K13" s="634" t="s">
        <v>1170</v>
      </c>
      <c r="L13" s="635">
        <v>100</v>
      </c>
      <c r="P13" s="633"/>
      <c r="Q13" s="633"/>
      <c r="R13" s="634" t="s">
        <v>1170</v>
      </c>
      <c r="S13" s="635">
        <v>150</v>
      </c>
      <c r="AL13" s="636"/>
      <c r="AO13" s="636"/>
      <c r="AR13" s="636"/>
    </row>
    <row r="14" spans="2:44" ht="12" customHeight="1" x14ac:dyDescent="0.25">
      <c r="B14" s="629"/>
      <c r="C14" s="629"/>
      <c r="D14" s="637" t="s">
        <v>1171</v>
      </c>
      <c r="E14" s="638">
        <v>1</v>
      </c>
      <c r="F14" s="629"/>
      <c r="G14" s="629"/>
      <c r="H14" s="629"/>
      <c r="I14" s="629"/>
      <c r="J14" s="629"/>
      <c r="K14" s="637" t="s">
        <v>1171</v>
      </c>
      <c r="L14" s="638">
        <v>1</v>
      </c>
      <c r="O14" s="628"/>
      <c r="P14" s="629"/>
      <c r="Q14" s="629"/>
      <c r="R14" s="637" t="s">
        <v>1171</v>
      </c>
      <c r="S14" s="638">
        <v>1</v>
      </c>
    </row>
    <row r="15" spans="2:44" ht="12" customHeight="1" x14ac:dyDescent="0.25">
      <c r="B15" s="629"/>
      <c r="C15" s="629"/>
      <c r="D15" s="733" t="s">
        <v>1190</v>
      </c>
      <c r="E15" s="734" t="s">
        <v>1203</v>
      </c>
      <c r="F15" s="629"/>
      <c r="G15" s="629"/>
      <c r="H15" s="629"/>
      <c r="I15" s="629"/>
      <c r="J15" s="629"/>
      <c r="K15" s="733" t="s">
        <v>1190</v>
      </c>
      <c r="L15" s="734" t="s">
        <v>1204</v>
      </c>
      <c r="O15" s="628"/>
      <c r="P15" s="629"/>
      <c r="Q15" s="629"/>
      <c r="R15" s="640" t="s">
        <v>1190</v>
      </c>
      <c r="S15" s="801" t="s">
        <v>1201</v>
      </c>
    </row>
    <row r="16" spans="2:44" ht="12" customHeight="1" x14ac:dyDescent="0.25">
      <c r="B16" s="639"/>
      <c r="C16" s="629"/>
      <c r="D16" s="640" t="s">
        <v>1172</v>
      </c>
      <c r="E16" s="641" t="s">
        <v>1228</v>
      </c>
      <c r="F16" s="629"/>
      <c r="G16" s="642"/>
      <c r="H16" s="629"/>
      <c r="I16" s="629"/>
      <c r="J16" s="629"/>
      <c r="K16" s="640" t="s">
        <v>1172</v>
      </c>
      <c r="L16" s="841" t="s">
        <v>1329</v>
      </c>
      <c r="N16" s="643"/>
      <c r="O16" s="643"/>
      <c r="P16" s="629"/>
      <c r="Q16" s="629"/>
    </row>
    <row r="17" spans="1:23" ht="21" customHeight="1" x14ac:dyDescent="0.25">
      <c r="B17" s="629"/>
      <c r="C17" s="629"/>
      <c r="H17" s="628"/>
      <c r="O17" s="628"/>
    </row>
    <row r="18" spans="1:23" s="644" customFormat="1" ht="25.5" customHeight="1" x14ac:dyDescent="0.35">
      <c r="B18" s="956" t="s">
        <v>25</v>
      </c>
      <c r="C18" s="645"/>
      <c r="D18" s="953" t="s">
        <v>1156</v>
      </c>
      <c r="E18" s="954"/>
      <c r="F18" s="954"/>
      <c r="G18" s="954"/>
      <c r="H18" s="954"/>
      <c r="I18" s="955"/>
      <c r="J18" s="645"/>
      <c r="K18" s="953" t="s">
        <v>1178</v>
      </c>
      <c r="L18" s="954"/>
      <c r="M18" s="954"/>
      <c r="N18" s="954"/>
      <c r="O18" s="954"/>
      <c r="P18" s="955"/>
      <c r="Q18" s="645"/>
      <c r="R18" s="953" t="s">
        <v>272</v>
      </c>
      <c r="S18" s="954"/>
      <c r="T18" s="954"/>
      <c r="U18" s="954"/>
      <c r="V18" s="954"/>
      <c r="W18" s="955"/>
    </row>
    <row r="19" spans="1:23" ht="25.5" customHeight="1" thickBot="1" x14ac:dyDescent="0.3">
      <c r="B19" s="957"/>
      <c r="C19" s="646"/>
      <c r="D19" s="949" t="s">
        <v>1173</v>
      </c>
      <c r="E19" s="949" t="s">
        <v>1174</v>
      </c>
      <c r="F19" s="949" t="s">
        <v>1175</v>
      </c>
      <c r="G19" s="949" t="s">
        <v>1176</v>
      </c>
      <c r="H19" s="949" t="s">
        <v>1180</v>
      </c>
      <c r="I19" s="949" t="s">
        <v>1177</v>
      </c>
      <c r="J19" s="646"/>
      <c r="K19" s="949" t="s">
        <v>1173</v>
      </c>
      <c r="L19" s="949" t="s">
        <v>1174</v>
      </c>
      <c r="M19" s="949" t="s">
        <v>1175</v>
      </c>
      <c r="N19" s="949" t="s">
        <v>1176</v>
      </c>
      <c r="O19" s="949" t="s">
        <v>1179</v>
      </c>
      <c r="P19" s="949" t="s">
        <v>1177</v>
      </c>
      <c r="Q19" s="646"/>
      <c r="R19" s="949" t="s">
        <v>1255</v>
      </c>
      <c r="S19" s="949" t="s">
        <v>1174</v>
      </c>
      <c r="T19" s="949" t="s">
        <v>1175</v>
      </c>
      <c r="U19" s="949" t="s">
        <v>1256</v>
      </c>
      <c r="V19" s="949" t="s">
        <v>1257</v>
      </c>
      <c r="W19" s="949" t="s">
        <v>1258</v>
      </c>
    </row>
    <row r="20" spans="1:23" ht="25.5" customHeight="1" thickTop="1" x14ac:dyDescent="0.25">
      <c r="B20" s="958"/>
      <c r="C20" s="646"/>
      <c r="D20" s="950"/>
      <c r="E20" s="950"/>
      <c r="F20" s="950"/>
      <c r="G20" s="950"/>
      <c r="H20" s="950"/>
      <c r="I20" s="950"/>
      <c r="J20" s="646"/>
      <c r="K20" s="950"/>
      <c r="L20" s="950"/>
      <c r="M20" s="950"/>
      <c r="N20" s="950"/>
      <c r="O20" s="950"/>
      <c r="P20" s="950"/>
      <c r="Q20" s="646"/>
      <c r="R20" s="950"/>
      <c r="S20" s="950"/>
      <c r="T20" s="950"/>
      <c r="U20" s="950"/>
      <c r="V20" s="950"/>
      <c r="W20" s="950"/>
    </row>
    <row r="21" spans="1:23" s="655" customFormat="1" ht="11.5" x14ac:dyDescent="0.25">
      <c r="A21" s="647">
        <v>22</v>
      </c>
      <c r="B21" s="648"/>
      <c r="C21" s="649"/>
      <c r="D21" s="650"/>
      <c r="E21" s="651"/>
      <c r="F21" s="651"/>
      <c r="G21" s="651"/>
      <c r="H21" s="652"/>
      <c r="I21" s="653"/>
      <c r="J21" s="649"/>
      <c r="K21" s="650"/>
      <c r="L21" s="651"/>
      <c r="M21" s="651"/>
      <c r="N21" s="651"/>
      <c r="O21" s="654"/>
      <c r="P21" s="653"/>
      <c r="Q21" s="649"/>
      <c r="R21" s="650"/>
      <c r="S21" s="651"/>
      <c r="T21" s="651"/>
      <c r="U21" s="651"/>
      <c r="V21" s="654"/>
      <c r="W21" s="653"/>
    </row>
    <row r="22" spans="1:23" s="666" customFormat="1" ht="12.5" x14ac:dyDescent="0.25">
      <c r="A22" s="656">
        <f>A21-1</f>
        <v>21</v>
      </c>
      <c r="B22" s="657"/>
      <c r="C22" s="658"/>
      <c r="D22" s="659"/>
      <c r="E22" s="660"/>
      <c r="F22" s="660"/>
      <c r="G22" s="661"/>
      <c r="H22" s="662"/>
      <c r="I22" s="663"/>
      <c r="J22" s="664"/>
      <c r="K22" s="665"/>
      <c r="L22" s="660"/>
      <c r="M22" s="660"/>
      <c r="N22" s="661"/>
      <c r="O22" s="662"/>
      <c r="P22" s="663"/>
      <c r="Q22" s="664"/>
      <c r="R22" s="665"/>
      <c r="S22" s="660"/>
      <c r="T22" s="660"/>
      <c r="U22" s="661"/>
      <c r="V22" s="662"/>
      <c r="W22" s="663"/>
    </row>
    <row r="23" spans="1:23" s="666" customFormat="1" ht="12.5" x14ac:dyDescent="0.25">
      <c r="A23" s="667">
        <f>A22-1</f>
        <v>20</v>
      </c>
      <c r="B23" s="657"/>
      <c r="C23" s="668"/>
      <c r="D23" s="659"/>
      <c r="E23" s="660"/>
      <c r="F23" s="660"/>
      <c r="G23" s="661"/>
      <c r="H23" s="662"/>
      <c r="I23" s="663"/>
      <c r="J23" s="664"/>
      <c r="K23" s="665"/>
      <c r="L23" s="660"/>
      <c r="M23" s="660"/>
      <c r="N23" s="661"/>
      <c r="O23" s="662"/>
      <c r="P23" s="663"/>
      <c r="Q23" s="664"/>
      <c r="R23" s="665"/>
      <c r="S23" s="660"/>
      <c r="T23" s="660"/>
      <c r="U23" s="661"/>
      <c r="V23" s="662"/>
      <c r="W23" s="663"/>
    </row>
    <row r="24" spans="1:23" s="666" customFormat="1" ht="12.5" x14ac:dyDescent="0.25">
      <c r="A24" s="667">
        <f t="shared" ref="A24:A87" si="0">A23-1</f>
        <v>19</v>
      </c>
      <c r="B24" s="657"/>
      <c r="C24" s="668"/>
      <c r="D24" s="659"/>
      <c r="E24" s="660"/>
      <c r="F24" s="660"/>
      <c r="G24" s="661"/>
      <c r="H24" s="662"/>
      <c r="I24" s="663"/>
      <c r="J24" s="664"/>
      <c r="K24" s="665"/>
      <c r="L24" s="660"/>
      <c r="M24" s="660"/>
      <c r="N24" s="661"/>
      <c r="O24" s="662"/>
      <c r="P24" s="663"/>
      <c r="Q24" s="664"/>
      <c r="R24" s="665"/>
      <c r="S24" s="660"/>
      <c r="T24" s="660"/>
      <c r="U24" s="661"/>
      <c r="V24" s="662"/>
      <c r="W24" s="663"/>
    </row>
    <row r="25" spans="1:23" s="666" customFormat="1" ht="12.5" x14ac:dyDescent="0.25">
      <c r="A25" s="667">
        <f t="shared" si="0"/>
        <v>18</v>
      </c>
      <c r="B25" s="657"/>
      <c r="C25" s="668"/>
      <c r="D25" s="659"/>
      <c r="E25" s="660"/>
      <c r="F25" s="660"/>
      <c r="G25" s="661"/>
      <c r="H25" s="662"/>
      <c r="I25" s="663"/>
      <c r="J25" s="664"/>
      <c r="K25" s="665"/>
      <c r="L25" s="660"/>
      <c r="M25" s="660"/>
      <c r="N25" s="661"/>
      <c r="O25" s="662"/>
      <c r="P25" s="663"/>
      <c r="Q25" s="664"/>
      <c r="R25" s="665"/>
      <c r="S25" s="660"/>
      <c r="T25" s="660"/>
      <c r="U25" s="661"/>
      <c r="V25" s="662"/>
      <c r="W25" s="663"/>
    </row>
    <row r="26" spans="1:23" s="666" customFormat="1" ht="12.5" x14ac:dyDescent="0.25">
      <c r="A26" s="667">
        <f t="shared" si="0"/>
        <v>17</v>
      </c>
      <c r="B26" s="657"/>
      <c r="C26" s="658"/>
      <c r="D26" s="659"/>
      <c r="E26" s="660"/>
      <c r="F26" s="660"/>
      <c r="G26" s="661"/>
      <c r="H26" s="662"/>
      <c r="I26" s="663"/>
      <c r="J26" s="664"/>
      <c r="K26" s="665"/>
      <c r="L26" s="660"/>
      <c r="M26" s="660"/>
      <c r="N26" s="661"/>
      <c r="O26" s="662"/>
      <c r="P26" s="663"/>
      <c r="Q26" s="664"/>
      <c r="R26" s="665"/>
      <c r="S26" s="660"/>
      <c r="T26" s="660"/>
      <c r="U26" s="661"/>
      <c r="V26" s="662"/>
      <c r="W26" s="663"/>
    </row>
    <row r="27" spans="1:23" s="666" customFormat="1" ht="12.5" x14ac:dyDescent="0.25">
      <c r="A27" s="667">
        <f t="shared" si="0"/>
        <v>16</v>
      </c>
      <c r="B27" s="657"/>
      <c r="C27" s="658"/>
      <c r="D27" s="659"/>
      <c r="E27" s="660"/>
      <c r="F27" s="660"/>
      <c r="G27" s="661"/>
      <c r="H27" s="662"/>
      <c r="I27" s="663"/>
      <c r="J27" s="664"/>
      <c r="K27" s="665"/>
      <c r="L27" s="660"/>
      <c r="M27" s="660"/>
      <c r="N27" s="661"/>
      <c r="O27" s="662"/>
      <c r="P27" s="663"/>
      <c r="Q27" s="664"/>
      <c r="R27" s="665"/>
      <c r="S27" s="660"/>
      <c r="T27" s="660"/>
      <c r="U27" s="661"/>
      <c r="V27" s="662"/>
      <c r="W27" s="663"/>
    </row>
    <row r="28" spans="1:23" s="666" customFormat="1" ht="12.5" x14ac:dyDescent="0.25">
      <c r="A28" s="667">
        <f t="shared" si="0"/>
        <v>15</v>
      </c>
      <c r="B28" s="657"/>
      <c r="C28" s="658"/>
      <c r="D28" s="659"/>
      <c r="E28" s="660"/>
      <c r="F28" s="660"/>
      <c r="G28" s="661"/>
      <c r="H28" s="662"/>
      <c r="I28" s="663"/>
      <c r="J28" s="664"/>
      <c r="K28" s="665"/>
      <c r="L28" s="660"/>
      <c r="M28" s="660"/>
      <c r="N28" s="661"/>
      <c r="O28" s="662"/>
      <c r="P28" s="663"/>
      <c r="Q28" s="664"/>
      <c r="R28" s="665"/>
      <c r="S28" s="660"/>
      <c r="T28" s="660"/>
      <c r="U28" s="661"/>
      <c r="V28" s="662"/>
      <c r="W28" s="663"/>
    </row>
    <row r="29" spans="1:23" s="666" customFormat="1" ht="12.5" x14ac:dyDescent="0.25">
      <c r="A29" s="667">
        <f t="shared" si="0"/>
        <v>14</v>
      </c>
      <c r="B29" s="657"/>
      <c r="C29" s="669"/>
      <c r="D29" s="659"/>
      <c r="E29" s="660"/>
      <c r="F29" s="660"/>
      <c r="G29" s="661"/>
      <c r="H29" s="662"/>
      <c r="I29" s="663"/>
      <c r="J29" s="670"/>
      <c r="K29" s="665"/>
      <c r="L29" s="660"/>
      <c r="M29" s="660"/>
      <c r="N29" s="661"/>
      <c r="O29" s="662"/>
      <c r="P29" s="663"/>
      <c r="Q29" s="670"/>
      <c r="R29" s="665"/>
      <c r="S29" s="660"/>
      <c r="T29" s="660"/>
      <c r="U29" s="661"/>
      <c r="V29" s="662"/>
      <c r="W29" s="663"/>
    </row>
    <row r="30" spans="1:23" s="666" customFormat="1" ht="12.5" x14ac:dyDescent="0.25">
      <c r="A30" s="667">
        <f t="shared" si="0"/>
        <v>13</v>
      </c>
      <c r="B30" s="657"/>
      <c r="C30" s="669"/>
      <c r="D30" s="659"/>
      <c r="E30" s="660"/>
      <c r="F30" s="660"/>
      <c r="G30" s="661"/>
      <c r="H30" s="662"/>
      <c r="I30" s="663"/>
      <c r="J30" s="670"/>
      <c r="K30" s="665"/>
      <c r="L30" s="660"/>
      <c r="M30" s="660"/>
      <c r="N30" s="661"/>
      <c r="O30" s="662"/>
      <c r="P30" s="663"/>
      <c r="Q30" s="670"/>
      <c r="R30" s="665"/>
      <c r="S30" s="660"/>
      <c r="T30" s="660"/>
      <c r="U30" s="661"/>
      <c r="V30" s="662"/>
      <c r="W30" s="663"/>
    </row>
    <row r="31" spans="1:23" s="666" customFormat="1" ht="12.5" x14ac:dyDescent="0.25">
      <c r="A31" s="667">
        <f t="shared" si="0"/>
        <v>12</v>
      </c>
      <c r="B31" s="657"/>
      <c r="C31" s="669"/>
      <c r="D31" s="659"/>
      <c r="E31" s="660"/>
      <c r="F31" s="660"/>
      <c r="G31" s="661"/>
      <c r="H31" s="662"/>
      <c r="I31" s="663"/>
      <c r="J31" s="670"/>
      <c r="K31" s="665"/>
      <c r="L31" s="660"/>
      <c r="M31" s="660"/>
      <c r="N31" s="661"/>
      <c r="O31" s="662"/>
      <c r="P31" s="663"/>
      <c r="Q31" s="670"/>
      <c r="R31" s="665"/>
      <c r="S31" s="660"/>
      <c r="T31" s="660"/>
      <c r="U31" s="661"/>
      <c r="V31" s="662"/>
      <c r="W31" s="663"/>
    </row>
    <row r="32" spans="1:23" s="666" customFormat="1" ht="12.5" x14ac:dyDescent="0.25">
      <c r="A32" s="667">
        <f t="shared" si="0"/>
        <v>11</v>
      </c>
      <c r="B32" s="657"/>
      <c r="C32" s="669"/>
      <c r="D32" s="659"/>
      <c r="E32" s="660"/>
      <c r="F32" s="660"/>
      <c r="G32" s="661"/>
      <c r="H32" s="662"/>
      <c r="I32" s="663"/>
      <c r="J32" s="670"/>
      <c r="K32" s="665"/>
      <c r="L32" s="660"/>
      <c r="M32" s="660"/>
      <c r="N32" s="661"/>
      <c r="O32" s="662"/>
      <c r="P32" s="663"/>
      <c r="Q32" s="670"/>
      <c r="R32" s="665"/>
      <c r="S32" s="660"/>
      <c r="T32" s="660"/>
      <c r="U32" s="661"/>
      <c r="V32" s="662"/>
      <c r="W32" s="663"/>
    </row>
    <row r="33" spans="1:23" s="666" customFormat="1" ht="12.5" x14ac:dyDescent="0.25">
      <c r="A33" s="667">
        <f t="shared" si="0"/>
        <v>10</v>
      </c>
      <c r="B33" s="657"/>
      <c r="C33" s="669"/>
      <c r="D33" s="659"/>
      <c r="E33" s="660"/>
      <c r="F33" s="660"/>
      <c r="G33" s="661"/>
      <c r="H33" s="662"/>
      <c r="I33" s="663"/>
      <c r="J33" s="670"/>
      <c r="K33" s="665"/>
      <c r="L33" s="660"/>
      <c r="M33" s="660"/>
      <c r="N33" s="661"/>
      <c r="O33" s="662"/>
      <c r="P33" s="663"/>
      <c r="Q33" s="670"/>
      <c r="R33" s="665"/>
      <c r="S33" s="660"/>
      <c r="T33" s="660"/>
      <c r="U33" s="661"/>
      <c r="V33" s="662"/>
      <c r="W33" s="663"/>
    </row>
    <row r="34" spans="1:23" s="666" customFormat="1" ht="12.5" x14ac:dyDescent="0.25">
      <c r="A34" s="667">
        <f t="shared" si="0"/>
        <v>9</v>
      </c>
      <c r="B34" s="657"/>
      <c r="C34" s="669"/>
      <c r="D34" s="659"/>
      <c r="E34" s="660"/>
      <c r="F34" s="660"/>
      <c r="G34" s="661"/>
      <c r="H34" s="662"/>
      <c r="I34" s="663"/>
      <c r="J34" s="670"/>
      <c r="K34" s="665"/>
      <c r="L34" s="660"/>
      <c r="M34" s="660"/>
      <c r="N34" s="661"/>
      <c r="O34" s="662"/>
      <c r="P34" s="663"/>
      <c r="Q34" s="670"/>
      <c r="R34" s="665"/>
      <c r="S34" s="660"/>
      <c r="T34" s="660"/>
      <c r="U34" s="661"/>
      <c r="V34" s="662"/>
      <c r="W34" s="663"/>
    </row>
    <row r="35" spans="1:23" s="666" customFormat="1" ht="12.5" x14ac:dyDescent="0.25">
      <c r="A35" s="667">
        <f t="shared" si="0"/>
        <v>8</v>
      </c>
      <c r="B35" s="657"/>
      <c r="C35" s="669"/>
      <c r="D35" s="659"/>
      <c r="E35" s="660"/>
      <c r="F35" s="660"/>
      <c r="G35" s="661"/>
      <c r="H35" s="662"/>
      <c r="I35" s="663"/>
      <c r="J35" s="670"/>
      <c r="K35" s="665"/>
      <c r="L35" s="660"/>
      <c r="M35" s="660"/>
      <c r="N35" s="661"/>
      <c r="O35" s="662"/>
      <c r="P35" s="663"/>
      <c r="Q35" s="670"/>
      <c r="R35" s="665"/>
      <c r="S35" s="660"/>
      <c r="T35" s="660"/>
      <c r="U35" s="661"/>
      <c r="V35" s="662"/>
      <c r="W35" s="663"/>
    </row>
    <row r="36" spans="1:23" s="666" customFormat="1" ht="12.5" x14ac:dyDescent="0.25">
      <c r="A36" s="667">
        <f t="shared" si="0"/>
        <v>7</v>
      </c>
      <c r="B36" s="657"/>
      <c r="C36" s="669"/>
      <c r="D36" s="659"/>
      <c r="E36" s="660"/>
      <c r="F36" s="660"/>
      <c r="G36" s="661"/>
      <c r="H36" s="662"/>
      <c r="I36" s="663"/>
      <c r="J36" s="670"/>
      <c r="K36" s="665"/>
      <c r="L36" s="660"/>
      <c r="M36" s="660"/>
      <c r="N36" s="661"/>
      <c r="O36" s="662"/>
      <c r="P36" s="663"/>
      <c r="Q36" s="670"/>
      <c r="R36" s="665"/>
      <c r="S36" s="660"/>
      <c r="T36" s="660"/>
      <c r="U36" s="661"/>
      <c r="V36" s="662"/>
      <c r="W36" s="663"/>
    </row>
    <row r="37" spans="1:23" s="666" customFormat="1" ht="12.5" x14ac:dyDescent="0.25">
      <c r="A37" s="667">
        <f t="shared" si="0"/>
        <v>6</v>
      </c>
      <c r="B37" s="657"/>
      <c r="C37" s="669"/>
      <c r="D37" s="659"/>
      <c r="E37" s="660"/>
      <c r="F37" s="660"/>
      <c r="G37" s="661"/>
      <c r="H37" s="662"/>
      <c r="I37" s="663"/>
      <c r="J37" s="670"/>
      <c r="K37" s="665"/>
      <c r="L37" s="660"/>
      <c r="M37" s="660"/>
      <c r="N37" s="661"/>
      <c r="O37" s="662"/>
      <c r="P37" s="663"/>
      <c r="Q37" s="670"/>
      <c r="R37" s="665"/>
      <c r="S37" s="660"/>
      <c r="T37" s="660"/>
      <c r="U37" s="661"/>
      <c r="V37" s="662"/>
      <c r="W37" s="663"/>
    </row>
    <row r="38" spans="1:23" s="666" customFormat="1" ht="12.5" x14ac:dyDescent="0.25">
      <c r="A38" s="667">
        <f t="shared" si="0"/>
        <v>5</v>
      </c>
      <c r="B38" s="657"/>
      <c r="C38" s="669"/>
      <c r="D38" s="659"/>
      <c r="E38" s="660"/>
      <c r="F38" s="660"/>
      <c r="G38" s="661"/>
      <c r="H38" s="662"/>
      <c r="I38" s="663"/>
      <c r="J38" s="670"/>
      <c r="K38" s="665"/>
      <c r="L38" s="660"/>
      <c r="M38" s="660"/>
      <c r="N38" s="661"/>
      <c r="O38" s="662"/>
      <c r="P38" s="663"/>
      <c r="Q38" s="670"/>
      <c r="R38" s="665"/>
      <c r="S38" s="660"/>
      <c r="T38" s="660"/>
      <c r="U38" s="661"/>
      <c r="V38" s="662"/>
      <c r="W38" s="663"/>
    </row>
    <row r="39" spans="1:23" s="666" customFormat="1" ht="12.5" x14ac:dyDescent="0.25">
      <c r="A39" s="667">
        <f t="shared" si="0"/>
        <v>4</v>
      </c>
      <c r="B39" s="657"/>
      <c r="C39" s="669"/>
      <c r="D39" s="659"/>
      <c r="E39" s="660"/>
      <c r="F39" s="660"/>
      <c r="G39" s="661"/>
      <c r="H39" s="662"/>
      <c r="I39" s="663"/>
      <c r="J39" s="670"/>
      <c r="K39" s="665"/>
      <c r="L39" s="660"/>
      <c r="M39" s="660"/>
      <c r="N39" s="661"/>
      <c r="O39" s="662"/>
      <c r="P39" s="663"/>
      <c r="Q39" s="670"/>
      <c r="R39" s="665"/>
      <c r="S39" s="660"/>
      <c r="T39" s="660"/>
      <c r="U39" s="661"/>
      <c r="V39" s="662"/>
      <c r="W39" s="663"/>
    </row>
    <row r="40" spans="1:23" s="666" customFormat="1" ht="12.5" x14ac:dyDescent="0.25">
      <c r="A40" s="667">
        <f t="shared" si="0"/>
        <v>3</v>
      </c>
      <c r="B40" s="657"/>
      <c r="C40" s="669"/>
      <c r="D40" s="659"/>
      <c r="E40" s="660"/>
      <c r="F40" s="660"/>
      <c r="G40" s="661"/>
      <c r="H40" s="662"/>
      <c r="I40" s="663"/>
      <c r="J40" s="670"/>
      <c r="K40" s="665"/>
      <c r="L40" s="660"/>
      <c r="M40" s="660"/>
      <c r="N40" s="661"/>
      <c r="O40" s="662"/>
      <c r="P40" s="663"/>
      <c r="Q40" s="670"/>
      <c r="R40" s="665"/>
      <c r="S40" s="660"/>
      <c r="T40" s="660"/>
      <c r="U40" s="661"/>
      <c r="V40" s="662"/>
      <c r="W40" s="663"/>
    </row>
    <row r="41" spans="1:23" s="644" customFormat="1" x14ac:dyDescent="0.25">
      <c r="A41" s="667">
        <f t="shared" si="0"/>
        <v>2</v>
      </c>
      <c r="B41" s="657"/>
      <c r="C41" s="669"/>
      <c r="D41" s="659"/>
      <c r="E41" s="671"/>
      <c r="F41" s="660"/>
      <c r="G41" s="661"/>
      <c r="H41" s="662"/>
      <c r="I41" s="672"/>
      <c r="J41" s="670"/>
      <c r="K41" s="659"/>
      <c r="L41" s="671"/>
      <c r="M41" s="660"/>
      <c r="N41" s="661"/>
      <c r="O41" s="662"/>
      <c r="P41" s="672"/>
      <c r="Q41" s="670"/>
      <c r="R41" s="659"/>
      <c r="S41" s="671"/>
      <c r="T41" s="660"/>
      <c r="U41" s="661"/>
      <c r="V41" s="662"/>
      <c r="W41" s="672"/>
    </row>
    <row r="42" spans="1:23" s="644" customFormat="1" x14ac:dyDescent="0.25">
      <c r="A42" s="667">
        <f t="shared" si="0"/>
        <v>1</v>
      </c>
      <c r="B42" s="657"/>
      <c r="C42" s="669"/>
      <c r="D42" s="659"/>
      <c r="E42" s="671"/>
      <c r="F42" s="660"/>
      <c r="G42" s="661"/>
      <c r="H42" s="662"/>
      <c r="I42" s="672"/>
      <c r="J42" s="670"/>
      <c r="K42" s="659"/>
      <c r="L42" s="671"/>
      <c r="M42" s="660"/>
      <c r="N42" s="661"/>
      <c r="O42" s="662"/>
      <c r="P42" s="672"/>
      <c r="Q42" s="670"/>
      <c r="R42" s="659"/>
      <c r="S42" s="671"/>
      <c r="T42" s="660"/>
      <c r="U42" s="661"/>
      <c r="V42" s="662"/>
      <c r="W42" s="672"/>
    </row>
    <row r="43" spans="1:23" s="644" customFormat="1" x14ac:dyDescent="0.25">
      <c r="A43" s="667">
        <f t="shared" si="0"/>
        <v>0</v>
      </c>
      <c r="B43" s="657"/>
      <c r="C43" s="669"/>
      <c r="D43" s="659"/>
      <c r="E43" s="671"/>
      <c r="F43" s="660"/>
      <c r="G43" s="661"/>
      <c r="H43" s="662"/>
      <c r="I43" s="672"/>
      <c r="J43" s="670"/>
      <c r="K43" s="659"/>
      <c r="L43" s="671"/>
      <c r="M43" s="660"/>
      <c r="N43" s="661"/>
      <c r="O43" s="662"/>
      <c r="P43" s="672"/>
      <c r="Q43" s="670"/>
      <c r="R43" s="659"/>
      <c r="S43" s="671"/>
      <c r="T43" s="660"/>
      <c r="U43" s="661"/>
      <c r="V43" s="662"/>
      <c r="W43" s="672"/>
    </row>
    <row r="44" spans="1:23" s="644" customFormat="1" x14ac:dyDescent="0.25">
      <c r="A44" s="667">
        <f t="shared" si="0"/>
        <v>-1</v>
      </c>
      <c r="B44" s="657" t="s">
        <v>1119</v>
      </c>
      <c r="C44" s="669"/>
      <c r="D44" s="659" t="s">
        <v>1119</v>
      </c>
      <c r="E44" s="671" t="s">
        <v>1119</v>
      </c>
      <c r="F44" s="660" t="s">
        <v>1119</v>
      </c>
      <c r="G44" s="661" t="s">
        <v>1119</v>
      </c>
      <c r="H44" s="662" t="s">
        <v>1119</v>
      </c>
      <c r="I44" s="672" t="s">
        <v>1119</v>
      </c>
      <c r="J44" s="670"/>
      <c r="K44" s="659" t="s">
        <v>1119</v>
      </c>
      <c r="L44" s="671" t="s">
        <v>1119</v>
      </c>
      <c r="M44" s="660" t="s">
        <v>1119</v>
      </c>
      <c r="N44" s="661" t="s">
        <v>1119</v>
      </c>
      <c r="O44" s="662" t="s">
        <v>1119</v>
      </c>
      <c r="P44" s="672" t="s">
        <v>1119</v>
      </c>
      <c r="Q44" s="670"/>
      <c r="R44" s="659" t="s">
        <v>1119</v>
      </c>
      <c r="S44" s="671" t="s">
        <v>1119</v>
      </c>
      <c r="T44" s="660" t="s">
        <v>1119</v>
      </c>
      <c r="U44" s="661" t="s">
        <v>1119</v>
      </c>
      <c r="V44" s="662" t="s">
        <v>1119</v>
      </c>
      <c r="W44" s="672" t="s">
        <v>1119</v>
      </c>
    </row>
    <row r="45" spans="1:23" s="644" customFormat="1" x14ac:dyDescent="0.25">
      <c r="A45" s="667">
        <f t="shared" si="0"/>
        <v>-2</v>
      </c>
      <c r="B45" s="657" t="s">
        <v>1119</v>
      </c>
      <c r="C45" s="669"/>
      <c r="D45" s="659" t="s">
        <v>1119</v>
      </c>
      <c r="E45" s="671" t="s">
        <v>1119</v>
      </c>
      <c r="F45" s="660" t="s">
        <v>1119</v>
      </c>
      <c r="G45" s="661" t="s">
        <v>1119</v>
      </c>
      <c r="H45" s="662" t="s">
        <v>1119</v>
      </c>
      <c r="I45" s="672" t="s">
        <v>1119</v>
      </c>
      <c r="J45" s="670"/>
      <c r="K45" s="659" t="s">
        <v>1119</v>
      </c>
      <c r="L45" s="671" t="s">
        <v>1119</v>
      </c>
      <c r="M45" s="660" t="s">
        <v>1119</v>
      </c>
      <c r="N45" s="661" t="s">
        <v>1119</v>
      </c>
      <c r="O45" s="662" t="s">
        <v>1119</v>
      </c>
      <c r="P45" s="672" t="s">
        <v>1119</v>
      </c>
      <c r="Q45" s="670"/>
      <c r="R45" s="659" t="s">
        <v>1119</v>
      </c>
      <c r="S45" s="671" t="s">
        <v>1119</v>
      </c>
      <c r="T45" s="660" t="s">
        <v>1119</v>
      </c>
      <c r="U45" s="661" t="s">
        <v>1119</v>
      </c>
      <c r="V45" s="662" t="s">
        <v>1119</v>
      </c>
      <c r="W45" s="672" t="s">
        <v>1119</v>
      </c>
    </row>
    <row r="46" spans="1:23" s="644" customFormat="1" x14ac:dyDescent="0.25">
      <c r="A46" s="667">
        <f t="shared" si="0"/>
        <v>-3</v>
      </c>
      <c r="B46" s="657" t="s">
        <v>1119</v>
      </c>
      <c r="C46" s="669"/>
      <c r="D46" s="659" t="s">
        <v>1119</v>
      </c>
      <c r="E46" s="671" t="s">
        <v>1119</v>
      </c>
      <c r="F46" s="660" t="s">
        <v>1119</v>
      </c>
      <c r="G46" s="661" t="s">
        <v>1119</v>
      </c>
      <c r="H46" s="662" t="s">
        <v>1119</v>
      </c>
      <c r="I46" s="672" t="s">
        <v>1119</v>
      </c>
      <c r="J46" s="670"/>
      <c r="K46" s="659" t="s">
        <v>1119</v>
      </c>
      <c r="L46" s="671" t="s">
        <v>1119</v>
      </c>
      <c r="M46" s="660" t="s">
        <v>1119</v>
      </c>
      <c r="N46" s="661" t="s">
        <v>1119</v>
      </c>
      <c r="O46" s="662" t="s">
        <v>1119</v>
      </c>
      <c r="P46" s="672" t="s">
        <v>1119</v>
      </c>
      <c r="Q46" s="670"/>
      <c r="R46" s="659" t="s">
        <v>1119</v>
      </c>
      <c r="S46" s="671" t="s">
        <v>1119</v>
      </c>
      <c r="T46" s="660" t="s">
        <v>1119</v>
      </c>
      <c r="U46" s="661" t="s">
        <v>1119</v>
      </c>
      <c r="V46" s="662" t="s">
        <v>1119</v>
      </c>
      <c r="W46" s="672" t="s">
        <v>1119</v>
      </c>
    </row>
    <row r="47" spans="1:23" s="644" customFormat="1" x14ac:dyDescent="0.25">
      <c r="A47" s="667">
        <f t="shared" si="0"/>
        <v>-4</v>
      </c>
      <c r="B47" s="657" t="s">
        <v>1119</v>
      </c>
      <c r="C47" s="669"/>
      <c r="D47" s="659" t="s">
        <v>1119</v>
      </c>
      <c r="E47" s="671" t="s">
        <v>1119</v>
      </c>
      <c r="F47" s="671" t="s">
        <v>1119</v>
      </c>
      <c r="G47" s="661" t="s">
        <v>1119</v>
      </c>
      <c r="H47" s="662" t="s">
        <v>1119</v>
      </c>
      <c r="I47" s="672" t="s">
        <v>1119</v>
      </c>
      <c r="J47" s="670"/>
      <c r="K47" s="673" t="s">
        <v>1119</v>
      </c>
      <c r="L47" s="671" t="s">
        <v>1119</v>
      </c>
      <c r="M47" s="671" t="s">
        <v>1119</v>
      </c>
      <c r="N47" s="661" t="s">
        <v>1119</v>
      </c>
      <c r="O47" s="662" t="s">
        <v>1119</v>
      </c>
      <c r="P47" s="672" t="s">
        <v>1119</v>
      </c>
      <c r="Q47" s="670"/>
      <c r="R47" s="673" t="s">
        <v>1119</v>
      </c>
      <c r="S47" s="671" t="s">
        <v>1119</v>
      </c>
      <c r="T47" s="671" t="s">
        <v>1119</v>
      </c>
      <c r="U47" s="661" t="s">
        <v>1119</v>
      </c>
      <c r="V47" s="662" t="s">
        <v>1119</v>
      </c>
      <c r="W47" s="672" t="s">
        <v>1119</v>
      </c>
    </row>
    <row r="48" spans="1:23" s="644" customFormat="1" x14ac:dyDescent="0.25">
      <c r="A48" s="667">
        <f t="shared" si="0"/>
        <v>-5</v>
      </c>
      <c r="B48" s="657" t="s">
        <v>1119</v>
      </c>
      <c r="C48" s="669"/>
      <c r="D48" s="665" t="s">
        <v>1119</v>
      </c>
      <c r="E48" s="671" t="s">
        <v>1119</v>
      </c>
      <c r="F48" s="671" t="s">
        <v>1119</v>
      </c>
      <c r="G48" s="661" t="s">
        <v>1119</v>
      </c>
      <c r="H48" s="662" t="s">
        <v>1119</v>
      </c>
      <c r="I48" s="672" t="s">
        <v>1119</v>
      </c>
      <c r="J48" s="670"/>
      <c r="K48" s="665" t="s">
        <v>1119</v>
      </c>
      <c r="L48" s="671" t="s">
        <v>1119</v>
      </c>
      <c r="M48" s="671" t="s">
        <v>1119</v>
      </c>
      <c r="N48" s="661" t="s">
        <v>1119</v>
      </c>
      <c r="O48" s="662" t="s">
        <v>1119</v>
      </c>
      <c r="P48" s="672" t="s">
        <v>1119</v>
      </c>
      <c r="Q48" s="670"/>
      <c r="R48" s="665" t="s">
        <v>1119</v>
      </c>
      <c r="S48" s="671" t="s">
        <v>1119</v>
      </c>
      <c r="T48" s="671" t="s">
        <v>1119</v>
      </c>
      <c r="U48" s="661" t="s">
        <v>1119</v>
      </c>
      <c r="V48" s="662" t="s">
        <v>1119</v>
      </c>
      <c r="W48" s="672" t="s">
        <v>1119</v>
      </c>
    </row>
    <row r="49" spans="1:23" s="644" customFormat="1" x14ac:dyDescent="0.25">
      <c r="A49" s="667">
        <f t="shared" si="0"/>
        <v>-6</v>
      </c>
      <c r="B49" s="657" t="s">
        <v>1119</v>
      </c>
      <c r="C49" s="669"/>
      <c r="D49" s="665" t="s">
        <v>1119</v>
      </c>
      <c r="E49" s="671" t="s">
        <v>1119</v>
      </c>
      <c r="F49" s="671" t="s">
        <v>1119</v>
      </c>
      <c r="G49" s="661" t="s">
        <v>1119</v>
      </c>
      <c r="H49" s="662" t="s">
        <v>1119</v>
      </c>
      <c r="I49" s="672" t="s">
        <v>1119</v>
      </c>
      <c r="J49" s="670"/>
      <c r="K49" s="665" t="s">
        <v>1119</v>
      </c>
      <c r="L49" s="671" t="s">
        <v>1119</v>
      </c>
      <c r="M49" s="671" t="s">
        <v>1119</v>
      </c>
      <c r="N49" s="661" t="s">
        <v>1119</v>
      </c>
      <c r="O49" s="662" t="s">
        <v>1119</v>
      </c>
      <c r="P49" s="672" t="s">
        <v>1119</v>
      </c>
      <c r="Q49" s="670"/>
      <c r="R49" s="665" t="s">
        <v>1119</v>
      </c>
      <c r="S49" s="671" t="s">
        <v>1119</v>
      </c>
      <c r="T49" s="671" t="s">
        <v>1119</v>
      </c>
      <c r="U49" s="661" t="s">
        <v>1119</v>
      </c>
      <c r="V49" s="662" t="s">
        <v>1119</v>
      </c>
      <c r="W49" s="672" t="s">
        <v>1119</v>
      </c>
    </row>
    <row r="50" spans="1:23" s="644" customFormat="1" x14ac:dyDescent="0.25">
      <c r="A50" s="667">
        <f t="shared" si="0"/>
        <v>-7</v>
      </c>
      <c r="B50" s="657" t="s">
        <v>1119</v>
      </c>
      <c r="C50" s="669"/>
      <c r="D50" s="665" t="s">
        <v>1119</v>
      </c>
      <c r="E50" s="671" t="s">
        <v>1119</v>
      </c>
      <c r="F50" s="671" t="s">
        <v>1119</v>
      </c>
      <c r="G50" s="661" t="s">
        <v>1119</v>
      </c>
      <c r="H50" s="662" t="s">
        <v>1119</v>
      </c>
      <c r="I50" s="672" t="s">
        <v>1119</v>
      </c>
      <c r="J50" s="670"/>
      <c r="K50" s="665" t="s">
        <v>1119</v>
      </c>
      <c r="L50" s="671" t="s">
        <v>1119</v>
      </c>
      <c r="M50" s="671" t="s">
        <v>1119</v>
      </c>
      <c r="N50" s="661" t="s">
        <v>1119</v>
      </c>
      <c r="O50" s="662" t="s">
        <v>1119</v>
      </c>
      <c r="P50" s="672" t="s">
        <v>1119</v>
      </c>
      <c r="Q50" s="670"/>
      <c r="R50" s="665" t="s">
        <v>1119</v>
      </c>
      <c r="S50" s="671" t="s">
        <v>1119</v>
      </c>
      <c r="T50" s="671" t="s">
        <v>1119</v>
      </c>
      <c r="U50" s="661" t="s">
        <v>1119</v>
      </c>
      <c r="V50" s="662" t="s">
        <v>1119</v>
      </c>
      <c r="W50" s="672" t="s">
        <v>1119</v>
      </c>
    </row>
    <row r="51" spans="1:23" s="644" customFormat="1" x14ac:dyDescent="0.25">
      <c r="A51" s="667">
        <f t="shared" si="0"/>
        <v>-8</v>
      </c>
      <c r="B51" s="657" t="s">
        <v>1119</v>
      </c>
      <c r="C51" s="669"/>
      <c r="D51" s="665" t="s">
        <v>1119</v>
      </c>
      <c r="E51" s="671" t="s">
        <v>1119</v>
      </c>
      <c r="F51" s="671" t="s">
        <v>1119</v>
      </c>
      <c r="G51" s="661" t="s">
        <v>1119</v>
      </c>
      <c r="H51" s="662" t="s">
        <v>1119</v>
      </c>
      <c r="I51" s="672" t="s">
        <v>1119</v>
      </c>
      <c r="J51" s="670"/>
      <c r="K51" s="665" t="s">
        <v>1119</v>
      </c>
      <c r="L51" s="671" t="s">
        <v>1119</v>
      </c>
      <c r="M51" s="671" t="s">
        <v>1119</v>
      </c>
      <c r="N51" s="661" t="s">
        <v>1119</v>
      </c>
      <c r="O51" s="662" t="s">
        <v>1119</v>
      </c>
      <c r="P51" s="672" t="s">
        <v>1119</v>
      </c>
      <c r="Q51" s="670"/>
      <c r="R51" s="665" t="s">
        <v>1119</v>
      </c>
      <c r="S51" s="671" t="s">
        <v>1119</v>
      </c>
      <c r="T51" s="671" t="s">
        <v>1119</v>
      </c>
      <c r="U51" s="661" t="s">
        <v>1119</v>
      </c>
      <c r="V51" s="662" t="s">
        <v>1119</v>
      </c>
      <c r="W51" s="672" t="s">
        <v>1119</v>
      </c>
    </row>
    <row r="52" spans="1:23" s="644" customFormat="1" x14ac:dyDescent="0.25">
      <c r="A52" s="667">
        <f t="shared" si="0"/>
        <v>-9</v>
      </c>
      <c r="B52" s="657" t="s">
        <v>1119</v>
      </c>
      <c r="C52" s="669"/>
      <c r="D52" s="665" t="s">
        <v>1119</v>
      </c>
      <c r="E52" s="671" t="s">
        <v>1119</v>
      </c>
      <c r="F52" s="671" t="s">
        <v>1119</v>
      </c>
      <c r="G52" s="661" t="s">
        <v>1119</v>
      </c>
      <c r="H52" s="662" t="s">
        <v>1119</v>
      </c>
      <c r="I52" s="672" t="s">
        <v>1119</v>
      </c>
      <c r="J52" s="670"/>
      <c r="K52" s="665" t="s">
        <v>1119</v>
      </c>
      <c r="L52" s="671" t="s">
        <v>1119</v>
      </c>
      <c r="M52" s="671" t="s">
        <v>1119</v>
      </c>
      <c r="N52" s="661" t="s">
        <v>1119</v>
      </c>
      <c r="O52" s="662" t="s">
        <v>1119</v>
      </c>
      <c r="P52" s="672" t="s">
        <v>1119</v>
      </c>
      <c r="Q52" s="670"/>
      <c r="R52" s="665" t="s">
        <v>1119</v>
      </c>
      <c r="S52" s="671" t="s">
        <v>1119</v>
      </c>
      <c r="T52" s="671" t="s">
        <v>1119</v>
      </c>
      <c r="U52" s="661" t="s">
        <v>1119</v>
      </c>
      <c r="V52" s="662" t="s">
        <v>1119</v>
      </c>
      <c r="W52" s="672" t="s">
        <v>1119</v>
      </c>
    </row>
    <row r="53" spans="1:23" s="644" customFormat="1" x14ac:dyDescent="0.25">
      <c r="A53" s="667">
        <f t="shared" si="0"/>
        <v>-10</v>
      </c>
      <c r="B53" s="657" t="s">
        <v>1119</v>
      </c>
      <c r="C53" s="669"/>
      <c r="D53" s="665" t="s">
        <v>1119</v>
      </c>
      <c r="E53" s="671" t="s">
        <v>1119</v>
      </c>
      <c r="F53" s="671" t="s">
        <v>1119</v>
      </c>
      <c r="G53" s="661" t="s">
        <v>1119</v>
      </c>
      <c r="H53" s="662" t="s">
        <v>1119</v>
      </c>
      <c r="I53" s="672" t="s">
        <v>1119</v>
      </c>
      <c r="J53" s="670"/>
      <c r="K53" s="665" t="s">
        <v>1119</v>
      </c>
      <c r="L53" s="671" t="s">
        <v>1119</v>
      </c>
      <c r="M53" s="671" t="s">
        <v>1119</v>
      </c>
      <c r="N53" s="661" t="s">
        <v>1119</v>
      </c>
      <c r="O53" s="662" t="s">
        <v>1119</v>
      </c>
      <c r="P53" s="672" t="s">
        <v>1119</v>
      </c>
      <c r="Q53" s="670"/>
      <c r="R53" s="665" t="s">
        <v>1119</v>
      </c>
      <c r="S53" s="671" t="s">
        <v>1119</v>
      </c>
      <c r="T53" s="671" t="s">
        <v>1119</v>
      </c>
      <c r="U53" s="661" t="s">
        <v>1119</v>
      </c>
      <c r="V53" s="662" t="s">
        <v>1119</v>
      </c>
      <c r="W53" s="672" t="s">
        <v>1119</v>
      </c>
    </row>
    <row r="54" spans="1:23" s="644" customFormat="1" x14ac:dyDescent="0.25">
      <c r="A54" s="667">
        <f t="shared" si="0"/>
        <v>-11</v>
      </c>
      <c r="B54" s="657" t="s">
        <v>1119</v>
      </c>
      <c r="C54" s="669"/>
      <c r="D54" s="665" t="s">
        <v>1119</v>
      </c>
      <c r="E54" s="671" t="s">
        <v>1119</v>
      </c>
      <c r="F54" s="671" t="s">
        <v>1119</v>
      </c>
      <c r="G54" s="661" t="s">
        <v>1119</v>
      </c>
      <c r="H54" s="662" t="s">
        <v>1119</v>
      </c>
      <c r="I54" s="672" t="s">
        <v>1119</v>
      </c>
      <c r="J54" s="670"/>
      <c r="K54" s="665" t="s">
        <v>1119</v>
      </c>
      <c r="L54" s="671" t="s">
        <v>1119</v>
      </c>
      <c r="M54" s="671" t="s">
        <v>1119</v>
      </c>
      <c r="N54" s="661" t="s">
        <v>1119</v>
      </c>
      <c r="O54" s="662" t="s">
        <v>1119</v>
      </c>
      <c r="P54" s="672" t="s">
        <v>1119</v>
      </c>
      <c r="Q54" s="670"/>
      <c r="R54" s="665" t="s">
        <v>1119</v>
      </c>
      <c r="S54" s="671" t="s">
        <v>1119</v>
      </c>
      <c r="T54" s="671" t="s">
        <v>1119</v>
      </c>
      <c r="U54" s="661" t="s">
        <v>1119</v>
      </c>
      <c r="V54" s="662" t="s">
        <v>1119</v>
      </c>
      <c r="W54" s="672" t="s">
        <v>1119</v>
      </c>
    </row>
    <row r="55" spans="1:23" s="644" customFormat="1" x14ac:dyDescent="0.25">
      <c r="A55" s="667">
        <f t="shared" si="0"/>
        <v>-12</v>
      </c>
      <c r="B55" s="657" t="s">
        <v>1119</v>
      </c>
      <c r="C55" s="669"/>
      <c r="D55" s="665" t="s">
        <v>1119</v>
      </c>
      <c r="E55" s="671" t="s">
        <v>1119</v>
      </c>
      <c r="F55" s="671" t="s">
        <v>1119</v>
      </c>
      <c r="G55" s="661" t="s">
        <v>1119</v>
      </c>
      <c r="H55" s="662" t="s">
        <v>1119</v>
      </c>
      <c r="I55" s="672" t="s">
        <v>1119</v>
      </c>
      <c r="J55" s="670"/>
      <c r="K55" s="665" t="s">
        <v>1119</v>
      </c>
      <c r="L55" s="671" t="s">
        <v>1119</v>
      </c>
      <c r="M55" s="671" t="s">
        <v>1119</v>
      </c>
      <c r="N55" s="661" t="s">
        <v>1119</v>
      </c>
      <c r="O55" s="662" t="s">
        <v>1119</v>
      </c>
      <c r="P55" s="672" t="s">
        <v>1119</v>
      </c>
      <c r="Q55" s="670"/>
      <c r="R55" s="665" t="s">
        <v>1119</v>
      </c>
      <c r="S55" s="671" t="s">
        <v>1119</v>
      </c>
      <c r="T55" s="671" t="s">
        <v>1119</v>
      </c>
      <c r="U55" s="661" t="s">
        <v>1119</v>
      </c>
      <c r="V55" s="662" t="s">
        <v>1119</v>
      </c>
      <c r="W55" s="672" t="s">
        <v>1119</v>
      </c>
    </row>
    <row r="56" spans="1:23" s="644" customFormat="1" x14ac:dyDescent="0.25">
      <c r="A56" s="667">
        <f t="shared" si="0"/>
        <v>-13</v>
      </c>
      <c r="B56" s="657" t="s">
        <v>1119</v>
      </c>
      <c r="C56" s="669"/>
      <c r="D56" s="665" t="s">
        <v>1119</v>
      </c>
      <c r="E56" s="671" t="s">
        <v>1119</v>
      </c>
      <c r="F56" s="671" t="s">
        <v>1119</v>
      </c>
      <c r="G56" s="661" t="s">
        <v>1119</v>
      </c>
      <c r="H56" s="662" t="s">
        <v>1119</v>
      </c>
      <c r="I56" s="672" t="s">
        <v>1119</v>
      </c>
      <c r="J56" s="670"/>
      <c r="K56" s="665" t="s">
        <v>1119</v>
      </c>
      <c r="L56" s="671" t="s">
        <v>1119</v>
      </c>
      <c r="M56" s="671" t="s">
        <v>1119</v>
      </c>
      <c r="N56" s="661" t="s">
        <v>1119</v>
      </c>
      <c r="O56" s="662" t="s">
        <v>1119</v>
      </c>
      <c r="P56" s="672" t="s">
        <v>1119</v>
      </c>
      <c r="Q56" s="670"/>
      <c r="R56" s="665" t="s">
        <v>1119</v>
      </c>
      <c r="S56" s="671" t="s">
        <v>1119</v>
      </c>
      <c r="T56" s="671" t="s">
        <v>1119</v>
      </c>
      <c r="U56" s="661" t="s">
        <v>1119</v>
      </c>
      <c r="V56" s="662" t="s">
        <v>1119</v>
      </c>
      <c r="W56" s="672" t="s">
        <v>1119</v>
      </c>
    </row>
    <row r="57" spans="1:23" s="644" customFormat="1" x14ac:dyDescent="0.25">
      <c r="A57" s="667">
        <f t="shared" si="0"/>
        <v>-14</v>
      </c>
      <c r="B57" s="657" t="s">
        <v>1119</v>
      </c>
      <c r="C57" s="669"/>
      <c r="D57" s="665" t="s">
        <v>1119</v>
      </c>
      <c r="E57" s="671" t="s">
        <v>1119</v>
      </c>
      <c r="F57" s="671" t="s">
        <v>1119</v>
      </c>
      <c r="G57" s="661" t="s">
        <v>1119</v>
      </c>
      <c r="H57" s="662" t="s">
        <v>1119</v>
      </c>
      <c r="I57" s="672" t="s">
        <v>1119</v>
      </c>
      <c r="J57" s="670"/>
      <c r="K57" s="665" t="s">
        <v>1119</v>
      </c>
      <c r="L57" s="671" t="s">
        <v>1119</v>
      </c>
      <c r="M57" s="671" t="s">
        <v>1119</v>
      </c>
      <c r="N57" s="661" t="s">
        <v>1119</v>
      </c>
      <c r="O57" s="662" t="s">
        <v>1119</v>
      </c>
      <c r="P57" s="672" t="s">
        <v>1119</v>
      </c>
      <c r="Q57" s="670"/>
      <c r="R57" s="665" t="s">
        <v>1119</v>
      </c>
      <c r="S57" s="671" t="s">
        <v>1119</v>
      </c>
      <c r="T57" s="671" t="s">
        <v>1119</v>
      </c>
      <c r="U57" s="661" t="s">
        <v>1119</v>
      </c>
      <c r="V57" s="662" t="s">
        <v>1119</v>
      </c>
      <c r="W57" s="672" t="s">
        <v>1119</v>
      </c>
    </row>
    <row r="58" spans="1:23" s="644" customFormat="1" x14ac:dyDescent="0.25">
      <c r="A58" s="667">
        <f t="shared" si="0"/>
        <v>-15</v>
      </c>
      <c r="B58" s="657" t="s">
        <v>1119</v>
      </c>
      <c r="C58" s="669"/>
      <c r="D58" s="665" t="s">
        <v>1119</v>
      </c>
      <c r="E58" s="671" t="s">
        <v>1119</v>
      </c>
      <c r="F58" s="671" t="s">
        <v>1119</v>
      </c>
      <c r="G58" s="661" t="s">
        <v>1119</v>
      </c>
      <c r="H58" s="662" t="s">
        <v>1119</v>
      </c>
      <c r="I58" s="672" t="s">
        <v>1119</v>
      </c>
      <c r="J58" s="670"/>
      <c r="K58" s="665" t="s">
        <v>1119</v>
      </c>
      <c r="L58" s="671" t="s">
        <v>1119</v>
      </c>
      <c r="M58" s="671" t="s">
        <v>1119</v>
      </c>
      <c r="N58" s="661" t="s">
        <v>1119</v>
      </c>
      <c r="O58" s="662" t="s">
        <v>1119</v>
      </c>
      <c r="P58" s="672" t="s">
        <v>1119</v>
      </c>
      <c r="Q58" s="670"/>
      <c r="R58" s="665" t="s">
        <v>1119</v>
      </c>
      <c r="S58" s="671" t="s">
        <v>1119</v>
      </c>
      <c r="T58" s="671" t="s">
        <v>1119</v>
      </c>
      <c r="U58" s="661" t="s">
        <v>1119</v>
      </c>
      <c r="V58" s="662" t="s">
        <v>1119</v>
      </c>
      <c r="W58" s="672" t="s">
        <v>1119</v>
      </c>
    </row>
    <row r="59" spans="1:23" s="644" customFormat="1" x14ac:dyDescent="0.25">
      <c r="A59" s="667">
        <f t="shared" si="0"/>
        <v>-16</v>
      </c>
      <c r="B59" s="657" t="s">
        <v>1119</v>
      </c>
      <c r="C59" s="669"/>
      <c r="D59" s="665" t="s">
        <v>1119</v>
      </c>
      <c r="E59" s="671" t="s">
        <v>1119</v>
      </c>
      <c r="F59" s="671" t="s">
        <v>1119</v>
      </c>
      <c r="G59" s="661" t="s">
        <v>1119</v>
      </c>
      <c r="H59" s="662" t="s">
        <v>1119</v>
      </c>
      <c r="I59" s="672" t="s">
        <v>1119</v>
      </c>
      <c r="J59" s="670"/>
      <c r="K59" s="665" t="s">
        <v>1119</v>
      </c>
      <c r="L59" s="671" t="s">
        <v>1119</v>
      </c>
      <c r="M59" s="671" t="s">
        <v>1119</v>
      </c>
      <c r="N59" s="661" t="s">
        <v>1119</v>
      </c>
      <c r="O59" s="662" t="s">
        <v>1119</v>
      </c>
      <c r="P59" s="672" t="s">
        <v>1119</v>
      </c>
      <c r="Q59" s="670"/>
      <c r="R59" s="665" t="s">
        <v>1119</v>
      </c>
      <c r="S59" s="671" t="s">
        <v>1119</v>
      </c>
      <c r="T59" s="671" t="s">
        <v>1119</v>
      </c>
      <c r="U59" s="661" t="s">
        <v>1119</v>
      </c>
      <c r="V59" s="662" t="s">
        <v>1119</v>
      </c>
      <c r="W59" s="672" t="s">
        <v>1119</v>
      </c>
    </row>
    <row r="60" spans="1:23" s="644" customFormat="1" x14ac:dyDescent="0.25">
      <c r="A60" s="667">
        <f t="shared" si="0"/>
        <v>-17</v>
      </c>
      <c r="B60" s="657" t="s">
        <v>1119</v>
      </c>
      <c r="C60" s="669"/>
      <c r="D60" s="665" t="s">
        <v>1119</v>
      </c>
      <c r="E60" s="671" t="s">
        <v>1119</v>
      </c>
      <c r="F60" s="671" t="s">
        <v>1119</v>
      </c>
      <c r="G60" s="661" t="s">
        <v>1119</v>
      </c>
      <c r="H60" s="662" t="s">
        <v>1119</v>
      </c>
      <c r="I60" s="672" t="s">
        <v>1119</v>
      </c>
      <c r="J60" s="670"/>
      <c r="K60" s="665" t="s">
        <v>1119</v>
      </c>
      <c r="L60" s="671" t="s">
        <v>1119</v>
      </c>
      <c r="M60" s="671" t="s">
        <v>1119</v>
      </c>
      <c r="N60" s="661" t="s">
        <v>1119</v>
      </c>
      <c r="O60" s="662" t="s">
        <v>1119</v>
      </c>
      <c r="P60" s="672" t="s">
        <v>1119</v>
      </c>
      <c r="Q60" s="670"/>
      <c r="R60" s="665" t="s">
        <v>1119</v>
      </c>
      <c r="S60" s="671" t="s">
        <v>1119</v>
      </c>
      <c r="T60" s="671" t="s">
        <v>1119</v>
      </c>
      <c r="U60" s="661" t="s">
        <v>1119</v>
      </c>
      <c r="V60" s="662" t="s">
        <v>1119</v>
      </c>
      <c r="W60" s="672" t="s">
        <v>1119</v>
      </c>
    </row>
    <row r="61" spans="1:23" s="644" customFormat="1" x14ac:dyDescent="0.25">
      <c r="A61" s="667">
        <f t="shared" si="0"/>
        <v>-18</v>
      </c>
      <c r="B61" s="657" t="s">
        <v>1119</v>
      </c>
      <c r="C61" s="669"/>
      <c r="D61" s="665" t="s">
        <v>1119</v>
      </c>
      <c r="E61" s="671" t="s">
        <v>1119</v>
      </c>
      <c r="F61" s="671" t="s">
        <v>1119</v>
      </c>
      <c r="G61" s="661" t="s">
        <v>1119</v>
      </c>
      <c r="H61" s="662" t="s">
        <v>1119</v>
      </c>
      <c r="I61" s="672" t="s">
        <v>1119</v>
      </c>
      <c r="J61" s="670"/>
      <c r="K61" s="665" t="s">
        <v>1119</v>
      </c>
      <c r="L61" s="671" t="s">
        <v>1119</v>
      </c>
      <c r="M61" s="671" t="s">
        <v>1119</v>
      </c>
      <c r="N61" s="661" t="s">
        <v>1119</v>
      </c>
      <c r="O61" s="662" t="s">
        <v>1119</v>
      </c>
      <c r="P61" s="672" t="s">
        <v>1119</v>
      </c>
      <c r="Q61" s="670"/>
      <c r="R61" s="665" t="s">
        <v>1119</v>
      </c>
      <c r="S61" s="671" t="s">
        <v>1119</v>
      </c>
      <c r="T61" s="671" t="s">
        <v>1119</v>
      </c>
      <c r="U61" s="661" t="s">
        <v>1119</v>
      </c>
      <c r="V61" s="662" t="s">
        <v>1119</v>
      </c>
      <c r="W61" s="672" t="s">
        <v>1119</v>
      </c>
    </row>
    <row r="62" spans="1:23" s="644" customFormat="1" x14ac:dyDescent="0.25">
      <c r="A62" s="667">
        <f t="shared" si="0"/>
        <v>-19</v>
      </c>
      <c r="B62" s="657" t="s">
        <v>1119</v>
      </c>
      <c r="C62" s="669"/>
      <c r="D62" s="665" t="s">
        <v>1119</v>
      </c>
      <c r="E62" s="671" t="s">
        <v>1119</v>
      </c>
      <c r="F62" s="671" t="s">
        <v>1119</v>
      </c>
      <c r="G62" s="661" t="s">
        <v>1119</v>
      </c>
      <c r="H62" s="662" t="s">
        <v>1119</v>
      </c>
      <c r="I62" s="672" t="s">
        <v>1119</v>
      </c>
      <c r="J62" s="670"/>
      <c r="K62" s="665" t="s">
        <v>1119</v>
      </c>
      <c r="L62" s="671" t="s">
        <v>1119</v>
      </c>
      <c r="M62" s="671" t="s">
        <v>1119</v>
      </c>
      <c r="N62" s="661" t="s">
        <v>1119</v>
      </c>
      <c r="O62" s="662" t="s">
        <v>1119</v>
      </c>
      <c r="P62" s="672" t="s">
        <v>1119</v>
      </c>
      <c r="Q62" s="670"/>
      <c r="R62" s="665" t="s">
        <v>1119</v>
      </c>
      <c r="S62" s="671" t="s">
        <v>1119</v>
      </c>
      <c r="T62" s="671" t="s">
        <v>1119</v>
      </c>
      <c r="U62" s="661" t="s">
        <v>1119</v>
      </c>
      <c r="V62" s="662" t="s">
        <v>1119</v>
      </c>
      <c r="W62" s="672" t="s">
        <v>1119</v>
      </c>
    </row>
    <row r="63" spans="1:23" s="644" customFormat="1" x14ac:dyDescent="0.25">
      <c r="A63" s="667">
        <f t="shared" si="0"/>
        <v>-20</v>
      </c>
      <c r="B63" s="657" t="s">
        <v>1119</v>
      </c>
      <c r="C63" s="669"/>
      <c r="D63" s="665" t="s">
        <v>1119</v>
      </c>
      <c r="E63" s="671" t="s">
        <v>1119</v>
      </c>
      <c r="F63" s="671" t="s">
        <v>1119</v>
      </c>
      <c r="G63" s="661" t="s">
        <v>1119</v>
      </c>
      <c r="H63" s="662" t="s">
        <v>1119</v>
      </c>
      <c r="I63" s="672" t="s">
        <v>1119</v>
      </c>
      <c r="J63" s="670"/>
      <c r="K63" s="665" t="s">
        <v>1119</v>
      </c>
      <c r="L63" s="671" t="s">
        <v>1119</v>
      </c>
      <c r="M63" s="671" t="s">
        <v>1119</v>
      </c>
      <c r="N63" s="661" t="s">
        <v>1119</v>
      </c>
      <c r="O63" s="662" t="s">
        <v>1119</v>
      </c>
      <c r="P63" s="672" t="s">
        <v>1119</v>
      </c>
      <c r="Q63" s="670"/>
      <c r="R63" s="665" t="s">
        <v>1119</v>
      </c>
      <c r="S63" s="671" t="s">
        <v>1119</v>
      </c>
      <c r="T63" s="671" t="s">
        <v>1119</v>
      </c>
      <c r="U63" s="661" t="s">
        <v>1119</v>
      </c>
      <c r="V63" s="662" t="s">
        <v>1119</v>
      </c>
      <c r="W63" s="672" t="s">
        <v>1119</v>
      </c>
    </row>
    <row r="64" spans="1:23" s="644" customFormat="1" x14ac:dyDescent="0.25">
      <c r="A64" s="667">
        <f t="shared" si="0"/>
        <v>-21</v>
      </c>
      <c r="B64" s="657" t="s">
        <v>1119</v>
      </c>
      <c r="C64" s="669"/>
      <c r="D64" s="665" t="s">
        <v>1119</v>
      </c>
      <c r="E64" s="671" t="s">
        <v>1119</v>
      </c>
      <c r="F64" s="671" t="s">
        <v>1119</v>
      </c>
      <c r="G64" s="661" t="s">
        <v>1119</v>
      </c>
      <c r="H64" s="662" t="s">
        <v>1119</v>
      </c>
      <c r="I64" s="672" t="s">
        <v>1119</v>
      </c>
      <c r="J64" s="670"/>
      <c r="K64" s="665" t="s">
        <v>1119</v>
      </c>
      <c r="L64" s="671" t="s">
        <v>1119</v>
      </c>
      <c r="M64" s="671" t="s">
        <v>1119</v>
      </c>
      <c r="N64" s="661" t="s">
        <v>1119</v>
      </c>
      <c r="O64" s="662" t="s">
        <v>1119</v>
      </c>
      <c r="P64" s="672" t="s">
        <v>1119</v>
      </c>
      <c r="Q64" s="670"/>
      <c r="R64" s="665" t="s">
        <v>1119</v>
      </c>
      <c r="S64" s="671" t="s">
        <v>1119</v>
      </c>
      <c r="T64" s="671" t="s">
        <v>1119</v>
      </c>
      <c r="U64" s="661" t="s">
        <v>1119</v>
      </c>
      <c r="V64" s="662" t="s">
        <v>1119</v>
      </c>
      <c r="W64" s="672" t="s">
        <v>1119</v>
      </c>
    </row>
    <row r="65" spans="1:23" s="644" customFormat="1" x14ac:dyDescent="0.25">
      <c r="A65" s="667">
        <f t="shared" si="0"/>
        <v>-22</v>
      </c>
      <c r="B65" s="657" t="s">
        <v>1119</v>
      </c>
      <c r="C65" s="669"/>
      <c r="D65" s="665" t="s">
        <v>1119</v>
      </c>
      <c r="E65" s="671" t="s">
        <v>1119</v>
      </c>
      <c r="F65" s="671" t="s">
        <v>1119</v>
      </c>
      <c r="G65" s="661" t="s">
        <v>1119</v>
      </c>
      <c r="H65" s="662" t="s">
        <v>1119</v>
      </c>
      <c r="I65" s="672" t="s">
        <v>1119</v>
      </c>
      <c r="J65" s="670"/>
      <c r="K65" s="665" t="s">
        <v>1119</v>
      </c>
      <c r="L65" s="671" t="s">
        <v>1119</v>
      </c>
      <c r="M65" s="671" t="s">
        <v>1119</v>
      </c>
      <c r="N65" s="661" t="s">
        <v>1119</v>
      </c>
      <c r="O65" s="662" t="s">
        <v>1119</v>
      </c>
      <c r="P65" s="672" t="s">
        <v>1119</v>
      </c>
      <c r="Q65" s="670"/>
      <c r="R65" s="665" t="s">
        <v>1119</v>
      </c>
      <c r="S65" s="671" t="s">
        <v>1119</v>
      </c>
      <c r="T65" s="671" t="s">
        <v>1119</v>
      </c>
      <c r="U65" s="661" t="s">
        <v>1119</v>
      </c>
      <c r="V65" s="662" t="s">
        <v>1119</v>
      </c>
      <c r="W65" s="672" t="s">
        <v>1119</v>
      </c>
    </row>
    <row r="66" spans="1:23" s="644" customFormat="1" x14ac:dyDescent="0.25">
      <c r="A66" s="667">
        <f t="shared" si="0"/>
        <v>-23</v>
      </c>
      <c r="B66" s="657" t="s">
        <v>1119</v>
      </c>
      <c r="C66" s="669"/>
      <c r="D66" s="665" t="s">
        <v>1119</v>
      </c>
      <c r="E66" s="671" t="s">
        <v>1119</v>
      </c>
      <c r="F66" s="671" t="s">
        <v>1119</v>
      </c>
      <c r="G66" s="661" t="s">
        <v>1119</v>
      </c>
      <c r="H66" s="662" t="s">
        <v>1119</v>
      </c>
      <c r="I66" s="672" t="s">
        <v>1119</v>
      </c>
      <c r="J66" s="670"/>
      <c r="K66" s="665" t="s">
        <v>1119</v>
      </c>
      <c r="L66" s="671" t="s">
        <v>1119</v>
      </c>
      <c r="M66" s="671" t="s">
        <v>1119</v>
      </c>
      <c r="N66" s="661" t="s">
        <v>1119</v>
      </c>
      <c r="O66" s="662" t="s">
        <v>1119</v>
      </c>
      <c r="P66" s="672" t="s">
        <v>1119</v>
      </c>
      <c r="Q66" s="670"/>
      <c r="R66" s="665" t="s">
        <v>1119</v>
      </c>
      <c r="S66" s="671" t="s">
        <v>1119</v>
      </c>
      <c r="T66" s="671" t="s">
        <v>1119</v>
      </c>
      <c r="U66" s="661" t="s">
        <v>1119</v>
      </c>
      <c r="V66" s="662" t="s">
        <v>1119</v>
      </c>
      <c r="W66" s="672" t="s">
        <v>1119</v>
      </c>
    </row>
    <row r="67" spans="1:23" s="644" customFormat="1" x14ac:dyDescent="0.25">
      <c r="A67" s="667">
        <f t="shared" si="0"/>
        <v>-24</v>
      </c>
      <c r="B67" s="657" t="s">
        <v>1119</v>
      </c>
      <c r="C67" s="669"/>
      <c r="D67" s="659" t="s">
        <v>1119</v>
      </c>
      <c r="E67" s="671" t="s">
        <v>1119</v>
      </c>
      <c r="F67" s="671" t="s">
        <v>1119</v>
      </c>
      <c r="G67" s="661" t="s">
        <v>1119</v>
      </c>
      <c r="H67" s="662" t="s">
        <v>1119</v>
      </c>
      <c r="I67" s="672" t="s">
        <v>1119</v>
      </c>
      <c r="J67" s="670"/>
      <c r="K67" s="659" t="s">
        <v>1119</v>
      </c>
      <c r="L67" s="671" t="s">
        <v>1119</v>
      </c>
      <c r="M67" s="671" t="s">
        <v>1119</v>
      </c>
      <c r="N67" s="661" t="s">
        <v>1119</v>
      </c>
      <c r="O67" s="662" t="s">
        <v>1119</v>
      </c>
      <c r="P67" s="672" t="s">
        <v>1119</v>
      </c>
      <c r="Q67" s="670"/>
      <c r="R67" s="659" t="s">
        <v>1119</v>
      </c>
      <c r="S67" s="671" t="s">
        <v>1119</v>
      </c>
      <c r="T67" s="671" t="s">
        <v>1119</v>
      </c>
      <c r="U67" s="661" t="s">
        <v>1119</v>
      </c>
      <c r="V67" s="662" t="s">
        <v>1119</v>
      </c>
      <c r="W67" s="672" t="s">
        <v>1119</v>
      </c>
    </row>
    <row r="68" spans="1:23" s="644" customFormat="1" x14ac:dyDescent="0.25">
      <c r="A68" s="667">
        <f t="shared" si="0"/>
        <v>-25</v>
      </c>
      <c r="B68" s="657" t="s">
        <v>1119</v>
      </c>
      <c r="C68" s="669"/>
      <c r="D68" s="659" t="s">
        <v>1119</v>
      </c>
      <c r="E68" s="671" t="s">
        <v>1119</v>
      </c>
      <c r="F68" s="671" t="s">
        <v>1119</v>
      </c>
      <c r="G68" s="661" t="s">
        <v>1119</v>
      </c>
      <c r="H68" s="662" t="s">
        <v>1119</v>
      </c>
      <c r="I68" s="672" t="s">
        <v>1119</v>
      </c>
      <c r="J68" s="670"/>
      <c r="K68" s="659" t="s">
        <v>1119</v>
      </c>
      <c r="L68" s="671" t="s">
        <v>1119</v>
      </c>
      <c r="M68" s="671" t="s">
        <v>1119</v>
      </c>
      <c r="N68" s="661" t="s">
        <v>1119</v>
      </c>
      <c r="O68" s="662" t="s">
        <v>1119</v>
      </c>
      <c r="P68" s="672" t="s">
        <v>1119</v>
      </c>
      <c r="Q68" s="670"/>
      <c r="R68" s="659" t="s">
        <v>1119</v>
      </c>
      <c r="S68" s="671" t="s">
        <v>1119</v>
      </c>
      <c r="T68" s="671" t="s">
        <v>1119</v>
      </c>
      <c r="U68" s="661" t="s">
        <v>1119</v>
      </c>
      <c r="V68" s="662" t="s">
        <v>1119</v>
      </c>
      <c r="W68" s="672" t="s">
        <v>1119</v>
      </c>
    </row>
    <row r="69" spans="1:23" s="644" customFormat="1" x14ac:dyDescent="0.25">
      <c r="A69" s="667">
        <f t="shared" si="0"/>
        <v>-26</v>
      </c>
      <c r="B69" s="657" t="s">
        <v>1119</v>
      </c>
      <c r="C69" s="669"/>
      <c r="D69" s="659" t="s">
        <v>1119</v>
      </c>
      <c r="E69" s="671" t="s">
        <v>1119</v>
      </c>
      <c r="F69" s="671" t="s">
        <v>1119</v>
      </c>
      <c r="G69" s="661" t="s">
        <v>1119</v>
      </c>
      <c r="H69" s="662" t="s">
        <v>1119</v>
      </c>
      <c r="I69" s="672" t="s">
        <v>1119</v>
      </c>
      <c r="J69" s="670"/>
      <c r="K69" s="659" t="s">
        <v>1119</v>
      </c>
      <c r="L69" s="671" t="s">
        <v>1119</v>
      </c>
      <c r="M69" s="671" t="s">
        <v>1119</v>
      </c>
      <c r="N69" s="661" t="s">
        <v>1119</v>
      </c>
      <c r="O69" s="662" t="s">
        <v>1119</v>
      </c>
      <c r="P69" s="672" t="s">
        <v>1119</v>
      </c>
      <c r="Q69" s="670"/>
      <c r="R69" s="659" t="s">
        <v>1119</v>
      </c>
      <c r="S69" s="671" t="s">
        <v>1119</v>
      </c>
      <c r="T69" s="671" t="s">
        <v>1119</v>
      </c>
      <c r="U69" s="661" t="s">
        <v>1119</v>
      </c>
      <c r="V69" s="662" t="s">
        <v>1119</v>
      </c>
      <c r="W69" s="672" t="s">
        <v>1119</v>
      </c>
    </row>
    <row r="70" spans="1:23" s="644" customFormat="1" x14ac:dyDescent="0.25">
      <c r="A70" s="667">
        <f t="shared" si="0"/>
        <v>-27</v>
      </c>
      <c r="B70" s="657" t="s">
        <v>1119</v>
      </c>
      <c r="C70" s="669"/>
      <c r="D70" s="665" t="s">
        <v>1119</v>
      </c>
      <c r="E70" s="671" t="s">
        <v>1119</v>
      </c>
      <c r="F70" s="671" t="s">
        <v>1119</v>
      </c>
      <c r="G70" s="661" t="s">
        <v>1119</v>
      </c>
      <c r="H70" s="662" t="s">
        <v>1119</v>
      </c>
      <c r="I70" s="672" t="s">
        <v>1119</v>
      </c>
      <c r="J70" s="670"/>
      <c r="K70" s="665" t="s">
        <v>1119</v>
      </c>
      <c r="L70" s="671" t="s">
        <v>1119</v>
      </c>
      <c r="M70" s="671" t="s">
        <v>1119</v>
      </c>
      <c r="N70" s="661" t="s">
        <v>1119</v>
      </c>
      <c r="O70" s="662" t="s">
        <v>1119</v>
      </c>
      <c r="P70" s="672" t="s">
        <v>1119</v>
      </c>
      <c r="Q70" s="670"/>
      <c r="R70" s="665" t="s">
        <v>1119</v>
      </c>
      <c r="S70" s="671" t="s">
        <v>1119</v>
      </c>
      <c r="T70" s="671" t="s">
        <v>1119</v>
      </c>
      <c r="U70" s="661" t="s">
        <v>1119</v>
      </c>
      <c r="V70" s="662" t="s">
        <v>1119</v>
      </c>
      <c r="W70" s="672" t="s">
        <v>1119</v>
      </c>
    </row>
    <row r="71" spans="1:23" s="644" customFormat="1" x14ac:dyDescent="0.25">
      <c r="A71" s="667">
        <f t="shared" si="0"/>
        <v>-28</v>
      </c>
      <c r="B71" s="657" t="s">
        <v>1119</v>
      </c>
      <c r="C71" s="669"/>
      <c r="D71" s="665" t="s">
        <v>1119</v>
      </c>
      <c r="E71" s="671" t="s">
        <v>1119</v>
      </c>
      <c r="F71" s="671" t="s">
        <v>1119</v>
      </c>
      <c r="G71" s="661" t="s">
        <v>1119</v>
      </c>
      <c r="H71" s="662" t="s">
        <v>1119</v>
      </c>
      <c r="I71" s="672" t="s">
        <v>1119</v>
      </c>
      <c r="J71" s="670"/>
      <c r="K71" s="665" t="s">
        <v>1119</v>
      </c>
      <c r="L71" s="671" t="s">
        <v>1119</v>
      </c>
      <c r="M71" s="671" t="s">
        <v>1119</v>
      </c>
      <c r="N71" s="661" t="s">
        <v>1119</v>
      </c>
      <c r="O71" s="662" t="s">
        <v>1119</v>
      </c>
      <c r="P71" s="672" t="s">
        <v>1119</v>
      </c>
      <c r="Q71" s="670"/>
      <c r="R71" s="665" t="s">
        <v>1119</v>
      </c>
      <c r="S71" s="671" t="s">
        <v>1119</v>
      </c>
      <c r="T71" s="671" t="s">
        <v>1119</v>
      </c>
      <c r="U71" s="661" t="s">
        <v>1119</v>
      </c>
      <c r="V71" s="662" t="s">
        <v>1119</v>
      </c>
      <c r="W71" s="672" t="s">
        <v>1119</v>
      </c>
    </row>
    <row r="72" spans="1:23" s="644" customFormat="1" x14ac:dyDescent="0.25">
      <c r="A72" s="667">
        <f t="shared" si="0"/>
        <v>-29</v>
      </c>
      <c r="B72" s="657" t="s">
        <v>1119</v>
      </c>
      <c r="C72" s="669"/>
      <c r="D72" s="665" t="s">
        <v>1119</v>
      </c>
      <c r="E72" s="671" t="s">
        <v>1119</v>
      </c>
      <c r="F72" s="671" t="s">
        <v>1119</v>
      </c>
      <c r="G72" s="661" t="s">
        <v>1119</v>
      </c>
      <c r="H72" s="662" t="s">
        <v>1119</v>
      </c>
      <c r="I72" s="672" t="s">
        <v>1119</v>
      </c>
      <c r="J72" s="670"/>
      <c r="K72" s="665" t="s">
        <v>1119</v>
      </c>
      <c r="L72" s="671" t="s">
        <v>1119</v>
      </c>
      <c r="M72" s="671" t="s">
        <v>1119</v>
      </c>
      <c r="N72" s="661" t="s">
        <v>1119</v>
      </c>
      <c r="O72" s="662" t="s">
        <v>1119</v>
      </c>
      <c r="P72" s="672" t="s">
        <v>1119</v>
      </c>
      <c r="Q72" s="670"/>
      <c r="R72" s="665" t="s">
        <v>1119</v>
      </c>
      <c r="S72" s="671" t="s">
        <v>1119</v>
      </c>
      <c r="T72" s="671" t="s">
        <v>1119</v>
      </c>
      <c r="U72" s="661" t="s">
        <v>1119</v>
      </c>
      <c r="V72" s="662" t="s">
        <v>1119</v>
      </c>
      <c r="W72" s="672" t="s">
        <v>1119</v>
      </c>
    </row>
    <row r="73" spans="1:23" s="644" customFormat="1" x14ac:dyDescent="0.25">
      <c r="A73" s="667">
        <f t="shared" si="0"/>
        <v>-30</v>
      </c>
      <c r="B73" s="657" t="s">
        <v>1119</v>
      </c>
      <c r="C73" s="669"/>
      <c r="D73" s="665" t="s">
        <v>1119</v>
      </c>
      <c r="E73" s="671" t="s">
        <v>1119</v>
      </c>
      <c r="F73" s="671" t="s">
        <v>1119</v>
      </c>
      <c r="G73" s="661" t="s">
        <v>1119</v>
      </c>
      <c r="H73" s="662" t="s">
        <v>1119</v>
      </c>
      <c r="I73" s="672" t="s">
        <v>1119</v>
      </c>
      <c r="J73" s="670"/>
      <c r="K73" s="665" t="s">
        <v>1119</v>
      </c>
      <c r="L73" s="671" t="s">
        <v>1119</v>
      </c>
      <c r="M73" s="671" t="s">
        <v>1119</v>
      </c>
      <c r="N73" s="661" t="s">
        <v>1119</v>
      </c>
      <c r="O73" s="662" t="s">
        <v>1119</v>
      </c>
      <c r="P73" s="672" t="s">
        <v>1119</v>
      </c>
      <c r="Q73" s="670"/>
      <c r="R73" s="665" t="s">
        <v>1119</v>
      </c>
      <c r="S73" s="671" t="s">
        <v>1119</v>
      </c>
      <c r="T73" s="671" t="s">
        <v>1119</v>
      </c>
      <c r="U73" s="661" t="s">
        <v>1119</v>
      </c>
      <c r="V73" s="662" t="s">
        <v>1119</v>
      </c>
      <c r="W73" s="672" t="s">
        <v>1119</v>
      </c>
    </row>
    <row r="74" spans="1:23" s="644" customFormat="1" x14ac:dyDescent="0.25">
      <c r="A74" s="667">
        <f t="shared" si="0"/>
        <v>-31</v>
      </c>
      <c r="B74" s="657" t="s">
        <v>1119</v>
      </c>
      <c r="C74" s="669"/>
      <c r="D74" s="665" t="s">
        <v>1119</v>
      </c>
      <c r="E74" s="671" t="s">
        <v>1119</v>
      </c>
      <c r="F74" s="671" t="s">
        <v>1119</v>
      </c>
      <c r="G74" s="661" t="s">
        <v>1119</v>
      </c>
      <c r="H74" s="662" t="s">
        <v>1119</v>
      </c>
      <c r="I74" s="672" t="s">
        <v>1119</v>
      </c>
      <c r="J74" s="670"/>
      <c r="K74" s="665" t="s">
        <v>1119</v>
      </c>
      <c r="L74" s="671" t="s">
        <v>1119</v>
      </c>
      <c r="M74" s="671" t="s">
        <v>1119</v>
      </c>
      <c r="N74" s="661" t="s">
        <v>1119</v>
      </c>
      <c r="O74" s="662" t="s">
        <v>1119</v>
      </c>
      <c r="P74" s="672" t="s">
        <v>1119</v>
      </c>
      <c r="Q74" s="670"/>
      <c r="R74" s="665" t="s">
        <v>1119</v>
      </c>
      <c r="S74" s="671" t="s">
        <v>1119</v>
      </c>
      <c r="T74" s="671" t="s">
        <v>1119</v>
      </c>
      <c r="U74" s="661" t="s">
        <v>1119</v>
      </c>
      <c r="V74" s="662" t="s">
        <v>1119</v>
      </c>
      <c r="W74" s="672" t="s">
        <v>1119</v>
      </c>
    </row>
    <row r="75" spans="1:23" s="644" customFormat="1" x14ac:dyDescent="0.25">
      <c r="A75" s="667">
        <f t="shared" si="0"/>
        <v>-32</v>
      </c>
      <c r="B75" s="657" t="s">
        <v>1119</v>
      </c>
      <c r="C75" s="669"/>
      <c r="D75" s="665" t="s">
        <v>1119</v>
      </c>
      <c r="E75" s="671" t="s">
        <v>1119</v>
      </c>
      <c r="F75" s="671" t="s">
        <v>1119</v>
      </c>
      <c r="G75" s="661" t="s">
        <v>1119</v>
      </c>
      <c r="H75" s="662" t="s">
        <v>1119</v>
      </c>
      <c r="I75" s="672" t="s">
        <v>1119</v>
      </c>
      <c r="J75" s="670"/>
      <c r="K75" s="665" t="s">
        <v>1119</v>
      </c>
      <c r="L75" s="671" t="s">
        <v>1119</v>
      </c>
      <c r="M75" s="671" t="s">
        <v>1119</v>
      </c>
      <c r="N75" s="661" t="s">
        <v>1119</v>
      </c>
      <c r="O75" s="662" t="s">
        <v>1119</v>
      </c>
      <c r="P75" s="672" t="s">
        <v>1119</v>
      </c>
      <c r="Q75" s="670"/>
      <c r="R75" s="665" t="s">
        <v>1119</v>
      </c>
      <c r="S75" s="671" t="s">
        <v>1119</v>
      </c>
      <c r="T75" s="671" t="s">
        <v>1119</v>
      </c>
      <c r="U75" s="661" t="s">
        <v>1119</v>
      </c>
      <c r="V75" s="662" t="s">
        <v>1119</v>
      </c>
      <c r="W75" s="672" t="s">
        <v>1119</v>
      </c>
    </row>
    <row r="76" spans="1:23" s="644" customFormat="1" x14ac:dyDescent="0.25">
      <c r="A76" s="667">
        <f t="shared" si="0"/>
        <v>-33</v>
      </c>
      <c r="B76" s="657" t="s">
        <v>1119</v>
      </c>
      <c r="C76" s="669"/>
      <c r="D76" s="665" t="s">
        <v>1119</v>
      </c>
      <c r="E76" s="671" t="s">
        <v>1119</v>
      </c>
      <c r="F76" s="671" t="s">
        <v>1119</v>
      </c>
      <c r="G76" s="661" t="s">
        <v>1119</v>
      </c>
      <c r="H76" s="662" t="s">
        <v>1119</v>
      </c>
      <c r="I76" s="672" t="s">
        <v>1119</v>
      </c>
      <c r="J76" s="670"/>
      <c r="K76" s="665" t="s">
        <v>1119</v>
      </c>
      <c r="L76" s="671" t="s">
        <v>1119</v>
      </c>
      <c r="M76" s="671" t="s">
        <v>1119</v>
      </c>
      <c r="N76" s="661" t="s">
        <v>1119</v>
      </c>
      <c r="O76" s="662" t="s">
        <v>1119</v>
      </c>
      <c r="P76" s="672" t="s">
        <v>1119</v>
      </c>
      <c r="Q76" s="670"/>
      <c r="R76" s="665" t="s">
        <v>1119</v>
      </c>
      <c r="S76" s="671" t="s">
        <v>1119</v>
      </c>
      <c r="T76" s="671" t="s">
        <v>1119</v>
      </c>
      <c r="U76" s="661" t="s">
        <v>1119</v>
      </c>
      <c r="V76" s="662" t="s">
        <v>1119</v>
      </c>
      <c r="W76" s="672" t="s">
        <v>1119</v>
      </c>
    </row>
    <row r="77" spans="1:23" s="644" customFormat="1" x14ac:dyDescent="0.25">
      <c r="A77" s="667">
        <f t="shared" si="0"/>
        <v>-34</v>
      </c>
      <c r="B77" s="657" t="s">
        <v>1119</v>
      </c>
      <c r="C77" s="669"/>
      <c r="D77" s="665" t="s">
        <v>1119</v>
      </c>
      <c r="E77" s="671" t="s">
        <v>1119</v>
      </c>
      <c r="F77" s="671" t="s">
        <v>1119</v>
      </c>
      <c r="G77" s="661" t="s">
        <v>1119</v>
      </c>
      <c r="H77" s="662" t="s">
        <v>1119</v>
      </c>
      <c r="I77" s="672" t="s">
        <v>1119</v>
      </c>
      <c r="J77" s="670"/>
      <c r="K77" s="665" t="s">
        <v>1119</v>
      </c>
      <c r="L77" s="671" t="s">
        <v>1119</v>
      </c>
      <c r="M77" s="671" t="s">
        <v>1119</v>
      </c>
      <c r="N77" s="661" t="s">
        <v>1119</v>
      </c>
      <c r="O77" s="662" t="s">
        <v>1119</v>
      </c>
      <c r="P77" s="672" t="s">
        <v>1119</v>
      </c>
      <c r="Q77" s="670"/>
      <c r="R77" s="665" t="s">
        <v>1119</v>
      </c>
      <c r="S77" s="671" t="s">
        <v>1119</v>
      </c>
      <c r="T77" s="671" t="s">
        <v>1119</v>
      </c>
      <c r="U77" s="661" t="s">
        <v>1119</v>
      </c>
      <c r="V77" s="662" t="s">
        <v>1119</v>
      </c>
      <c r="W77" s="672" t="s">
        <v>1119</v>
      </c>
    </row>
    <row r="78" spans="1:23" s="644" customFormat="1" x14ac:dyDescent="0.25">
      <c r="A78" s="667">
        <f t="shared" si="0"/>
        <v>-35</v>
      </c>
      <c r="B78" s="657" t="s">
        <v>1119</v>
      </c>
      <c r="C78" s="669"/>
      <c r="D78" s="665" t="s">
        <v>1119</v>
      </c>
      <c r="E78" s="671" t="s">
        <v>1119</v>
      </c>
      <c r="F78" s="671" t="s">
        <v>1119</v>
      </c>
      <c r="G78" s="661" t="s">
        <v>1119</v>
      </c>
      <c r="H78" s="662" t="s">
        <v>1119</v>
      </c>
      <c r="I78" s="672" t="s">
        <v>1119</v>
      </c>
      <c r="J78" s="670"/>
      <c r="K78" s="665" t="s">
        <v>1119</v>
      </c>
      <c r="L78" s="671" t="s">
        <v>1119</v>
      </c>
      <c r="M78" s="671" t="s">
        <v>1119</v>
      </c>
      <c r="N78" s="661" t="s">
        <v>1119</v>
      </c>
      <c r="O78" s="662" t="s">
        <v>1119</v>
      </c>
      <c r="P78" s="672" t="s">
        <v>1119</v>
      </c>
      <c r="Q78" s="670"/>
      <c r="R78" s="665" t="s">
        <v>1119</v>
      </c>
      <c r="S78" s="671" t="s">
        <v>1119</v>
      </c>
      <c r="T78" s="671" t="s">
        <v>1119</v>
      </c>
      <c r="U78" s="661" t="s">
        <v>1119</v>
      </c>
      <c r="V78" s="662" t="s">
        <v>1119</v>
      </c>
      <c r="W78" s="672" t="s">
        <v>1119</v>
      </c>
    </row>
    <row r="79" spans="1:23" s="644" customFormat="1" x14ac:dyDescent="0.25">
      <c r="A79" s="667">
        <f t="shared" si="0"/>
        <v>-36</v>
      </c>
      <c r="B79" s="657" t="s">
        <v>1119</v>
      </c>
      <c r="C79" s="669"/>
      <c r="D79" s="665" t="s">
        <v>1119</v>
      </c>
      <c r="E79" s="671" t="s">
        <v>1119</v>
      </c>
      <c r="F79" s="671" t="s">
        <v>1119</v>
      </c>
      <c r="G79" s="661" t="s">
        <v>1119</v>
      </c>
      <c r="H79" s="662" t="s">
        <v>1119</v>
      </c>
      <c r="I79" s="672" t="s">
        <v>1119</v>
      </c>
      <c r="J79" s="670"/>
      <c r="K79" s="665" t="s">
        <v>1119</v>
      </c>
      <c r="L79" s="671" t="s">
        <v>1119</v>
      </c>
      <c r="M79" s="671" t="s">
        <v>1119</v>
      </c>
      <c r="N79" s="661" t="s">
        <v>1119</v>
      </c>
      <c r="O79" s="662" t="s">
        <v>1119</v>
      </c>
      <c r="P79" s="672" t="s">
        <v>1119</v>
      </c>
      <c r="Q79" s="670"/>
      <c r="R79" s="665" t="s">
        <v>1119</v>
      </c>
      <c r="S79" s="671" t="s">
        <v>1119</v>
      </c>
      <c r="T79" s="671" t="s">
        <v>1119</v>
      </c>
      <c r="U79" s="661" t="s">
        <v>1119</v>
      </c>
      <c r="V79" s="662" t="s">
        <v>1119</v>
      </c>
      <c r="W79" s="672" t="s">
        <v>1119</v>
      </c>
    </row>
    <row r="80" spans="1:23" s="644" customFormat="1" x14ac:dyDescent="0.25">
      <c r="A80" s="667">
        <f t="shared" si="0"/>
        <v>-37</v>
      </c>
      <c r="B80" s="657" t="s">
        <v>1119</v>
      </c>
      <c r="C80" s="669"/>
      <c r="D80" s="665" t="s">
        <v>1119</v>
      </c>
      <c r="E80" s="671" t="s">
        <v>1119</v>
      </c>
      <c r="F80" s="671" t="s">
        <v>1119</v>
      </c>
      <c r="G80" s="661" t="s">
        <v>1119</v>
      </c>
      <c r="H80" s="662" t="s">
        <v>1119</v>
      </c>
      <c r="I80" s="672" t="s">
        <v>1119</v>
      </c>
      <c r="J80" s="670"/>
      <c r="K80" s="665" t="s">
        <v>1119</v>
      </c>
      <c r="L80" s="671" t="s">
        <v>1119</v>
      </c>
      <c r="M80" s="671" t="s">
        <v>1119</v>
      </c>
      <c r="N80" s="661" t="s">
        <v>1119</v>
      </c>
      <c r="O80" s="662" t="s">
        <v>1119</v>
      </c>
      <c r="P80" s="672" t="s">
        <v>1119</v>
      </c>
      <c r="Q80" s="670"/>
      <c r="R80" s="665" t="s">
        <v>1119</v>
      </c>
      <c r="S80" s="671" t="s">
        <v>1119</v>
      </c>
      <c r="T80" s="671" t="s">
        <v>1119</v>
      </c>
      <c r="U80" s="661" t="s">
        <v>1119</v>
      </c>
      <c r="V80" s="662" t="s">
        <v>1119</v>
      </c>
      <c r="W80" s="672" t="s">
        <v>1119</v>
      </c>
    </row>
    <row r="81" spans="1:23" s="644" customFormat="1" x14ac:dyDescent="0.25">
      <c r="A81" s="667">
        <f t="shared" si="0"/>
        <v>-38</v>
      </c>
      <c r="B81" s="657" t="s">
        <v>1119</v>
      </c>
      <c r="C81" s="669"/>
      <c r="D81" s="665" t="s">
        <v>1119</v>
      </c>
      <c r="E81" s="671" t="s">
        <v>1119</v>
      </c>
      <c r="F81" s="671" t="s">
        <v>1119</v>
      </c>
      <c r="G81" s="661" t="s">
        <v>1119</v>
      </c>
      <c r="H81" s="662" t="s">
        <v>1119</v>
      </c>
      <c r="I81" s="672" t="s">
        <v>1119</v>
      </c>
      <c r="J81" s="670"/>
      <c r="K81" s="665" t="s">
        <v>1119</v>
      </c>
      <c r="L81" s="671" t="s">
        <v>1119</v>
      </c>
      <c r="M81" s="671" t="s">
        <v>1119</v>
      </c>
      <c r="N81" s="661" t="s">
        <v>1119</v>
      </c>
      <c r="O81" s="662" t="s">
        <v>1119</v>
      </c>
      <c r="P81" s="672" t="s">
        <v>1119</v>
      </c>
      <c r="Q81" s="670"/>
      <c r="R81" s="665" t="s">
        <v>1119</v>
      </c>
      <c r="S81" s="671" t="s">
        <v>1119</v>
      </c>
      <c r="T81" s="671" t="s">
        <v>1119</v>
      </c>
      <c r="U81" s="661" t="s">
        <v>1119</v>
      </c>
      <c r="V81" s="662" t="s">
        <v>1119</v>
      </c>
      <c r="W81" s="672" t="s">
        <v>1119</v>
      </c>
    </row>
    <row r="82" spans="1:23" s="644" customFormat="1" x14ac:dyDescent="0.25">
      <c r="A82" s="667">
        <f t="shared" si="0"/>
        <v>-39</v>
      </c>
      <c r="B82" s="657" t="s">
        <v>1119</v>
      </c>
      <c r="C82" s="669"/>
      <c r="D82" s="665" t="s">
        <v>1119</v>
      </c>
      <c r="E82" s="671" t="s">
        <v>1119</v>
      </c>
      <c r="F82" s="671" t="s">
        <v>1119</v>
      </c>
      <c r="G82" s="661" t="s">
        <v>1119</v>
      </c>
      <c r="H82" s="662" t="s">
        <v>1119</v>
      </c>
      <c r="I82" s="672" t="s">
        <v>1119</v>
      </c>
      <c r="J82" s="670"/>
      <c r="K82" s="665" t="s">
        <v>1119</v>
      </c>
      <c r="L82" s="671" t="s">
        <v>1119</v>
      </c>
      <c r="M82" s="671" t="s">
        <v>1119</v>
      </c>
      <c r="N82" s="661" t="s">
        <v>1119</v>
      </c>
      <c r="O82" s="662" t="s">
        <v>1119</v>
      </c>
      <c r="P82" s="672" t="s">
        <v>1119</v>
      </c>
      <c r="Q82" s="670"/>
      <c r="R82" s="665" t="s">
        <v>1119</v>
      </c>
      <c r="S82" s="671" t="s">
        <v>1119</v>
      </c>
      <c r="T82" s="671" t="s">
        <v>1119</v>
      </c>
      <c r="U82" s="661" t="s">
        <v>1119</v>
      </c>
      <c r="V82" s="662" t="s">
        <v>1119</v>
      </c>
      <c r="W82" s="672" t="s">
        <v>1119</v>
      </c>
    </row>
    <row r="83" spans="1:23" s="644" customFormat="1" x14ac:dyDescent="0.25">
      <c r="A83" s="667">
        <f t="shared" si="0"/>
        <v>-40</v>
      </c>
      <c r="B83" s="657" t="s">
        <v>1119</v>
      </c>
      <c r="C83" s="669"/>
      <c r="D83" s="665" t="s">
        <v>1119</v>
      </c>
      <c r="E83" s="671" t="s">
        <v>1119</v>
      </c>
      <c r="F83" s="671" t="s">
        <v>1119</v>
      </c>
      <c r="G83" s="661" t="s">
        <v>1119</v>
      </c>
      <c r="H83" s="662" t="s">
        <v>1119</v>
      </c>
      <c r="I83" s="672" t="s">
        <v>1119</v>
      </c>
      <c r="J83" s="670"/>
      <c r="K83" s="665" t="s">
        <v>1119</v>
      </c>
      <c r="L83" s="671" t="s">
        <v>1119</v>
      </c>
      <c r="M83" s="671" t="s">
        <v>1119</v>
      </c>
      <c r="N83" s="661" t="s">
        <v>1119</v>
      </c>
      <c r="O83" s="662" t="s">
        <v>1119</v>
      </c>
      <c r="P83" s="672" t="s">
        <v>1119</v>
      </c>
      <c r="Q83" s="670"/>
      <c r="R83" s="665" t="s">
        <v>1119</v>
      </c>
      <c r="S83" s="671" t="s">
        <v>1119</v>
      </c>
      <c r="T83" s="671" t="s">
        <v>1119</v>
      </c>
      <c r="U83" s="661" t="s">
        <v>1119</v>
      </c>
      <c r="V83" s="662" t="s">
        <v>1119</v>
      </c>
      <c r="W83" s="672" t="s">
        <v>1119</v>
      </c>
    </row>
    <row r="84" spans="1:23" s="644" customFormat="1" x14ac:dyDescent="0.25">
      <c r="A84" s="667">
        <f t="shared" si="0"/>
        <v>-41</v>
      </c>
      <c r="B84" s="657" t="s">
        <v>1119</v>
      </c>
      <c r="C84" s="669"/>
      <c r="D84" s="665" t="s">
        <v>1119</v>
      </c>
      <c r="E84" s="671" t="s">
        <v>1119</v>
      </c>
      <c r="F84" s="671" t="s">
        <v>1119</v>
      </c>
      <c r="G84" s="661" t="s">
        <v>1119</v>
      </c>
      <c r="H84" s="662" t="s">
        <v>1119</v>
      </c>
      <c r="I84" s="672" t="s">
        <v>1119</v>
      </c>
      <c r="J84" s="670"/>
      <c r="K84" s="665" t="s">
        <v>1119</v>
      </c>
      <c r="L84" s="671" t="s">
        <v>1119</v>
      </c>
      <c r="M84" s="671" t="s">
        <v>1119</v>
      </c>
      <c r="N84" s="661" t="s">
        <v>1119</v>
      </c>
      <c r="O84" s="662" t="s">
        <v>1119</v>
      </c>
      <c r="P84" s="672" t="s">
        <v>1119</v>
      </c>
      <c r="Q84" s="670"/>
      <c r="R84" s="665" t="s">
        <v>1119</v>
      </c>
      <c r="S84" s="671" t="s">
        <v>1119</v>
      </c>
      <c r="T84" s="671" t="s">
        <v>1119</v>
      </c>
      <c r="U84" s="661" t="s">
        <v>1119</v>
      </c>
      <c r="V84" s="662" t="s">
        <v>1119</v>
      </c>
      <c r="W84" s="672" t="s">
        <v>1119</v>
      </c>
    </row>
    <row r="85" spans="1:23" s="644" customFormat="1" x14ac:dyDescent="0.25">
      <c r="A85" s="667">
        <f t="shared" si="0"/>
        <v>-42</v>
      </c>
      <c r="B85" s="657" t="s">
        <v>1119</v>
      </c>
      <c r="C85" s="669"/>
      <c r="D85" s="665" t="s">
        <v>1119</v>
      </c>
      <c r="E85" s="671" t="s">
        <v>1119</v>
      </c>
      <c r="F85" s="671" t="s">
        <v>1119</v>
      </c>
      <c r="G85" s="661" t="s">
        <v>1119</v>
      </c>
      <c r="H85" s="662" t="s">
        <v>1119</v>
      </c>
      <c r="I85" s="672" t="s">
        <v>1119</v>
      </c>
      <c r="J85" s="670"/>
      <c r="K85" s="665" t="s">
        <v>1119</v>
      </c>
      <c r="L85" s="671" t="s">
        <v>1119</v>
      </c>
      <c r="M85" s="671" t="s">
        <v>1119</v>
      </c>
      <c r="N85" s="661" t="s">
        <v>1119</v>
      </c>
      <c r="O85" s="662" t="s">
        <v>1119</v>
      </c>
      <c r="P85" s="672" t="s">
        <v>1119</v>
      </c>
      <c r="Q85" s="670"/>
      <c r="R85" s="665" t="s">
        <v>1119</v>
      </c>
      <c r="S85" s="671" t="s">
        <v>1119</v>
      </c>
      <c r="T85" s="671" t="s">
        <v>1119</v>
      </c>
      <c r="U85" s="661" t="s">
        <v>1119</v>
      </c>
      <c r="V85" s="662" t="s">
        <v>1119</v>
      </c>
      <c r="W85" s="672" t="s">
        <v>1119</v>
      </c>
    </row>
    <row r="86" spans="1:23" s="644" customFormat="1" x14ac:dyDescent="0.25">
      <c r="A86" s="667">
        <f t="shared" si="0"/>
        <v>-43</v>
      </c>
      <c r="B86" s="657" t="s">
        <v>1119</v>
      </c>
      <c r="C86" s="669"/>
      <c r="D86" s="665" t="s">
        <v>1119</v>
      </c>
      <c r="E86" s="671" t="s">
        <v>1119</v>
      </c>
      <c r="F86" s="671" t="s">
        <v>1119</v>
      </c>
      <c r="G86" s="661" t="s">
        <v>1119</v>
      </c>
      <c r="H86" s="662" t="s">
        <v>1119</v>
      </c>
      <c r="I86" s="672" t="s">
        <v>1119</v>
      </c>
      <c r="J86" s="670"/>
      <c r="K86" s="665" t="s">
        <v>1119</v>
      </c>
      <c r="L86" s="671" t="s">
        <v>1119</v>
      </c>
      <c r="M86" s="671" t="s">
        <v>1119</v>
      </c>
      <c r="N86" s="661" t="s">
        <v>1119</v>
      </c>
      <c r="O86" s="662" t="s">
        <v>1119</v>
      </c>
      <c r="P86" s="672" t="s">
        <v>1119</v>
      </c>
      <c r="Q86" s="670"/>
      <c r="R86" s="665" t="s">
        <v>1119</v>
      </c>
      <c r="S86" s="671" t="s">
        <v>1119</v>
      </c>
      <c r="T86" s="671" t="s">
        <v>1119</v>
      </c>
      <c r="U86" s="661" t="s">
        <v>1119</v>
      </c>
      <c r="V86" s="662" t="s">
        <v>1119</v>
      </c>
      <c r="W86" s="672" t="s">
        <v>1119</v>
      </c>
    </row>
    <row r="87" spans="1:23" s="644" customFormat="1" x14ac:dyDescent="0.25">
      <c r="A87" s="667">
        <f t="shared" si="0"/>
        <v>-44</v>
      </c>
      <c r="B87" s="657" t="s">
        <v>1119</v>
      </c>
      <c r="C87" s="669"/>
      <c r="D87" s="665" t="s">
        <v>1119</v>
      </c>
      <c r="E87" s="671" t="s">
        <v>1119</v>
      </c>
      <c r="F87" s="671" t="s">
        <v>1119</v>
      </c>
      <c r="G87" s="661" t="s">
        <v>1119</v>
      </c>
      <c r="H87" s="662" t="s">
        <v>1119</v>
      </c>
      <c r="I87" s="672" t="s">
        <v>1119</v>
      </c>
      <c r="J87" s="670"/>
      <c r="K87" s="665" t="s">
        <v>1119</v>
      </c>
      <c r="L87" s="671" t="s">
        <v>1119</v>
      </c>
      <c r="M87" s="671" t="s">
        <v>1119</v>
      </c>
      <c r="N87" s="661" t="s">
        <v>1119</v>
      </c>
      <c r="O87" s="662" t="s">
        <v>1119</v>
      </c>
      <c r="P87" s="672" t="s">
        <v>1119</v>
      </c>
      <c r="Q87" s="670"/>
      <c r="R87" s="665" t="s">
        <v>1119</v>
      </c>
      <c r="S87" s="671" t="s">
        <v>1119</v>
      </c>
      <c r="T87" s="671" t="s">
        <v>1119</v>
      </c>
      <c r="U87" s="661" t="s">
        <v>1119</v>
      </c>
      <c r="V87" s="662" t="s">
        <v>1119</v>
      </c>
      <c r="W87" s="672" t="s">
        <v>1119</v>
      </c>
    </row>
    <row r="88" spans="1:23" s="644" customFormat="1" x14ac:dyDescent="0.25">
      <c r="A88" s="667">
        <f t="shared" ref="A88:A151" si="1">A87-1</f>
        <v>-45</v>
      </c>
      <c r="B88" s="657" t="s">
        <v>1119</v>
      </c>
      <c r="C88" s="669"/>
      <c r="D88" s="665" t="s">
        <v>1119</v>
      </c>
      <c r="E88" s="671" t="s">
        <v>1119</v>
      </c>
      <c r="F88" s="671" t="s">
        <v>1119</v>
      </c>
      <c r="G88" s="661" t="s">
        <v>1119</v>
      </c>
      <c r="H88" s="662" t="s">
        <v>1119</v>
      </c>
      <c r="I88" s="672" t="s">
        <v>1119</v>
      </c>
      <c r="J88" s="670"/>
      <c r="K88" s="665" t="s">
        <v>1119</v>
      </c>
      <c r="L88" s="671" t="s">
        <v>1119</v>
      </c>
      <c r="M88" s="671" t="s">
        <v>1119</v>
      </c>
      <c r="N88" s="661" t="s">
        <v>1119</v>
      </c>
      <c r="O88" s="662" t="s">
        <v>1119</v>
      </c>
      <c r="P88" s="672" t="s">
        <v>1119</v>
      </c>
      <c r="Q88" s="670"/>
      <c r="R88" s="665" t="s">
        <v>1119</v>
      </c>
      <c r="S88" s="671" t="s">
        <v>1119</v>
      </c>
      <c r="T88" s="671" t="s">
        <v>1119</v>
      </c>
      <c r="U88" s="661" t="s">
        <v>1119</v>
      </c>
      <c r="V88" s="662" t="s">
        <v>1119</v>
      </c>
      <c r="W88" s="672" t="s">
        <v>1119</v>
      </c>
    </row>
    <row r="89" spans="1:23" s="644" customFormat="1" x14ac:dyDescent="0.25">
      <c r="A89" s="667">
        <f t="shared" si="1"/>
        <v>-46</v>
      </c>
      <c r="B89" s="657" t="s">
        <v>1119</v>
      </c>
      <c r="C89" s="669"/>
      <c r="D89" s="665" t="s">
        <v>1119</v>
      </c>
      <c r="E89" s="671" t="s">
        <v>1119</v>
      </c>
      <c r="F89" s="671" t="s">
        <v>1119</v>
      </c>
      <c r="G89" s="661" t="s">
        <v>1119</v>
      </c>
      <c r="H89" s="662" t="s">
        <v>1119</v>
      </c>
      <c r="I89" s="672" t="s">
        <v>1119</v>
      </c>
      <c r="J89" s="670"/>
      <c r="K89" s="665" t="s">
        <v>1119</v>
      </c>
      <c r="L89" s="671" t="s">
        <v>1119</v>
      </c>
      <c r="M89" s="671" t="s">
        <v>1119</v>
      </c>
      <c r="N89" s="661" t="s">
        <v>1119</v>
      </c>
      <c r="O89" s="662" t="s">
        <v>1119</v>
      </c>
      <c r="P89" s="672" t="s">
        <v>1119</v>
      </c>
      <c r="Q89" s="670"/>
      <c r="R89" s="665" t="s">
        <v>1119</v>
      </c>
      <c r="S89" s="671" t="s">
        <v>1119</v>
      </c>
      <c r="T89" s="671" t="s">
        <v>1119</v>
      </c>
      <c r="U89" s="661" t="s">
        <v>1119</v>
      </c>
      <c r="V89" s="662" t="s">
        <v>1119</v>
      </c>
      <c r="W89" s="672" t="s">
        <v>1119</v>
      </c>
    </row>
    <row r="90" spans="1:23" s="644" customFormat="1" x14ac:dyDescent="0.25">
      <c r="A90" s="667">
        <f t="shared" si="1"/>
        <v>-47</v>
      </c>
      <c r="B90" s="657" t="s">
        <v>1119</v>
      </c>
      <c r="C90" s="669"/>
      <c r="D90" s="665" t="s">
        <v>1119</v>
      </c>
      <c r="E90" s="671" t="s">
        <v>1119</v>
      </c>
      <c r="F90" s="671" t="s">
        <v>1119</v>
      </c>
      <c r="G90" s="661" t="s">
        <v>1119</v>
      </c>
      <c r="H90" s="662" t="s">
        <v>1119</v>
      </c>
      <c r="I90" s="672" t="s">
        <v>1119</v>
      </c>
      <c r="J90" s="670"/>
      <c r="K90" s="665" t="s">
        <v>1119</v>
      </c>
      <c r="L90" s="671" t="s">
        <v>1119</v>
      </c>
      <c r="M90" s="671" t="s">
        <v>1119</v>
      </c>
      <c r="N90" s="661" t="s">
        <v>1119</v>
      </c>
      <c r="O90" s="662" t="s">
        <v>1119</v>
      </c>
      <c r="P90" s="672" t="s">
        <v>1119</v>
      </c>
      <c r="Q90" s="670"/>
      <c r="R90" s="665" t="s">
        <v>1119</v>
      </c>
      <c r="S90" s="671" t="s">
        <v>1119</v>
      </c>
      <c r="T90" s="671" t="s">
        <v>1119</v>
      </c>
      <c r="U90" s="661" t="s">
        <v>1119</v>
      </c>
      <c r="V90" s="662" t="s">
        <v>1119</v>
      </c>
      <c r="W90" s="672" t="s">
        <v>1119</v>
      </c>
    </row>
    <row r="91" spans="1:23" s="644" customFormat="1" x14ac:dyDescent="0.25">
      <c r="A91" s="667">
        <f t="shared" si="1"/>
        <v>-48</v>
      </c>
      <c r="B91" s="657" t="s">
        <v>1119</v>
      </c>
      <c r="C91" s="669"/>
      <c r="D91" s="665" t="s">
        <v>1119</v>
      </c>
      <c r="E91" s="671" t="s">
        <v>1119</v>
      </c>
      <c r="F91" s="671" t="s">
        <v>1119</v>
      </c>
      <c r="G91" s="661" t="s">
        <v>1119</v>
      </c>
      <c r="H91" s="662" t="s">
        <v>1119</v>
      </c>
      <c r="I91" s="672" t="s">
        <v>1119</v>
      </c>
      <c r="J91" s="670"/>
      <c r="K91" s="665" t="s">
        <v>1119</v>
      </c>
      <c r="L91" s="671" t="s">
        <v>1119</v>
      </c>
      <c r="M91" s="671" t="s">
        <v>1119</v>
      </c>
      <c r="N91" s="661" t="s">
        <v>1119</v>
      </c>
      <c r="O91" s="662" t="s">
        <v>1119</v>
      </c>
      <c r="P91" s="672" t="s">
        <v>1119</v>
      </c>
      <c r="Q91" s="670"/>
      <c r="R91" s="665" t="s">
        <v>1119</v>
      </c>
      <c r="S91" s="671" t="s">
        <v>1119</v>
      </c>
      <c r="T91" s="671" t="s">
        <v>1119</v>
      </c>
      <c r="U91" s="661" t="s">
        <v>1119</v>
      </c>
      <c r="V91" s="662" t="s">
        <v>1119</v>
      </c>
      <c r="W91" s="672" t="s">
        <v>1119</v>
      </c>
    </row>
    <row r="92" spans="1:23" s="644" customFormat="1" x14ac:dyDescent="0.25">
      <c r="A92" s="667">
        <f t="shared" si="1"/>
        <v>-49</v>
      </c>
      <c r="B92" s="657" t="s">
        <v>1119</v>
      </c>
      <c r="C92" s="669"/>
      <c r="D92" s="665" t="s">
        <v>1119</v>
      </c>
      <c r="E92" s="671" t="s">
        <v>1119</v>
      </c>
      <c r="F92" s="671" t="s">
        <v>1119</v>
      </c>
      <c r="G92" s="661" t="s">
        <v>1119</v>
      </c>
      <c r="H92" s="662" t="s">
        <v>1119</v>
      </c>
      <c r="I92" s="672" t="s">
        <v>1119</v>
      </c>
      <c r="J92" s="670"/>
      <c r="K92" s="665" t="s">
        <v>1119</v>
      </c>
      <c r="L92" s="671" t="s">
        <v>1119</v>
      </c>
      <c r="M92" s="671" t="s">
        <v>1119</v>
      </c>
      <c r="N92" s="661" t="s">
        <v>1119</v>
      </c>
      <c r="O92" s="662" t="s">
        <v>1119</v>
      </c>
      <c r="P92" s="672" t="s">
        <v>1119</v>
      </c>
      <c r="Q92" s="670"/>
      <c r="R92" s="665" t="s">
        <v>1119</v>
      </c>
      <c r="S92" s="671" t="s">
        <v>1119</v>
      </c>
      <c r="T92" s="671" t="s">
        <v>1119</v>
      </c>
      <c r="U92" s="661" t="s">
        <v>1119</v>
      </c>
      <c r="V92" s="662" t="s">
        <v>1119</v>
      </c>
      <c r="W92" s="672" t="s">
        <v>1119</v>
      </c>
    </row>
    <row r="93" spans="1:23" s="644" customFormat="1" x14ac:dyDescent="0.25">
      <c r="A93" s="667">
        <f t="shared" si="1"/>
        <v>-50</v>
      </c>
      <c r="B93" s="657" t="s">
        <v>1119</v>
      </c>
      <c r="C93" s="669"/>
      <c r="D93" s="665" t="s">
        <v>1119</v>
      </c>
      <c r="E93" s="671" t="s">
        <v>1119</v>
      </c>
      <c r="F93" s="671" t="s">
        <v>1119</v>
      </c>
      <c r="G93" s="661" t="s">
        <v>1119</v>
      </c>
      <c r="H93" s="662" t="s">
        <v>1119</v>
      </c>
      <c r="I93" s="672" t="s">
        <v>1119</v>
      </c>
      <c r="J93" s="670"/>
      <c r="K93" s="665" t="s">
        <v>1119</v>
      </c>
      <c r="L93" s="671" t="s">
        <v>1119</v>
      </c>
      <c r="M93" s="671" t="s">
        <v>1119</v>
      </c>
      <c r="N93" s="661" t="s">
        <v>1119</v>
      </c>
      <c r="O93" s="662" t="s">
        <v>1119</v>
      </c>
      <c r="P93" s="672" t="s">
        <v>1119</v>
      </c>
      <c r="Q93" s="670"/>
      <c r="R93" s="665" t="s">
        <v>1119</v>
      </c>
      <c r="S93" s="671" t="s">
        <v>1119</v>
      </c>
      <c r="T93" s="671" t="s">
        <v>1119</v>
      </c>
      <c r="U93" s="661" t="s">
        <v>1119</v>
      </c>
      <c r="V93" s="662" t="s">
        <v>1119</v>
      </c>
      <c r="W93" s="672" t="s">
        <v>1119</v>
      </c>
    </row>
    <row r="94" spans="1:23" s="644" customFormat="1" x14ac:dyDescent="0.25">
      <c r="A94" s="667">
        <f t="shared" si="1"/>
        <v>-51</v>
      </c>
      <c r="B94" s="657" t="s">
        <v>1119</v>
      </c>
      <c r="C94" s="669"/>
      <c r="D94" s="665" t="s">
        <v>1119</v>
      </c>
      <c r="E94" s="671" t="s">
        <v>1119</v>
      </c>
      <c r="F94" s="671" t="s">
        <v>1119</v>
      </c>
      <c r="G94" s="661" t="s">
        <v>1119</v>
      </c>
      <c r="H94" s="662" t="s">
        <v>1119</v>
      </c>
      <c r="I94" s="672" t="s">
        <v>1119</v>
      </c>
      <c r="J94" s="670"/>
      <c r="K94" s="665" t="s">
        <v>1119</v>
      </c>
      <c r="L94" s="671" t="s">
        <v>1119</v>
      </c>
      <c r="M94" s="671" t="s">
        <v>1119</v>
      </c>
      <c r="N94" s="661" t="s">
        <v>1119</v>
      </c>
      <c r="O94" s="662" t="s">
        <v>1119</v>
      </c>
      <c r="P94" s="672" t="s">
        <v>1119</v>
      </c>
      <c r="Q94" s="670"/>
      <c r="R94" s="665" t="s">
        <v>1119</v>
      </c>
      <c r="S94" s="671" t="s">
        <v>1119</v>
      </c>
      <c r="T94" s="671" t="s">
        <v>1119</v>
      </c>
      <c r="U94" s="661" t="s">
        <v>1119</v>
      </c>
      <c r="V94" s="662" t="s">
        <v>1119</v>
      </c>
      <c r="W94" s="672" t="s">
        <v>1119</v>
      </c>
    </row>
    <row r="95" spans="1:23" s="644" customFormat="1" x14ac:dyDescent="0.25">
      <c r="A95" s="667">
        <f t="shared" si="1"/>
        <v>-52</v>
      </c>
      <c r="B95" s="657" t="s">
        <v>1119</v>
      </c>
      <c r="C95" s="669"/>
      <c r="D95" s="665" t="s">
        <v>1119</v>
      </c>
      <c r="E95" s="671" t="s">
        <v>1119</v>
      </c>
      <c r="F95" s="671" t="s">
        <v>1119</v>
      </c>
      <c r="G95" s="661" t="s">
        <v>1119</v>
      </c>
      <c r="H95" s="662" t="s">
        <v>1119</v>
      </c>
      <c r="I95" s="672" t="s">
        <v>1119</v>
      </c>
      <c r="J95" s="670"/>
      <c r="K95" s="665" t="s">
        <v>1119</v>
      </c>
      <c r="L95" s="671" t="s">
        <v>1119</v>
      </c>
      <c r="M95" s="671" t="s">
        <v>1119</v>
      </c>
      <c r="N95" s="661" t="s">
        <v>1119</v>
      </c>
      <c r="O95" s="662" t="s">
        <v>1119</v>
      </c>
      <c r="P95" s="672" t="s">
        <v>1119</v>
      </c>
      <c r="Q95" s="670"/>
      <c r="R95" s="665" t="s">
        <v>1119</v>
      </c>
      <c r="S95" s="671" t="s">
        <v>1119</v>
      </c>
      <c r="T95" s="671" t="s">
        <v>1119</v>
      </c>
      <c r="U95" s="661" t="s">
        <v>1119</v>
      </c>
      <c r="V95" s="662" t="s">
        <v>1119</v>
      </c>
      <c r="W95" s="672" t="s">
        <v>1119</v>
      </c>
    </row>
    <row r="96" spans="1:23" s="644" customFormat="1" x14ac:dyDescent="0.25">
      <c r="A96" s="667">
        <f t="shared" si="1"/>
        <v>-53</v>
      </c>
      <c r="B96" s="657" t="s">
        <v>1119</v>
      </c>
      <c r="C96" s="669"/>
      <c r="D96" s="665" t="s">
        <v>1119</v>
      </c>
      <c r="E96" s="671" t="s">
        <v>1119</v>
      </c>
      <c r="F96" s="671" t="s">
        <v>1119</v>
      </c>
      <c r="G96" s="661" t="s">
        <v>1119</v>
      </c>
      <c r="H96" s="662" t="s">
        <v>1119</v>
      </c>
      <c r="I96" s="672" t="s">
        <v>1119</v>
      </c>
      <c r="J96" s="670"/>
      <c r="K96" s="665" t="s">
        <v>1119</v>
      </c>
      <c r="L96" s="671" t="s">
        <v>1119</v>
      </c>
      <c r="M96" s="671" t="s">
        <v>1119</v>
      </c>
      <c r="N96" s="661" t="s">
        <v>1119</v>
      </c>
      <c r="O96" s="662" t="s">
        <v>1119</v>
      </c>
      <c r="P96" s="672" t="s">
        <v>1119</v>
      </c>
      <c r="Q96" s="670"/>
      <c r="R96" s="665" t="s">
        <v>1119</v>
      </c>
      <c r="S96" s="671" t="s">
        <v>1119</v>
      </c>
      <c r="T96" s="671" t="s">
        <v>1119</v>
      </c>
      <c r="U96" s="661" t="s">
        <v>1119</v>
      </c>
      <c r="V96" s="662" t="s">
        <v>1119</v>
      </c>
      <c r="W96" s="672" t="s">
        <v>1119</v>
      </c>
    </row>
    <row r="97" spans="1:23" s="644" customFormat="1" x14ac:dyDescent="0.25">
      <c r="A97" s="667">
        <f t="shared" si="1"/>
        <v>-54</v>
      </c>
      <c r="B97" s="657" t="s">
        <v>1119</v>
      </c>
      <c r="C97" s="669"/>
      <c r="D97" s="665" t="s">
        <v>1119</v>
      </c>
      <c r="E97" s="671" t="s">
        <v>1119</v>
      </c>
      <c r="F97" s="671" t="s">
        <v>1119</v>
      </c>
      <c r="G97" s="661" t="s">
        <v>1119</v>
      </c>
      <c r="H97" s="662" t="s">
        <v>1119</v>
      </c>
      <c r="I97" s="672" t="s">
        <v>1119</v>
      </c>
      <c r="J97" s="670"/>
      <c r="K97" s="665" t="s">
        <v>1119</v>
      </c>
      <c r="L97" s="671" t="s">
        <v>1119</v>
      </c>
      <c r="M97" s="671" t="s">
        <v>1119</v>
      </c>
      <c r="N97" s="661" t="s">
        <v>1119</v>
      </c>
      <c r="O97" s="662" t="s">
        <v>1119</v>
      </c>
      <c r="P97" s="672" t="s">
        <v>1119</v>
      </c>
      <c r="Q97" s="670"/>
      <c r="R97" s="665" t="s">
        <v>1119</v>
      </c>
      <c r="S97" s="671" t="s">
        <v>1119</v>
      </c>
      <c r="T97" s="671" t="s">
        <v>1119</v>
      </c>
      <c r="U97" s="661" t="s">
        <v>1119</v>
      </c>
      <c r="V97" s="662" t="s">
        <v>1119</v>
      </c>
      <c r="W97" s="672" t="s">
        <v>1119</v>
      </c>
    </row>
    <row r="98" spans="1:23" s="644" customFormat="1" x14ac:dyDescent="0.25">
      <c r="A98" s="667">
        <f t="shared" si="1"/>
        <v>-55</v>
      </c>
      <c r="B98" s="657" t="s">
        <v>1119</v>
      </c>
      <c r="C98" s="669"/>
      <c r="D98" s="665" t="s">
        <v>1119</v>
      </c>
      <c r="E98" s="671" t="s">
        <v>1119</v>
      </c>
      <c r="F98" s="671" t="s">
        <v>1119</v>
      </c>
      <c r="G98" s="661" t="s">
        <v>1119</v>
      </c>
      <c r="H98" s="662" t="s">
        <v>1119</v>
      </c>
      <c r="I98" s="672" t="s">
        <v>1119</v>
      </c>
      <c r="J98" s="670"/>
      <c r="K98" s="665" t="s">
        <v>1119</v>
      </c>
      <c r="L98" s="671" t="s">
        <v>1119</v>
      </c>
      <c r="M98" s="671" t="s">
        <v>1119</v>
      </c>
      <c r="N98" s="661" t="s">
        <v>1119</v>
      </c>
      <c r="O98" s="662" t="s">
        <v>1119</v>
      </c>
      <c r="P98" s="672" t="s">
        <v>1119</v>
      </c>
      <c r="Q98" s="670"/>
      <c r="R98" s="665" t="s">
        <v>1119</v>
      </c>
      <c r="S98" s="671" t="s">
        <v>1119</v>
      </c>
      <c r="T98" s="671" t="s">
        <v>1119</v>
      </c>
      <c r="U98" s="661" t="s">
        <v>1119</v>
      </c>
      <c r="V98" s="662" t="s">
        <v>1119</v>
      </c>
      <c r="W98" s="672" t="s">
        <v>1119</v>
      </c>
    </row>
    <row r="99" spans="1:23" s="644" customFormat="1" x14ac:dyDescent="0.25">
      <c r="A99" s="667">
        <f t="shared" si="1"/>
        <v>-56</v>
      </c>
      <c r="B99" s="657" t="s">
        <v>1119</v>
      </c>
      <c r="C99" s="669"/>
      <c r="D99" s="665" t="s">
        <v>1119</v>
      </c>
      <c r="E99" s="671" t="s">
        <v>1119</v>
      </c>
      <c r="F99" s="671" t="s">
        <v>1119</v>
      </c>
      <c r="G99" s="661" t="s">
        <v>1119</v>
      </c>
      <c r="H99" s="662" t="s">
        <v>1119</v>
      </c>
      <c r="I99" s="672" t="s">
        <v>1119</v>
      </c>
      <c r="J99" s="670"/>
      <c r="K99" s="665" t="s">
        <v>1119</v>
      </c>
      <c r="L99" s="671" t="s">
        <v>1119</v>
      </c>
      <c r="M99" s="671" t="s">
        <v>1119</v>
      </c>
      <c r="N99" s="661" t="s">
        <v>1119</v>
      </c>
      <c r="O99" s="662" t="s">
        <v>1119</v>
      </c>
      <c r="P99" s="672" t="s">
        <v>1119</v>
      </c>
      <c r="Q99" s="670"/>
      <c r="R99" s="665" t="s">
        <v>1119</v>
      </c>
      <c r="S99" s="671" t="s">
        <v>1119</v>
      </c>
      <c r="T99" s="671" t="s">
        <v>1119</v>
      </c>
      <c r="U99" s="661" t="s">
        <v>1119</v>
      </c>
      <c r="V99" s="662" t="s">
        <v>1119</v>
      </c>
      <c r="W99" s="672" t="s">
        <v>1119</v>
      </c>
    </row>
    <row r="100" spans="1:23" s="644" customFormat="1" x14ac:dyDescent="0.25">
      <c r="A100" s="667">
        <f t="shared" si="1"/>
        <v>-57</v>
      </c>
      <c r="B100" s="657" t="s">
        <v>1119</v>
      </c>
      <c r="C100" s="669"/>
      <c r="D100" s="665" t="s">
        <v>1119</v>
      </c>
      <c r="E100" s="671" t="s">
        <v>1119</v>
      </c>
      <c r="F100" s="671" t="s">
        <v>1119</v>
      </c>
      <c r="G100" s="661" t="s">
        <v>1119</v>
      </c>
      <c r="H100" s="662" t="s">
        <v>1119</v>
      </c>
      <c r="I100" s="672" t="s">
        <v>1119</v>
      </c>
      <c r="J100" s="670"/>
      <c r="K100" s="665" t="s">
        <v>1119</v>
      </c>
      <c r="L100" s="671" t="s">
        <v>1119</v>
      </c>
      <c r="M100" s="671" t="s">
        <v>1119</v>
      </c>
      <c r="N100" s="661" t="s">
        <v>1119</v>
      </c>
      <c r="O100" s="662" t="s">
        <v>1119</v>
      </c>
      <c r="P100" s="672" t="s">
        <v>1119</v>
      </c>
      <c r="Q100" s="670"/>
      <c r="R100" s="665" t="s">
        <v>1119</v>
      </c>
      <c r="S100" s="671" t="s">
        <v>1119</v>
      </c>
      <c r="T100" s="671" t="s">
        <v>1119</v>
      </c>
      <c r="U100" s="661" t="s">
        <v>1119</v>
      </c>
      <c r="V100" s="662" t="s">
        <v>1119</v>
      </c>
      <c r="W100" s="672" t="s">
        <v>1119</v>
      </c>
    </row>
    <row r="101" spans="1:23" s="644" customFormat="1" x14ac:dyDescent="0.25">
      <c r="A101" s="667">
        <f t="shared" si="1"/>
        <v>-58</v>
      </c>
      <c r="B101" s="657" t="s">
        <v>1119</v>
      </c>
      <c r="C101" s="669"/>
      <c r="D101" s="665" t="s">
        <v>1119</v>
      </c>
      <c r="E101" s="671" t="s">
        <v>1119</v>
      </c>
      <c r="F101" s="671" t="s">
        <v>1119</v>
      </c>
      <c r="G101" s="661" t="s">
        <v>1119</v>
      </c>
      <c r="H101" s="662" t="s">
        <v>1119</v>
      </c>
      <c r="I101" s="672" t="s">
        <v>1119</v>
      </c>
      <c r="J101" s="670"/>
      <c r="K101" s="665" t="s">
        <v>1119</v>
      </c>
      <c r="L101" s="671" t="s">
        <v>1119</v>
      </c>
      <c r="M101" s="671" t="s">
        <v>1119</v>
      </c>
      <c r="N101" s="661" t="s">
        <v>1119</v>
      </c>
      <c r="O101" s="662" t="s">
        <v>1119</v>
      </c>
      <c r="P101" s="672" t="s">
        <v>1119</v>
      </c>
      <c r="Q101" s="670"/>
      <c r="R101" s="665" t="s">
        <v>1119</v>
      </c>
      <c r="S101" s="671" t="s">
        <v>1119</v>
      </c>
      <c r="T101" s="671" t="s">
        <v>1119</v>
      </c>
      <c r="U101" s="661" t="s">
        <v>1119</v>
      </c>
      <c r="V101" s="662" t="s">
        <v>1119</v>
      </c>
      <c r="W101" s="672" t="s">
        <v>1119</v>
      </c>
    </row>
    <row r="102" spans="1:23" s="644" customFormat="1" x14ac:dyDescent="0.25">
      <c r="A102" s="667">
        <f t="shared" si="1"/>
        <v>-59</v>
      </c>
      <c r="B102" s="657" t="s">
        <v>1119</v>
      </c>
      <c r="C102" s="669"/>
      <c r="D102" s="665" t="s">
        <v>1119</v>
      </c>
      <c r="E102" s="671" t="s">
        <v>1119</v>
      </c>
      <c r="F102" s="671" t="s">
        <v>1119</v>
      </c>
      <c r="G102" s="661" t="s">
        <v>1119</v>
      </c>
      <c r="H102" s="662" t="s">
        <v>1119</v>
      </c>
      <c r="I102" s="672" t="s">
        <v>1119</v>
      </c>
      <c r="J102" s="670"/>
      <c r="K102" s="665" t="s">
        <v>1119</v>
      </c>
      <c r="L102" s="671" t="s">
        <v>1119</v>
      </c>
      <c r="M102" s="671" t="s">
        <v>1119</v>
      </c>
      <c r="N102" s="661" t="s">
        <v>1119</v>
      </c>
      <c r="O102" s="662" t="s">
        <v>1119</v>
      </c>
      <c r="P102" s="672" t="s">
        <v>1119</v>
      </c>
      <c r="Q102" s="670"/>
      <c r="R102" s="665" t="s">
        <v>1119</v>
      </c>
      <c r="S102" s="671" t="s">
        <v>1119</v>
      </c>
      <c r="T102" s="671" t="s">
        <v>1119</v>
      </c>
      <c r="U102" s="661" t="s">
        <v>1119</v>
      </c>
      <c r="V102" s="662" t="s">
        <v>1119</v>
      </c>
      <c r="W102" s="672" t="s">
        <v>1119</v>
      </c>
    </row>
    <row r="103" spans="1:23" s="644" customFormat="1" x14ac:dyDescent="0.25">
      <c r="A103" s="667">
        <f t="shared" si="1"/>
        <v>-60</v>
      </c>
      <c r="B103" s="657" t="s">
        <v>1119</v>
      </c>
      <c r="C103" s="669"/>
      <c r="D103" s="665" t="s">
        <v>1119</v>
      </c>
      <c r="E103" s="671" t="s">
        <v>1119</v>
      </c>
      <c r="F103" s="671" t="s">
        <v>1119</v>
      </c>
      <c r="G103" s="661" t="s">
        <v>1119</v>
      </c>
      <c r="H103" s="662" t="s">
        <v>1119</v>
      </c>
      <c r="I103" s="672" t="s">
        <v>1119</v>
      </c>
      <c r="J103" s="670"/>
      <c r="K103" s="665" t="s">
        <v>1119</v>
      </c>
      <c r="L103" s="671" t="s">
        <v>1119</v>
      </c>
      <c r="M103" s="671" t="s">
        <v>1119</v>
      </c>
      <c r="N103" s="661" t="s">
        <v>1119</v>
      </c>
      <c r="O103" s="662" t="s">
        <v>1119</v>
      </c>
      <c r="P103" s="672" t="s">
        <v>1119</v>
      </c>
      <c r="Q103" s="670"/>
      <c r="R103" s="665" t="s">
        <v>1119</v>
      </c>
      <c r="S103" s="671" t="s">
        <v>1119</v>
      </c>
      <c r="T103" s="671" t="s">
        <v>1119</v>
      </c>
      <c r="U103" s="661" t="s">
        <v>1119</v>
      </c>
      <c r="V103" s="662" t="s">
        <v>1119</v>
      </c>
      <c r="W103" s="672" t="s">
        <v>1119</v>
      </c>
    </row>
    <row r="104" spans="1:23" s="644" customFormat="1" x14ac:dyDescent="0.25">
      <c r="A104" s="667">
        <f t="shared" si="1"/>
        <v>-61</v>
      </c>
      <c r="B104" s="657" t="s">
        <v>1119</v>
      </c>
      <c r="C104" s="669"/>
      <c r="D104" s="665" t="s">
        <v>1119</v>
      </c>
      <c r="E104" s="671" t="s">
        <v>1119</v>
      </c>
      <c r="F104" s="671" t="s">
        <v>1119</v>
      </c>
      <c r="G104" s="661" t="s">
        <v>1119</v>
      </c>
      <c r="H104" s="662" t="s">
        <v>1119</v>
      </c>
      <c r="I104" s="672" t="s">
        <v>1119</v>
      </c>
      <c r="J104" s="670"/>
      <c r="K104" s="665" t="s">
        <v>1119</v>
      </c>
      <c r="L104" s="671" t="s">
        <v>1119</v>
      </c>
      <c r="M104" s="671" t="s">
        <v>1119</v>
      </c>
      <c r="N104" s="661" t="s">
        <v>1119</v>
      </c>
      <c r="O104" s="662" t="s">
        <v>1119</v>
      </c>
      <c r="P104" s="672" t="s">
        <v>1119</v>
      </c>
      <c r="Q104" s="670"/>
      <c r="R104" s="665" t="s">
        <v>1119</v>
      </c>
      <c r="S104" s="671" t="s">
        <v>1119</v>
      </c>
      <c r="T104" s="671" t="s">
        <v>1119</v>
      </c>
      <c r="U104" s="661" t="s">
        <v>1119</v>
      </c>
      <c r="V104" s="662" t="s">
        <v>1119</v>
      </c>
      <c r="W104" s="672" t="s">
        <v>1119</v>
      </c>
    </row>
    <row r="105" spans="1:23" s="644" customFormat="1" x14ac:dyDescent="0.25">
      <c r="A105" s="667">
        <f t="shared" si="1"/>
        <v>-62</v>
      </c>
      <c r="B105" s="657" t="s">
        <v>1119</v>
      </c>
      <c r="C105" s="669"/>
      <c r="D105" s="665" t="s">
        <v>1119</v>
      </c>
      <c r="E105" s="671" t="s">
        <v>1119</v>
      </c>
      <c r="F105" s="671" t="s">
        <v>1119</v>
      </c>
      <c r="G105" s="661" t="s">
        <v>1119</v>
      </c>
      <c r="H105" s="662" t="s">
        <v>1119</v>
      </c>
      <c r="I105" s="672" t="s">
        <v>1119</v>
      </c>
      <c r="J105" s="670"/>
      <c r="K105" s="665" t="s">
        <v>1119</v>
      </c>
      <c r="L105" s="671" t="s">
        <v>1119</v>
      </c>
      <c r="M105" s="671" t="s">
        <v>1119</v>
      </c>
      <c r="N105" s="661" t="s">
        <v>1119</v>
      </c>
      <c r="O105" s="662" t="s">
        <v>1119</v>
      </c>
      <c r="P105" s="672" t="s">
        <v>1119</v>
      </c>
      <c r="Q105" s="670"/>
      <c r="R105" s="665" t="s">
        <v>1119</v>
      </c>
      <c r="S105" s="671" t="s">
        <v>1119</v>
      </c>
      <c r="T105" s="671" t="s">
        <v>1119</v>
      </c>
      <c r="U105" s="661" t="s">
        <v>1119</v>
      </c>
      <c r="V105" s="662" t="s">
        <v>1119</v>
      </c>
      <c r="W105" s="672" t="s">
        <v>1119</v>
      </c>
    </row>
    <row r="106" spans="1:23" s="644" customFormat="1" x14ac:dyDescent="0.25">
      <c r="A106" s="667">
        <f t="shared" si="1"/>
        <v>-63</v>
      </c>
      <c r="B106" s="657" t="s">
        <v>1119</v>
      </c>
      <c r="C106" s="669"/>
      <c r="D106" s="665" t="s">
        <v>1119</v>
      </c>
      <c r="E106" s="671" t="s">
        <v>1119</v>
      </c>
      <c r="F106" s="671" t="s">
        <v>1119</v>
      </c>
      <c r="G106" s="661" t="s">
        <v>1119</v>
      </c>
      <c r="H106" s="662" t="s">
        <v>1119</v>
      </c>
      <c r="I106" s="672" t="s">
        <v>1119</v>
      </c>
      <c r="J106" s="670"/>
      <c r="K106" s="665" t="s">
        <v>1119</v>
      </c>
      <c r="L106" s="671" t="s">
        <v>1119</v>
      </c>
      <c r="M106" s="671" t="s">
        <v>1119</v>
      </c>
      <c r="N106" s="661" t="s">
        <v>1119</v>
      </c>
      <c r="O106" s="662" t="s">
        <v>1119</v>
      </c>
      <c r="P106" s="672" t="s">
        <v>1119</v>
      </c>
      <c r="Q106" s="670"/>
      <c r="R106" s="665" t="s">
        <v>1119</v>
      </c>
      <c r="S106" s="671" t="s">
        <v>1119</v>
      </c>
      <c r="T106" s="671" t="s">
        <v>1119</v>
      </c>
      <c r="U106" s="661" t="s">
        <v>1119</v>
      </c>
      <c r="V106" s="662" t="s">
        <v>1119</v>
      </c>
      <c r="W106" s="672" t="s">
        <v>1119</v>
      </c>
    </row>
    <row r="107" spans="1:23" s="644" customFormat="1" x14ac:dyDescent="0.25">
      <c r="A107" s="667">
        <f t="shared" si="1"/>
        <v>-64</v>
      </c>
      <c r="B107" s="657" t="s">
        <v>1119</v>
      </c>
      <c r="C107" s="669"/>
      <c r="D107" s="665" t="s">
        <v>1119</v>
      </c>
      <c r="E107" s="671" t="s">
        <v>1119</v>
      </c>
      <c r="F107" s="671" t="s">
        <v>1119</v>
      </c>
      <c r="G107" s="661" t="s">
        <v>1119</v>
      </c>
      <c r="H107" s="662" t="s">
        <v>1119</v>
      </c>
      <c r="I107" s="672" t="s">
        <v>1119</v>
      </c>
      <c r="J107" s="670"/>
      <c r="K107" s="665" t="s">
        <v>1119</v>
      </c>
      <c r="L107" s="671" t="s">
        <v>1119</v>
      </c>
      <c r="M107" s="671" t="s">
        <v>1119</v>
      </c>
      <c r="N107" s="661" t="s">
        <v>1119</v>
      </c>
      <c r="O107" s="662" t="s">
        <v>1119</v>
      </c>
      <c r="P107" s="672" t="s">
        <v>1119</v>
      </c>
      <c r="Q107" s="670"/>
      <c r="R107" s="665" t="s">
        <v>1119</v>
      </c>
      <c r="S107" s="671" t="s">
        <v>1119</v>
      </c>
      <c r="T107" s="671" t="s">
        <v>1119</v>
      </c>
      <c r="U107" s="661" t="s">
        <v>1119</v>
      </c>
      <c r="V107" s="662" t="s">
        <v>1119</v>
      </c>
      <c r="W107" s="672" t="s">
        <v>1119</v>
      </c>
    </row>
    <row r="108" spans="1:23" s="644" customFormat="1" x14ac:dyDescent="0.25">
      <c r="A108" s="667">
        <f t="shared" si="1"/>
        <v>-65</v>
      </c>
      <c r="B108" s="657" t="s">
        <v>1119</v>
      </c>
      <c r="C108" s="669"/>
      <c r="D108" s="665" t="s">
        <v>1119</v>
      </c>
      <c r="E108" s="671" t="s">
        <v>1119</v>
      </c>
      <c r="F108" s="671" t="s">
        <v>1119</v>
      </c>
      <c r="G108" s="661" t="s">
        <v>1119</v>
      </c>
      <c r="H108" s="662" t="s">
        <v>1119</v>
      </c>
      <c r="I108" s="672" t="s">
        <v>1119</v>
      </c>
      <c r="J108" s="670"/>
      <c r="K108" s="665" t="s">
        <v>1119</v>
      </c>
      <c r="L108" s="671" t="s">
        <v>1119</v>
      </c>
      <c r="M108" s="671" t="s">
        <v>1119</v>
      </c>
      <c r="N108" s="661" t="s">
        <v>1119</v>
      </c>
      <c r="O108" s="662" t="s">
        <v>1119</v>
      </c>
      <c r="P108" s="672" t="s">
        <v>1119</v>
      </c>
      <c r="Q108" s="670"/>
      <c r="R108" s="665" t="s">
        <v>1119</v>
      </c>
      <c r="S108" s="671" t="s">
        <v>1119</v>
      </c>
      <c r="T108" s="671" t="s">
        <v>1119</v>
      </c>
      <c r="U108" s="661" t="s">
        <v>1119</v>
      </c>
      <c r="V108" s="662" t="s">
        <v>1119</v>
      </c>
      <c r="W108" s="672" t="s">
        <v>1119</v>
      </c>
    </row>
    <row r="109" spans="1:23" s="644" customFormat="1" x14ac:dyDescent="0.25">
      <c r="A109" s="667">
        <f t="shared" si="1"/>
        <v>-66</v>
      </c>
      <c r="B109" s="657" t="s">
        <v>1119</v>
      </c>
      <c r="C109" s="669"/>
      <c r="D109" s="665" t="s">
        <v>1119</v>
      </c>
      <c r="E109" s="671" t="s">
        <v>1119</v>
      </c>
      <c r="F109" s="671" t="s">
        <v>1119</v>
      </c>
      <c r="G109" s="661" t="s">
        <v>1119</v>
      </c>
      <c r="H109" s="662" t="s">
        <v>1119</v>
      </c>
      <c r="I109" s="672" t="s">
        <v>1119</v>
      </c>
      <c r="J109" s="670"/>
      <c r="K109" s="665" t="s">
        <v>1119</v>
      </c>
      <c r="L109" s="671" t="s">
        <v>1119</v>
      </c>
      <c r="M109" s="671" t="s">
        <v>1119</v>
      </c>
      <c r="N109" s="661" t="s">
        <v>1119</v>
      </c>
      <c r="O109" s="662" t="s">
        <v>1119</v>
      </c>
      <c r="P109" s="672" t="s">
        <v>1119</v>
      </c>
      <c r="Q109" s="670"/>
      <c r="R109" s="665" t="s">
        <v>1119</v>
      </c>
      <c r="S109" s="671" t="s">
        <v>1119</v>
      </c>
      <c r="T109" s="671" t="s">
        <v>1119</v>
      </c>
      <c r="U109" s="661" t="s">
        <v>1119</v>
      </c>
      <c r="V109" s="662" t="s">
        <v>1119</v>
      </c>
      <c r="W109" s="672" t="s">
        <v>1119</v>
      </c>
    </row>
    <row r="110" spans="1:23" s="644" customFormat="1" x14ac:dyDescent="0.25">
      <c r="A110" s="667">
        <f t="shared" si="1"/>
        <v>-67</v>
      </c>
      <c r="B110" s="657" t="s">
        <v>1119</v>
      </c>
      <c r="C110" s="669"/>
      <c r="D110" s="665" t="s">
        <v>1119</v>
      </c>
      <c r="E110" s="671" t="s">
        <v>1119</v>
      </c>
      <c r="F110" s="671" t="s">
        <v>1119</v>
      </c>
      <c r="G110" s="661" t="s">
        <v>1119</v>
      </c>
      <c r="H110" s="662" t="s">
        <v>1119</v>
      </c>
      <c r="I110" s="672" t="s">
        <v>1119</v>
      </c>
      <c r="J110" s="670"/>
      <c r="K110" s="665" t="s">
        <v>1119</v>
      </c>
      <c r="L110" s="671" t="s">
        <v>1119</v>
      </c>
      <c r="M110" s="671" t="s">
        <v>1119</v>
      </c>
      <c r="N110" s="661" t="s">
        <v>1119</v>
      </c>
      <c r="O110" s="662" t="s">
        <v>1119</v>
      </c>
      <c r="P110" s="672" t="s">
        <v>1119</v>
      </c>
      <c r="Q110" s="670"/>
      <c r="R110" s="665" t="s">
        <v>1119</v>
      </c>
      <c r="S110" s="671" t="s">
        <v>1119</v>
      </c>
      <c r="T110" s="671" t="s">
        <v>1119</v>
      </c>
      <c r="U110" s="661" t="s">
        <v>1119</v>
      </c>
      <c r="V110" s="662" t="s">
        <v>1119</v>
      </c>
      <c r="W110" s="672" t="s">
        <v>1119</v>
      </c>
    </row>
    <row r="111" spans="1:23" s="644" customFormat="1" x14ac:dyDescent="0.25">
      <c r="A111" s="667">
        <f t="shared" si="1"/>
        <v>-68</v>
      </c>
      <c r="B111" s="657" t="s">
        <v>1119</v>
      </c>
      <c r="C111" s="669"/>
      <c r="D111" s="665" t="s">
        <v>1119</v>
      </c>
      <c r="E111" s="671" t="s">
        <v>1119</v>
      </c>
      <c r="F111" s="671" t="s">
        <v>1119</v>
      </c>
      <c r="G111" s="661" t="s">
        <v>1119</v>
      </c>
      <c r="H111" s="662" t="s">
        <v>1119</v>
      </c>
      <c r="I111" s="672" t="s">
        <v>1119</v>
      </c>
      <c r="J111" s="670"/>
      <c r="K111" s="665" t="s">
        <v>1119</v>
      </c>
      <c r="L111" s="671" t="s">
        <v>1119</v>
      </c>
      <c r="M111" s="671" t="s">
        <v>1119</v>
      </c>
      <c r="N111" s="661" t="s">
        <v>1119</v>
      </c>
      <c r="O111" s="662" t="s">
        <v>1119</v>
      </c>
      <c r="P111" s="672" t="s">
        <v>1119</v>
      </c>
      <c r="Q111" s="670"/>
      <c r="R111" s="665" t="s">
        <v>1119</v>
      </c>
      <c r="S111" s="671" t="s">
        <v>1119</v>
      </c>
      <c r="T111" s="671" t="s">
        <v>1119</v>
      </c>
      <c r="U111" s="661" t="s">
        <v>1119</v>
      </c>
      <c r="V111" s="662" t="s">
        <v>1119</v>
      </c>
      <c r="W111" s="672" t="s">
        <v>1119</v>
      </c>
    </row>
    <row r="112" spans="1:23" s="644" customFormat="1" x14ac:dyDescent="0.25">
      <c r="A112" s="667">
        <f t="shared" si="1"/>
        <v>-69</v>
      </c>
      <c r="B112" s="657" t="s">
        <v>1119</v>
      </c>
      <c r="C112" s="669"/>
      <c r="D112" s="665" t="s">
        <v>1119</v>
      </c>
      <c r="E112" s="671" t="s">
        <v>1119</v>
      </c>
      <c r="F112" s="671" t="s">
        <v>1119</v>
      </c>
      <c r="G112" s="661" t="s">
        <v>1119</v>
      </c>
      <c r="H112" s="662" t="s">
        <v>1119</v>
      </c>
      <c r="I112" s="672" t="s">
        <v>1119</v>
      </c>
      <c r="J112" s="670"/>
      <c r="K112" s="665" t="s">
        <v>1119</v>
      </c>
      <c r="L112" s="671" t="s">
        <v>1119</v>
      </c>
      <c r="M112" s="671" t="s">
        <v>1119</v>
      </c>
      <c r="N112" s="661" t="s">
        <v>1119</v>
      </c>
      <c r="O112" s="662" t="s">
        <v>1119</v>
      </c>
      <c r="P112" s="672" t="s">
        <v>1119</v>
      </c>
      <c r="Q112" s="670"/>
      <c r="R112" s="665" t="s">
        <v>1119</v>
      </c>
      <c r="S112" s="671" t="s">
        <v>1119</v>
      </c>
      <c r="T112" s="671" t="s">
        <v>1119</v>
      </c>
      <c r="U112" s="661" t="s">
        <v>1119</v>
      </c>
      <c r="V112" s="662" t="s">
        <v>1119</v>
      </c>
      <c r="W112" s="672" t="s">
        <v>1119</v>
      </c>
    </row>
    <row r="113" spans="1:23" s="644" customFormat="1" x14ac:dyDescent="0.25">
      <c r="A113" s="667">
        <f t="shared" si="1"/>
        <v>-70</v>
      </c>
      <c r="B113" s="657" t="s">
        <v>1119</v>
      </c>
      <c r="C113" s="669"/>
      <c r="D113" s="665" t="s">
        <v>1119</v>
      </c>
      <c r="E113" s="671" t="s">
        <v>1119</v>
      </c>
      <c r="F113" s="671" t="s">
        <v>1119</v>
      </c>
      <c r="G113" s="661" t="s">
        <v>1119</v>
      </c>
      <c r="H113" s="662" t="s">
        <v>1119</v>
      </c>
      <c r="I113" s="672" t="s">
        <v>1119</v>
      </c>
      <c r="J113" s="670"/>
      <c r="K113" s="665" t="s">
        <v>1119</v>
      </c>
      <c r="L113" s="671" t="s">
        <v>1119</v>
      </c>
      <c r="M113" s="671" t="s">
        <v>1119</v>
      </c>
      <c r="N113" s="661" t="s">
        <v>1119</v>
      </c>
      <c r="O113" s="662" t="s">
        <v>1119</v>
      </c>
      <c r="P113" s="672" t="s">
        <v>1119</v>
      </c>
      <c r="Q113" s="670"/>
      <c r="R113" s="665" t="s">
        <v>1119</v>
      </c>
      <c r="S113" s="671" t="s">
        <v>1119</v>
      </c>
      <c r="T113" s="671" t="s">
        <v>1119</v>
      </c>
      <c r="U113" s="661" t="s">
        <v>1119</v>
      </c>
      <c r="V113" s="662" t="s">
        <v>1119</v>
      </c>
      <c r="W113" s="672" t="s">
        <v>1119</v>
      </c>
    </row>
    <row r="114" spans="1:23" s="644" customFormat="1" x14ac:dyDescent="0.25">
      <c r="A114" s="667">
        <f t="shared" si="1"/>
        <v>-71</v>
      </c>
      <c r="B114" s="657" t="s">
        <v>1119</v>
      </c>
      <c r="C114" s="669"/>
      <c r="D114" s="665" t="s">
        <v>1119</v>
      </c>
      <c r="E114" s="671" t="s">
        <v>1119</v>
      </c>
      <c r="F114" s="671" t="s">
        <v>1119</v>
      </c>
      <c r="G114" s="661" t="s">
        <v>1119</v>
      </c>
      <c r="H114" s="662" t="s">
        <v>1119</v>
      </c>
      <c r="I114" s="672" t="s">
        <v>1119</v>
      </c>
      <c r="J114" s="670"/>
      <c r="K114" s="665" t="s">
        <v>1119</v>
      </c>
      <c r="L114" s="671" t="s">
        <v>1119</v>
      </c>
      <c r="M114" s="671" t="s">
        <v>1119</v>
      </c>
      <c r="N114" s="661" t="s">
        <v>1119</v>
      </c>
      <c r="O114" s="662" t="s">
        <v>1119</v>
      </c>
      <c r="P114" s="672" t="s">
        <v>1119</v>
      </c>
      <c r="Q114" s="670"/>
      <c r="R114" s="665" t="s">
        <v>1119</v>
      </c>
      <c r="S114" s="671" t="s">
        <v>1119</v>
      </c>
      <c r="T114" s="671" t="s">
        <v>1119</v>
      </c>
      <c r="U114" s="661" t="s">
        <v>1119</v>
      </c>
      <c r="V114" s="662" t="s">
        <v>1119</v>
      </c>
      <c r="W114" s="672" t="s">
        <v>1119</v>
      </c>
    </row>
    <row r="115" spans="1:23" s="644" customFormat="1" x14ac:dyDescent="0.25">
      <c r="A115" s="667">
        <f t="shared" si="1"/>
        <v>-72</v>
      </c>
      <c r="B115" s="657" t="s">
        <v>1119</v>
      </c>
      <c r="C115" s="669"/>
      <c r="D115" s="665" t="s">
        <v>1119</v>
      </c>
      <c r="E115" s="671" t="s">
        <v>1119</v>
      </c>
      <c r="F115" s="671" t="s">
        <v>1119</v>
      </c>
      <c r="G115" s="661" t="s">
        <v>1119</v>
      </c>
      <c r="H115" s="662" t="s">
        <v>1119</v>
      </c>
      <c r="I115" s="672" t="s">
        <v>1119</v>
      </c>
      <c r="J115" s="670"/>
      <c r="K115" s="665" t="s">
        <v>1119</v>
      </c>
      <c r="L115" s="671" t="s">
        <v>1119</v>
      </c>
      <c r="M115" s="671" t="s">
        <v>1119</v>
      </c>
      <c r="N115" s="661" t="s">
        <v>1119</v>
      </c>
      <c r="O115" s="662" t="s">
        <v>1119</v>
      </c>
      <c r="P115" s="672" t="s">
        <v>1119</v>
      </c>
      <c r="Q115" s="670"/>
      <c r="R115" s="665" t="s">
        <v>1119</v>
      </c>
      <c r="S115" s="671" t="s">
        <v>1119</v>
      </c>
      <c r="T115" s="671" t="s">
        <v>1119</v>
      </c>
      <c r="U115" s="661" t="s">
        <v>1119</v>
      </c>
      <c r="V115" s="662" t="s">
        <v>1119</v>
      </c>
      <c r="W115" s="672" t="s">
        <v>1119</v>
      </c>
    </row>
    <row r="116" spans="1:23" s="644" customFormat="1" x14ac:dyDescent="0.25">
      <c r="A116" s="667">
        <f t="shared" si="1"/>
        <v>-73</v>
      </c>
      <c r="B116" s="657" t="s">
        <v>1119</v>
      </c>
      <c r="C116" s="669"/>
      <c r="D116" s="665" t="s">
        <v>1119</v>
      </c>
      <c r="E116" s="671" t="s">
        <v>1119</v>
      </c>
      <c r="F116" s="671" t="s">
        <v>1119</v>
      </c>
      <c r="G116" s="661" t="s">
        <v>1119</v>
      </c>
      <c r="H116" s="662" t="s">
        <v>1119</v>
      </c>
      <c r="I116" s="672" t="s">
        <v>1119</v>
      </c>
      <c r="J116" s="670"/>
      <c r="K116" s="665" t="s">
        <v>1119</v>
      </c>
      <c r="L116" s="671" t="s">
        <v>1119</v>
      </c>
      <c r="M116" s="671" t="s">
        <v>1119</v>
      </c>
      <c r="N116" s="661" t="s">
        <v>1119</v>
      </c>
      <c r="O116" s="662" t="s">
        <v>1119</v>
      </c>
      <c r="P116" s="672" t="s">
        <v>1119</v>
      </c>
      <c r="Q116" s="670"/>
      <c r="R116" s="665" t="s">
        <v>1119</v>
      </c>
      <c r="S116" s="671" t="s">
        <v>1119</v>
      </c>
      <c r="T116" s="671" t="s">
        <v>1119</v>
      </c>
      <c r="U116" s="661" t="s">
        <v>1119</v>
      </c>
      <c r="V116" s="662" t="s">
        <v>1119</v>
      </c>
      <c r="W116" s="672" t="s">
        <v>1119</v>
      </c>
    </row>
    <row r="117" spans="1:23" s="644" customFormat="1" x14ac:dyDescent="0.25">
      <c r="A117" s="667">
        <f t="shared" si="1"/>
        <v>-74</v>
      </c>
      <c r="B117" s="657" t="s">
        <v>1119</v>
      </c>
      <c r="C117" s="669"/>
      <c r="D117" s="665" t="s">
        <v>1119</v>
      </c>
      <c r="E117" s="671" t="s">
        <v>1119</v>
      </c>
      <c r="F117" s="671" t="s">
        <v>1119</v>
      </c>
      <c r="G117" s="661" t="s">
        <v>1119</v>
      </c>
      <c r="H117" s="662" t="s">
        <v>1119</v>
      </c>
      <c r="I117" s="672" t="s">
        <v>1119</v>
      </c>
      <c r="J117" s="670"/>
      <c r="K117" s="665" t="s">
        <v>1119</v>
      </c>
      <c r="L117" s="671" t="s">
        <v>1119</v>
      </c>
      <c r="M117" s="671" t="s">
        <v>1119</v>
      </c>
      <c r="N117" s="661" t="s">
        <v>1119</v>
      </c>
      <c r="O117" s="662" t="s">
        <v>1119</v>
      </c>
      <c r="P117" s="672" t="s">
        <v>1119</v>
      </c>
      <c r="Q117" s="670"/>
      <c r="R117" s="665" t="s">
        <v>1119</v>
      </c>
      <c r="S117" s="671" t="s">
        <v>1119</v>
      </c>
      <c r="T117" s="671" t="s">
        <v>1119</v>
      </c>
      <c r="U117" s="661" t="s">
        <v>1119</v>
      </c>
      <c r="V117" s="662" t="s">
        <v>1119</v>
      </c>
      <c r="W117" s="672" t="s">
        <v>1119</v>
      </c>
    </row>
    <row r="118" spans="1:23" s="644" customFormat="1" x14ac:dyDescent="0.25">
      <c r="A118" s="667">
        <f t="shared" si="1"/>
        <v>-75</v>
      </c>
      <c r="B118" s="657" t="s">
        <v>1119</v>
      </c>
      <c r="C118" s="669"/>
      <c r="D118" s="665" t="s">
        <v>1119</v>
      </c>
      <c r="E118" s="671" t="s">
        <v>1119</v>
      </c>
      <c r="F118" s="671" t="s">
        <v>1119</v>
      </c>
      <c r="G118" s="661" t="s">
        <v>1119</v>
      </c>
      <c r="H118" s="662" t="s">
        <v>1119</v>
      </c>
      <c r="I118" s="672" t="s">
        <v>1119</v>
      </c>
      <c r="J118" s="670"/>
      <c r="K118" s="665" t="s">
        <v>1119</v>
      </c>
      <c r="L118" s="671" t="s">
        <v>1119</v>
      </c>
      <c r="M118" s="671" t="s">
        <v>1119</v>
      </c>
      <c r="N118" s="661" t="s">
        <v>1119</v>
      </c>
      <c r="O118" s="662" t="s">
        <v>1119</v>
      </c>
      <c r="P118" s="672" t="s">
        <v>1119</v>
      </c>
      <c r="Q118" s="670"/>
      <c r="R118" s="665" t="s">
        <v>1119</v>
      </c>
      <c r="S118" s="671" t="s">
        <v>1119</v>
      </c>
      <c r="T118" s="671" t="s">
        <v>1119</v>
      </c>
      <c r="U118" s="661" t="s">
        <v>1119</v>
      </c>
      <c r="V118" s="662" t="s">
        <v>1119</v>
      </c>
      <c r="W118" s="672" t="s">
        <v>1119</v>
      </c>
    </row>
    <row r="119" spans="1:23" s="644" customFormat="1" x14ac:dyDescent="0.25">
      <c r="A119" s="667">
        <f t="shared" si="1"/>
        <v>-76</v>
      </c>
      <c r="B119" s="657" t="s">
        <v>1119</v>
      </c>
      <c r="C119" s="669"/>
      <c r="D119" s="665" t="s">
        <v>1119</v>
      </c>
      <c r="E119" s="671" t="s">
        <v>1119</v>
      </c>
      <c r="F119" s="671" t="s">
        <v>1119</v>
      </c>
      <c r="G119" s="661" t="s">
        <v>1119</v>
      </c>
      <c r="H119" s="662" t="s">
        <v>1119</v>
      </c>
      <c r="I119" s="672" t="s">
        <v>1119</v>
      </c>
      <c r="J119" s="670"/>
      <c r="K119" s="665" t="s">
        <v>1119</v>
      </c>
      <c r="L119" s="671" t="s">
        <v>1119</v>
      </c>
      <c r="M119" s="671" t="s">
        <v>1119</v>
      </c>
      <c r="N119" s="661" t="s">
        <v>1119</v>
      </c>
      <c r="O119" s="662" t="s">
        <v>1119</v>
      </c>
      <c r="P119" s="672" t="s">
        <v>1119</v>
      </c>
      <c r="Q119" s="670"/>
      <c r="R119" s="665" t="s">
        <v>1119</v>
      </c>
      <c r="S119" s="671" t="s">
        <v>1119</v>
      </c>
      <c r="T119" s="671" t="s">
        <v>1119</v>
      </c>
      <c r="U119" s="661" t="s">
        <v>1119</v>
      </c>
      <c r="V119" s="662" t="s">
        <v>1119</v>
      </c>
      <c r="W119" s="672" t="s">
        <v>1119</v>
      </c>
    </row>
    <row r="120" spans="1:23" s="644" customFormat="1" x14ac:dyDescent="0.25">
      <c r="A120" s="667">
        <f t="shared" si="1"/>
        <v>-77</v>
      </c>
      <c r="B120" s="657" t="s">
        <v>1119</v>
      </c>
      <c r="C120" s="669"/>
      <c r="D120" s="665" t="s">
        <v>1119</v>
      </c>
      <c r="E120" s="671" t="s">
        <v>1119</v>
      </c>
      <c r="F120" s="671" t="s">
        <v>1119</v>
      </c>
      <c r="G120" s="661" t="s">
        <v>1119</v>
      </c>
      <c r="H120" s="662" t="s">
        <v>1119</v>
      </c>
      <c r="I120" s="672" t="s">
        <v>1119</v>
      </c>
      <c r="J120" s="670"/>
      <c r="K120" s="665" t="s">
        <v>1119</v>
      </c>
      <c r="L120" s="671" t="s">
        <v>1119</v>
      </c>
      <c r="M120" s="671" t="s">
        <v>1119</v>
      </c>
      <c r="N120" s="661" t="s">
        <v>1119</v>
      </c>
      <c r="O120" s="662" t="s">
        <v>1119</v>
      </c>
      <c r="P120" s="672" t="s">
        <v>1119</v>
      </c>
      <c r="Q120" s="670"/>
      <c r="R120" s="665" t="s">
        <v>1119</v>
      </c>
      <c r="S120" s="671" t="s">
        <v>1119</v>
      </c>
      <c r="T120" s="671" t="s">
        <v>1119</v>
      </c>
      <c r="U120" s="661" t="s">
        <v>1119</v>
      </c>
      <c r="V120" s="662" t="s">
        <v>1119</v>
      </c>
      <c r="W120" s="672" t="s">
        <v>1119</v>
      </c>
    </row>
    <row r="121" spans="1:23" s="644" customFormat="1" x14ac:dyDescent="0.25">
      <c r="A121" s="667">
        <f t="shared" si="1"/>
        <v>-78</v>
      </c>
      <c r="B121" s="657" t="s">
        <v>1119</v>
      </c>
      <c r="C121" s="669"/>
      <c r="D121" s="665" t="s">
        <v>1119</v>
      </c>
      <c r="E121" s="671" t="s">
        <v>1119</v>
      </c>
      <c r="F121" s="671" t="s">
        <v>1119</v>
      </c>
      <c r="G121" s="661" t="s">
        <v>1119</v>
      </c>
      <c r="H121" s="662" t="s">
        <v>1119</v>
      </c>
      <c r="I121" s="672" t="s">
        <v>1119</v>
      </c>
      <c r="J121" s="670"/>
      <c r="K121" s="665" t="s">
        <v>1119</v>
      </c>
      <c r="L121" s="671" t="s">
        <v>1119</v>
      </c>
      <c r="M121" s="671" t="s">
        <v>1119</v>
      </c>
      <c r="N121" s="661" t="s">
        <v>1119</v>
      </c>
      <c r="O121" s="662" t="s">
        <v>1119</v>
      </c>
      <c r="P121" s="672" t="s">
        <v>1119</v>
      </c>
      <c r="Q121" s="670"/>
      <c r="R121" s="665" t="s">
        <v>1119</v>
      </c>
      <c r="S121" s="671" t="s">
        <v>1119</v>
      </c>
      <c r="T121" s="671" t="s">
        <v>1119</v>
      </c>
      <c r="U121" s="661" t="s">
        <v>1119</v>
      </c>
      <c r="V121" s="662" t="s">
        <v>1119</v>
      </c>
      <c r="W121" s="672" t="s">
        <v>1119</v>
      </c>
    </row>
    <row r="122" spans="1:23" s="644" customFormat="1" x14ac:dyDescent="0.25">
      <c r="A122" s="667">
        <f t="shared" si="1"/>
        <v>-79</v>
      </c>
      <c r="B122" s="657" t="s">
        <v>1119</v>
      </c>
      <c r="C122" s="669"/>
      <c r="D122" s="665" t="s">
        <v>1119</v>
      </c>
      <c r="E122" s="671" t="s">
        <v>1119</v>
      </c>
      <c r="F122" s="671" t="s">
        <v>1119</v>
      </c>
      <c r="G122" s="661" t="s">
        <v>1119</v>
      </c>
      <c r="H122" s="662" t="s">
        <v>1119</v>
      </c>
      <c r="I122" s="672" t="s">
        <v>1119</v>
      </c>
      <c r="J122" s="670"/>
      <c r="K122" s="665" t="s">
        <v>1119</v>
      </c>
      <c r="L122" s="671" t="s">
        <v>1119</v>
      </c>
      <c r="M122" s="671" t="s">
        <v>1119</v>
      </c>
      <c r="N122" s="661" t="s">
        <v>1119</v>
      </c>
      <c r="O122" s="662" t="s">
        <v>1119</v>
      </c>
      <c r="P122" s="672" t="s">
        <v>1119</v>
      </c>
      <c r="Q122" s="670"/>
      <c r="R122" s="665" t="s">
        <v>1119</v>
      </c>
      <c r="S122" s="671" t="s">
        <v>1119</v>
      </c>
      <c r="T122" s="671" t="s">
        <v>1119</v>
      </c>
      <c r="U122" s="661" t="s">
        <v>1119</v>
      </c>
      <c r="V122" s="662" t="s">
        <v>1119</v>
      </c>
      <c r="W122" s="672" t="s">
        <v>1119</v>
      </c>
    </row>
    <row r="123" spans="1:23" s="644" customFormat="1" x14ac:dyDescent="0.25">
      <c r="A123" s="667">
        <f t="shared" si="1"/>
        <v>-80</v>
      </c>
      <c r="B123" s="657" t="s">
        <v>1119</v>
      </c>
      <c r="C123" s="669"/>
      <c r="D123" s="665" t="s">
        <v>1119</v>
      </c>
      <c r="E123" s="671" t="s">
        <v>1119</v>
      </c>
      <c r="F123" s="671" t="s">
        <v>1119</v>
      </c>
      <c r="G123" s="661" t="s">
        <v>1119</v>
      </c>
      <c r="H123" s="662" t="s">
        <v>1119</v>
      </c>
      <c r="I123" s="672" t="s">
        <v>1119</v>
      </c>
      <c r="J123" s="670"/>
      <c r="K123" s="665" t="s">
        <v>1119</v>
      </c>
      <c r="L123" s="671" t="s">
        <v>1119</v>
      </c>
      <c r="M123" s="671" t="s">
        <v>1119</v>
      </c>
      <c r="N123" s="661" t="s">
        <v>1119</v>
      </c>
      <c r="O123" s="662" t="s">
        <v>1119</v>
      </c>
      <c r="P123" s="672" t="s">
        <v>1119</v>
      </c>
      <c r="Q123" s="670"/>
      <c r="R123" s="665" t="s">
        <v>1119</v>
      </c>
      <c r="S123" s="671" t="s">
        <v>1119</v>
      </c>
      <c r="T123" s="671" t="s">
        <v>1119</v>
      </c>
      <c r="U123" s="661" t="s">
        <v>1119</v>
      </c>
      <c r="V123" s="662" t="s">
        <v>1119</v>
      </c>
      <c r="W123" s="672" t="s">
        <v>1119</v>
      </c>
    </row>
    <row r="124" spans="1:23" s="644" customFormat="1" x14ac:dyDescent="0.25">
      <c r="A124" s="667">
        <f t="shared" si="1"/>
        <v>-81</v>
      </c>
      <c r="B124" s="657" t="s">
        <v>1119</v>
      </c>
      <c r="C124" s="669"/>
      <c r="D124" s="665" t="s">
        <v>1119</v>
      </c>
      <c r="E124" s="671" t="s">
        <v>1119</v>
      </c>
      <c r="F124" s="671" t="s">
        <v>1119</v>
      </c>
      <c r="G124" s="661" t="s">
        <v>1119</v>
      </c>
      <c r="H124" s="662" t="s">
        <v>1119</v>
      </c>
      <c r="I124" s="672" t="s">
        <v>1119</v>
      </c>
      <c r="J124" s="670"/>
      <c r="K124" s="665" t="s">
        <v>1119</v>
      </c>
      <c r="L124" s="671" t="s">
        <v>1119</v>
      </c>
      <c r="M124" s="671" t="s">
        <v>1119</v>
      </c>
      <c r="N124" s="661" t="s">
        <v>1119</v>
      </c>
      <c r="O124" s="662" t="s">
        <v>1119</v>
      </c>
      <c r="P124" s="672" t="s">
        <v>1119</v>
      </c>
      <c r="Q124" s="670"/>
      <c r="R124" s="665" t="s">
        <v>1119</v>
      </c>
      <c r="S124" s="671" t="s">
        <v>1119</v>
      </c>
      <c r="T124" s="671" t="s">
        <v>1119</v>
      </c>
      <c r="U124" s="661" t="s">
        <v>1119</v>
      </c>
      <c r="V124" s="662" t="s">
        <v>1119</v>
      </c>
      <c r="W124" s="672" t="s">
        <v>1119</v>
      </c>
    </row>
    <row r="125" spans="1:23" s="644" customFormat="1" x14ac:dyDescent="0.25">
      <c r="A125" s="667">
        <f t="shared" si="1"/>
        <v>-82</v>
      </c>
      <c r="B125" s="657" t="s">
        <v>1119</v>
      </c>
      <c r="C125" s="669"/>
      <c r="D125" s="665" t="s">
        <v>1119</v>
      </c>
      <c r="E125" s="671" t="s">
        <v>1119</v>
      </c>
      <c r="F125" s="671" t="s">
        <v>1119</v>
      </c>
      <c r="G125" s="661" t="s">
        <v>1119</v>
      </c>
      <c r="H125" s="662" t="s">
        <v>1119</v>
      </c>
      <c r="I125" s="672" t="s">
        <v>1119</v>
      </c>
      <c r="J125" s="670"/>
      <c r="K125" s="665" t="s">
        <v>1119</v>
      </c>
      <c r="L125" s="671" t="s">
        <v>1119</v>
      </c>
      <c r="M125" s="671" t="s">
        <v>1119</v>
      </c>
      <c r="N125" s="661" t="s">
        <v>1119</v>
      </c>
      <c r="O125" s="662" t="s">
        <v>1119</v>
      </c>
      <c r="P125" s="672" t="s">
        <v>1119</v>
      </c>
      <c r="Q125" s="670"/>
      <c r="R125" s="665" t="s">
        <v>1119</v>
      </c>
      <c r="S125" s="671" t="s">
        <v>1119</v>
      </c>
      <c r="T125" s="671" t="s">
        <v>1119</v>
      </c>
      <c r="U125" s="661" t="s">
        <v>1119</v>
      </c>
      <c r="V125" s="662" t="s">
        <v>1119</v>
      </c>
      <c r="W125" s="672" t="s">
        <v>1119</v>
      </c>
    </row>
    <row r="126" spans="1:23" s="644" customFormat="1" x14ac:dyDescent="0.25">
      <c r="A126" s="667">
        <f t="shared" si="1"/>
        <v>-83</v>
      </c>
      <c r="B126" s="657" t="s">
        <v>1119</v>
      </c>
      <c r="C126" s="669"/>
      <c r="D126" s="665" t="s">
        <v>1119</v>
      </c>
      <c r="E126" s="671" t="s">
        <v>1119</v>
      </c>
      <c r="F126" s="671" t="s">
        <v>1119</v>
      </c>
      <c r="G126" s="661" t="s">
        <v>1119</v>
      </c>
      <c r="H126" s="662" t="s">
        <v>1119</v>
      </c>
      <c r="I126" s="672" t="s">
        <v>1119</v>
      </c>
      <c r="J126" s="670"/>
      <c r="K126" s="665" t="s">
        <v>1119</v>
      </c>
      <c r="L126" s="671" t="s">
        <v>1119</v>
      </c>
      <c r="M126" s="671" t="s">
        <v>1119</v>
      </c>
      <c r="N126" s="661" t="s">
        <v>1119</v>
      </c>
      <c r="O126" s="662" t="s">
        <v>1119</v>
      </c>
      <c r="P126" s="672" t="s">
        <v>1119</v>
      </c>
      <c r="Q126" s="670"/>
      <c r="R126" s="665" t="s">
        <v>1119</v>
      </c>
      <c r="S126" s="671" t="s">
        <v>1119</v>
      </c>
      <c r="T126" s="671" t="s">
        <v>1119</v>
      </c>
      <c r="U126" s="661" t="s">
        <v>1119</v>
      </c>
      <c r="V126" s="662" t="s">
        <v>1119</v>
      </c>
      <c r="W126" s="672" t="s">
        <v>1119</v>
      </c>
    </row>
    <row r="127" spans="1:23" s="644" customFormat="1" x14ac:dyDescent="0.25">
      <c r="A127" s="667">
        <f t="shared" si="1"/>
        <v>-84</v>
      </c>
      <c r="B127" s="657" t="s">
        <v>1119</v>
      </c>
      <c r="C127" s="669"/>
      <c r="D127" s="665" t="s">
        <v>1119</v>
      </c>
      <c r="E127" s="671" t="s">
        <v>1119</v>
      </c>
      <c r="F127" s="671" t="s">
        <v>1119</v>
      </c>
      <c r="G127" s="661" t="s">
        <v>1119</v>
      </c>
      <c r="H127" s="662" t="s">
        <v>1119</v>
      </c>
      <c r="I127" s="672" t="s">
        <v>1119</v>
      </c>
      <c r="J127" s="670"/>
      <c r="K127" s="665" t="s">
        <v>1119</v>
      </c>
      <c r="L127" s="671" t="s">
        <v>1119</v>
      </c>
      <c r="M127" s="671" t="s">
        <v>1119</v>
      </c>
      <c r="N127" s="661" t="s">
        <v>1119</v>
      </c>
      <c r="O127" s="662" t="s">
        <v>1119</v>
      </c>
      <c r="P127" s="672" t="s">
        <v>1119</v>
      </c>
      <c r="Q127" s="670"/>
      <c r="R127" s="665" t="s">
        <v>1119</v>
      </c>
      <c r="S127" s="671" t="s">
        <v>1119</v>
      </c>
      <c r="T127" s="671" t="s">
        <v>1119</v>
      </c>
      <c r="U127" s="661" t="s">
        <v>1119</v>
      </c>
      <c r="V127" s="662" t="s">
        <v>1119</v>
      </c>
      <c r="W127" s="672" t="s">
        <v>1119</v>
      </c>
    </row>
    <row r="128" spans="1:23" s="644" customFormat="1" x14ac:dyDescent="0.25">
      <c r="A128" s="667">
        <f t="shared" si="1"/>
        <v>-85</v>
      </c>
      <c r="B128" s="657" t="s">
        <v>1119</v>
      </c>
      <c r="C128" s="669"/>
      <c r="D128" s="665" t="s">
        <v>1119</v>
      </c>
      <c r="E128" s="671" t="s">
        <v>1119</v>
      </c>
      <c r="F128" s="671" t="s">
        <v>1119</v>
      </c>
      <c r="G128" s="661" t="s">
        <v>1119</v>
      </c>
      <c r="H128" s="662" t="s">
        <v>1119</v>
      </c>
      <c r="I128" s="672" t="s">
        <v>1119</v>
      </c>
      <c r="J128" s="670"/>
      <c r="K128" s="665" t="s">
        <v>1119</v>
      </c>
      <c r="L128" s="671" t="s">
        <v>1119</v>
      </c>
      <c r="M128" s="671" t="s">
        <v>1119</v>
      </c>
      <c r="N128" s="661" t="s">
        <v>1119</v>
      </c>
      <c r="O128" s="662" t="s">
        <v>1119</v>
      </c>
      <c r="P128" s="672" t="s">
        <v>1119</v>
      </c>
      <c r="Q128" s="670"/>
      <c r="R128" s="665" t="s">
        <v>1119</v>
      </c>
      <c r="S128" s="671" t="s">
        <v>1119</v>
      </c>
      <c r="T128" s="671" t="s">
        <v>1119</v>
      </c>
      <c r="U128" s="661" t="s">
        <v>1119</v>
      </c>
      <c r="V128" s="662" t="s">
        <v>1119</v>
      </c>
      <c r="W128" s="672" t="s">
        <v>1119</v>
      </c>
    </row>
    <row r="129" spans="1:23" s="644" customFormat="1" x14ac:dyDescent="0.25">
      <c r="A129" s="667">
        <f t="shared" si="1"/>
        <v>-86</v>
      </c>
      <c r="B129" s="657" t="s">
        <v>1119</v>
      </c>
      <c r="C129" s="669"/>
      <c r="D129" s="665" t="s">
        <v>1119</v>
      </c>
      <c r="E129" s="671" t="s">
        <v>1119</v>
      </c>
      <c r="F129" s="671" t="s">
        <v>1119</v>
      </c>
      <c r="G129" s="661" t="s">
        <v>1119</v>
      </c>
      <c r="H129" s="662" t="s">
        <v>1119</v>
      </c>
      <c r="I129" s="672" t="s">
        <v>1119</v>
      </c>
      <c r="J129" s="670"/>
      <c r="K129" s="665" t="s">
        <v>1119</v>
      </c>
      <c r="L129" s="671" t="s">
        <v>1119</v>
      </c>
      <c r="M129" s="671" t="s">
        <v>1119</v>
      </c>
      <c r="N129" s="661" t="s">
        <v>1119</v>
      </c>
      <c r="O129" s="662" t="s">
        <v>1119</v>
      </c>
      <c r="P129" s="672" t="s">
        <v>1119</v>
      </c>
      <c r="Q129" s="670"/>
      <c r="R129" s="665" t="s">
        <v>1119</v>
      </c>
      <c r="S129" s="671" t="s">
        <v>1119</v>
      </c>
      <c r="T129" s="671" t="s">
        <v>1119</v>
      </c>
      <c r="U129" s="661" t="s">
        <v>1119</v>
      </c>
      <c r="V129" s="662" t="s">
        <v>1119</v>
      </c>
      <c r="W129" s="672" t="s">
        <v>1119</v>
      </c>
    </row>
    <row r="130" spans="1:23" s="644" customFormat="1" x14ac:dyDescent="0.25">
      <c r="A130" s="667">
        <f t="shared" si="1"/>
        <v>-87</v>
      </c>
      <c r="B130" s="657" t="s">
        <v>1119</v>
      </c>
      <c r="C130" s="669"/>
      <c r="D130" s="665" t="s">
        <v>1119</v>
      </c>
      <c r="E130" s="671" t="s">
        <v>1119</v>
      </c>
      <c r="F130" s="671" t="s">
        <v>1119</v>
      </c>
      <c r="G130" s="661" t="s">
        <v>1119</v>
      </c>
      <c r="H130" s="662" t="s">
        <v>1119</v>
      </c>
      <c r="I130" s="672" t="s">
        <v>1119</v>
      </c>
      <c r="J130" s="670"/>
      <c r="K130" s="665" t="s">
        <v>1119</v>
      </c>
      <c r="L130" s="671" t="s">
        <v>1119</v>
      </c>
      <c r="M130" s="671" t="s">
        <v>1119</v>
      </c>
      <c r="N130" s="661" t="s">
        <v>1119</v>
      </c>
      <c r="O130" s="662" t="s">
        <v>1119</v>
      </c>
      <c r="P130" s="672" t="s">
        <v>1119</v>
      </c>
      <c r="Q130" s="670"/>
      <c r="R130" s="665" t="s">
        <v>1119</v>
      </c>
      <c r="S130" s="671" t="s">
        <v>1119</v>
      </c>
      <c r="T130" s="671" t="s">
        <v>1119</v>
      </c>
      <c r="U130" s="661" t="s">
        <v>1119</v>
      </c>
      <c r="V130" s="662" t="s">
        <v>1119</v>
      </c>
      <c r="W130" s="672" t="s">
        <v>1119</v>
      </c>
    </row>
    <row r="131" spans="1:23" s="644" customFormat="1" x14ac:dyDescent="0.25">
      <c r="A131" s="667">
        <f t="shared" si="1"/>
        <v>-88</v>
      </c>
      <c r="B131" s="657" t="s">
        <v>1119</v>
      </c>
      <c r="C131" s="669"/>
      <c r="D131" s="665" t="s">
        <v>1119</v>
      </c>
      <c r="E131" s="671" t="s">
        <v>1119</v>
      </c>
      <c r="F131" s="671" t="s">
        <v>1119</v>
      </c>
      <c r="G131" s="661" t="s">
        <v>1119</v>
      </c>
      <c r="H131" s="662" t="s">
        <v>1119</v>
      </c>
      <c r="I131" s="672" t="s">
        <v>1119</v>
      </c>
      <c r="J131" s="670"/>
      <c r="K131" s="665" t="s">
        <v>1119</v>
      </c>
      <c r="L131" s="671" t="s">
        <v>1119</v>
      </c>
      <c r="M131" s="671" t="s">
        <v>1119</v>
      </c>
      <c r="N131" s="661" t="s">
        <v>1119</v>
      </c>
      <c r="O131" s="662" t="s">
        <v>1119</v>
      </c>
      <c r="P131" s="672" t="s">
        <v>1119</v>
      </c>
      <c r="Q131" s="670"/>
      <c r="R131" s="665" t="s">
        <v>1119</v>
      </c>
      <c r="S131" s="671" t="s">
        <v>1119</v>
      </c>
      <c r="T131" s="671" t="s">
        <v>1119</v>
      </c>
      <c r="U131" s="661" t="s">
        <v>1119</v>
      </c>
      <c r="V131" s="662" t="s">
        <v>1119</v>
      </c>
      <c r="W131" s="672" t="s">
        <v>1119</v>
      </c>
    </row>
    <row r="132" spans="1:23" s="644" customFormat="1" x14ac:dyDescent="0.25">
      <c r="A132" s="667">
        <f t="shared" si="1"/>
        <v>-89</v>
      </c>
      <c r="B132" s="657" t="s">
        <v>1119</v>
      </c>
      <c r="C132" s="669"/>
      <c r="D132" s="665" t="s">
        <v>1119</v>
      </c>
      <c r="E132" s="671" t="s">
        <v>1119</v>
      </c>
      <c r="F132" s="671" t="s">
        <v>1119</v>
      </c>
      <c r="G132" s="661" t="s">
        <v>1119</v>
      </c>
      <c r="H132" s="662" t="s">
        <v>1119</v>
      </c>
      <c r="I132" s="672" t="s">
        <v>1119</v>
      </c>
      <c r="J132" s="670"/>
      <c r="K132" s="665" t="s">
        <v>1119</v>
      </c>
      <c r="L132" s="671" t="s">
        <v>1119</v>
      </c>
      <c r="M132" s="671" t="s">
        <v>1119</v>
      </c>
      <c r="N132" s="661" t="s">
        <v>1119</v>
      </c>
      <c r="O132" s="662" t="s">
        <v>1119</v>
      </c>
      <c r="P132" s="672" t="s">
        <v>1119</v>
      </c>
      <c r="Q132" s="670"/>
      <c r="R132" s="665" t="s">
        <v>1119</v>
      </c>
      <c r="S132" s="671" t="s">
        <v>1119</v>
      </c>
      <c r="T132" s="671" t="s">
        <v>1119</v>
      </c>
      <c r="U132" s="661" t="s">
        <v>1119</v>
      </c>
      <c r="V132" s="662" t="s">
        <v>1119</v>
      </c>
      <c r="W132" s="672" t="s">
        <v>1119</v>
      </c>
    </row>
    <row r="133" spans="1:23" s="644" customFormat="1" x14ac:dyDescent="0.25">
      <c r="A133" s="667">
        <f t="shared" si="1"/>
        <v>-90</v>
      </c>
      <c r="B133" s="657" t="s">
        <v>1119</v>
      </c>
      <c r="C133" s="669"/>
      <c r="D133" s="665" t="s">
        <v>1119</v>
      </c>
      <c r="E133" s="671" t="s">
        <v>1119</v>
      </c>
      <c r="F133" s="671" t="s">
        <v>1119</v>
      </c>
      <c r="G133" s="661" t="s">
        <v>1119</v>
      </c>
      <c r="H133" s="662" t="s">
        <v>1119</v>
      </c>
      <c r="I133" s="672" t="s">
        <v>1119</v>
      </c>
      <c r="J133" s="670"/>
      <c r="K133" s="665" t="s">
        <v>1119</v>
      </c>
      <c r="L133" s="671" t="s">
        <v>1119</v>
      </c>
      <c r="M133" s="671" t="s">
        <v>1119</v>
      </c>
      <c r="N133" s="661" t="s">
        <v>1119</v>
      </c>
      <c r="O133" s="662" t="s">
        <v>1119</v>
      </c>
      <c r="P133" s="672" t="s">
        <v>1119</v>
      </c>
      <c r="Q133" s="670"/>
      <c r="R133" s="665" t="s">
        <v>1119</v>
      </c>
      <c r="S133" s="671" t="s">
        <v>1119</v>
      </c>
      <c r="T133" s="671" t="s">
        <v>1119</v>
      </c>
      <c r="U133" s="661" t="s">
        <v>1119</v>
      </c>
      <c r="V133" s="662" t="s">
        <v>1119</v>
      </c>
      <c r="W133" s="672" t="s">
        <v>1119</v>
      </c>
    </row>
    <row r="134" spans="1:23" s="644" customFormat="1" x14ac:dyDescent="0.25">
      <c r="A134" s="667">
        <f t="shared" si="1"/>
        <v>-91</v>
      </c>
      <c r="B134" s="657" t="s">
        <v>1119</v>
      </c>
      <c r="C134" s="669"/>
      <c r="D134" s="665" t="s">
        <v>1119</v>
      </c>
      <c r="E134" s="671" t="s">
        <v>1119</v>
      </c>
      <c r="F134" s="671" t="s">
        <v>1119</v>
      </c>
      <c r="G134" s="661" t="s">
        <v>1119</v>
      </c>
      <c r="H134" s="662" t="s">
        <v>1119</v>
      </c>
      <c r="I134" s="672" t="s">
        <v>1119</v>
      </c>
      <c r="J134" s="670"/>
      <c r="K134" s="665" t="s">
        <v>1119</v>
      </c>
      <c r="L134" s="671" t="s">
        <v>1119</v>
      </c>
      <c r="M134" s="671" t="s">
        <v>1119</v>
      </c>
      <c r="N134" s="661" t="s">
        <v>1119</v>
      </c>
      <c r="O134" s="662" t="s">
        <v>1119</v>
      </c>
      <c r="P134" s="672" t="s">
        <v>1119</v>
      </c>
      <c r="Q134" s="670"/>
      <c r="R134" s="665" t="s">
        <v>1119</v>
      </c>
      <c r="S134" s="671" t="s">
        <v>1119</v>
      </c>
      <c r="T134" s="671" t="s">
        <v>1119</v>
      </c>
      <c r="U134" s="661" t="s">
        <v>1119</v>
      </c>
      <c r="V134" s="662" t="s">
        <v>1119</v>
      </c>
      <c r="W134" s="672" t="s">
        <v>1119</v>
      </c>
    </row>
    <row r="135" spans="1:23" s="644" customFormat="1" x14ac:dyDescent="0.25">
      <c r="A135" s="667">
        <f t="shared" si="1"/>
        <v>-92</v>
      </c>
      <c r="B135" s="657" t="s">
        <v>1119</v>
      </c>
      <c r="C135" s="669"/>
      <c r="D135" s="665" t="s">
        <v>1119</v>
      </c>
      <c r="E135" s="671" t="s">
        <v>1119</v>
      </c>
      <c r="F135" s="671" t="s">
        <v>1119</v>
      </c>
      <c r="G135" s="661" t="s">
        <v>1119</v>
      </c>
      <c r="H135" s="662" t="s">
        <v>1119</v>
      </c>
      <c r="I135" s="672" t="s">
        <v>1119</v>
      </c>
      <c r="J135" s="670"/>
      <c r="K135" s="665" t="s">
        <v>1119</v>
      </c>
      <c r="L135" s="671" t="s">
        <v>1119</v>
      </c>
      <c r="M135" s="671" t="s">
        <v>1119</v>
      </c>
      <c r="N135" s="661" t="s">
        <v>1119</v>
      </c>
      <c r="O135" s="662" t="s">
        <v>1119</v>
      </c>
      <c r="P135" s="672" t="s">
        <v>1119</v>
      </c>
      <c r="Q135" s="670"/>
      <c r="R135" s="665" t="s">
        <v>1119</v>
      </c>
      <c r="S135" s="671" t="s">
        <v>1119</v>
      </c>
      <c r="T135" s="671" t="s">
        <v>1119</v>
      </c>
      <c r="U135" s="661" t="s">
        <v>1119</v>
      </c>
      <c r="V135" s="662" t="s">
        <v>1119</v>
      </c>
      <c r="W135" s="672" t="s">
        <v>1119</v>
      </c>
    </row>
    <row r="136" spans="1:23" s="644" customFormat="1" x14ac:dyDescent="0.25">
      <c r="A136" s="667">
        <f t="shared" si="1"/>
        <v>-93</v>
      </c>
      <c r="B136" s="657" t="s">
        <v>1119</v>
      </c>
      <c r="C136" s="669"/>
      <c r="D136" s="665" t="s">
        <v>1119</v>
      </c>
      <c r="E136" s="671" t="s">
        <v>1119</v>
      </c>
      <c r="F136" s="671" t="s">
        <v>1119</v>
      </c>
      <c r="G136" s="661" t="s">
        <v>1119</v>
      </c>
      <c r="H136" s="662" t="s">
        <v>1119</v>
      </c>
      <c r="I136" s="672" t="s">
        <v>1119</v>
      </c>
      <c r="J136" s="670"/>
      <c r="K136" s="665" t="s">
        <v>1119</v>
      </c>
      <c r="L136" s="671" t="s">
        <v>1119</v>
      </c>
      <c r="M136" s="671" t="s">
        <v>1119</v>
      </c>
      <c r="N136" s="661" t="s">
        <v>1119</v>
      </c>
      <c r="O136" s="662" t="s">
        <v>1119</v>
      </c>
      <c r="P136" s="672" t="s">
        <v>1119</v>
      </c>
      <c r="Q136" s="670"/>
      <c r="R136" s="665" t="s">
        <v>1119</v>
      </c>
      <c r="S136" s="671" t="s">
        <v>1119</v>
      </c>
      <c r="T136" s="671" t="s">
        <v>1119</v>
      </c>
      <c r="U136" s="661" t="s">
        <v>1119</v>
      </c>
      <c r="V136" s="662" t="s">
        <v>1119</v>
      </c>
      <c r="W136" s="672" t="s">
        <v>1119</v>
      </c>
    </row>
    <row r="137" spans="1:23" s="644" customFormat="1" x14ac:dyDescent="0.25">
      <c r="A137" s="667">
        <f t="shared" si="1"/>
        <v>-94</v>
      </c>
      <c r="B137" s="657" t="s">
        <v>1119</v>
      </c>
      <c r="C137" s="669"/>
      <c r="D137" s="665" t="s">
        <v>1119</v>
      </c>
      <c r="E137" s="671" t="s">
        <v>1119</v>
      </c>
      <c r="F137" s="671" t="s">
        <v>1119</v>
      </c>
      <c r="G137" s="661" t="s">
        <v>1119</v>
      </c>
      <c r="H137" s="662" t="s">
        <v>1119</v>
      </c>
      <c r="I137" s="672" t="s">
        <v>1119</v>
      </c>
      <c r="J137" s="670"/>
      <c r="K137" s="665" t="s">
        <v>1119</v>
      </c>
      <c r="L137" s="671" t="s">
        <v>1119</v>
      </c>
      <c r="M137" s="671" t="s">
        <v>1119</v>
      </c>
      <c r="N137" s="661" t="s">
        <v>1119</v>
      </c>
      <c r="O137" s="662" t="s">
        <v>1119</v>
      </c>
      <c r="P137" s="672" t="s">
        <v>1119</v>
      </c>
      <c r="Q137" s="670"/>
      <c r="R137" s="665" t="s">
        <v>1119</v>
      </c>
      <c r="S137" s="671" t="s">
        <v>1119</v>
      </c>
      <c r="T137" s="671" t="s">
        <v>1119</v>
      </c>
      <c r="U137" s="661" t="s">
        <v>1119</v>
      </c>
      <c r="V137" s="662" t="s">
        <v>1119</v>
      </c>
      <c r="W137" s="672" t="s">
        <v>1119</v>
      </c>
    </row>
    <row r="138" spans="1:23" s="644" customFormat="1" x14ac:dyDescent="0.25">
      <c r="A138" s="667">
        <f t="shared" si="1"/>
        <v>-95</v>
      </c>
      <c r="B138" s="657" t="s">
        <v>1119</v>
      </c>
      <c r="C138" s="669"/>
      <c r="D138" s="665" t="s">
        <v>1119</v>
      </c>
      <c r="E138" s="671" t="s">
        <v>1119</v>
      </c>
      <c r="F138" s="671" t="s">
        <v>1119</v>
      </c>
      <c r="G138" s="661" t="s">
        <v>1119</v>
      </c>
      <c r="H138" s="662" t="s">
        <v>1119</v>
      </c>
      <c r="I138" s="672" t="s">
        <v>1119</v>
      </c>
      <c r="J138" s="670"/>
      <c r="K138" s="665" t="s">
        <v>1119</v>
      </c>
      <c r="L138" s="671" t="s">
        <v>1119</v>
      </c>
      <c r="M138" s="671" t="s">
        <v>1119</v>
      </c>
      <c r="N138" s="661" t="s">
        <v>1119</v>
      </c>
      <c r="O138" s="662" t="s">
        <v>1119</v>
      </c>
      <c r="P138" s="672" t="s">
        <v>1119</v>
      </c>
      <c r="Q138" s="670"/>
      <c r="R138" s="665" t="s">
        <v>1119</v>
      </c>
      <c r="S138" s="671" t="s">
        <v>1119</v>
      </c>
      <c r="T138" s="671" t="s">
        <v>1119</v>
      </c>
      <c r="U138" s="661" t="s">
        <v>1119</v>
      </c>
      <c r="V138" s="662" t="s">
        <v>1119</v>
      </c>
      <c r="W138" s="672" t="s">
        <v>1119</v>
      </c>
    </row>
    <row r="139" spans="1:23" s="644" customFormat="1" x14ac:dyDescent="0.25">
      <c r="A139" s="667">
        <f t="shared" si="1"/>
        <v>-96</v>
      </c>
      <c r="B139" s="657" t="s">
        <v>1119</v>
      </c>
      <c r="C139" s="669"/>
      <c r="D139" s="665" t="s">
        <v>1119</v>
      </c>
      <c r="E139" s="671" t="s">
        <v>1119</v>
      </c>
      <c r="F139" s="671" t="s">
        <v>1119</v>
      </c>
      <c r="G139" s="661" t="s">
        <v>1119</v>
      </c>
      <c r="H139" s="662" t="s">
        <v>1119</v>
      </c>
      <c r="I139" s="672" t="s">
        <v>1119</v>
      </c>
      <c r="J139" s="670"/>
      <c r="K139" s="665" t="s">
        <v>1119</v>
      </c>
      <c r="L139" s="671" t="s">
        <v>1119</v>
      </c>
      <c r="M139" s="671" t="s">
        <v>1119</v>
      </c>
      <c r="N139" s="661" t="s">
        <v>1119</v>
      </c>
      <c r="O139" s="662" t="s">
        <v>1119</v>
      </c>
      <c r="P139" s="672" t="s">
        <v>1119</v>
      </c>
      <c r="Q139" s="670"/>
      <c r="R139" s="665" t="s">
        <v>1119</v>
      </c>
      <c r="S139" s="671" t="s">
        <v>1119</v>
      </c>
      <c r="T139" s="671" t="s">
        <v>1119</v>
      </c>
      <c r="U139" s="661" t="s">
        <v>1119</v>
      </c>
      <c r="V139" s="662" t="s">
        <v>1119</v>
      </c>
      <c r="W139" s="672" t="s">
        <v>1119</v>
      </c>
    </row>
    <row r="140" spans="1:23" s="644" customFormat="1" x14ac:dyDescent="0.25">
      <c r="A140" s="667">
        <f t="shared" si="1"/>
        <v>-97</v>
      </c>
      <c r="B140" s="657" t="s">
        <v>1119</v>
      </c>
      <c r="C140" s="669"/>
      <c r="D140" s="665" t="s">
        <v>1119</v>
      </c>
      <c r="E140" s="671" t="s">
        <v>1119</v>
      </c>
      <c r="F140" s="671" t="s">
        <v>1119</v>
      </c>
      <c r="G140" s="661" t="s">
        <v>1119</v>
      </c>
      <c r="H140" s="662" t="s">
        <v>1119</v>
      </c>
      <c r="I140" s="672" t="s">
        <v>1119</v>
      </c>
      <c r="J140" s="670"/>
      <c r="K140" s="665" t="s">
        <v>1119</v>
      </c>
      <c r="L140" s="671" t="s">
        <v>1119</v>
      </c>
      <c r="M140" s="671" t="s">
        <v>1119</v>
      </c>
      <c r="N140" s="661" t="s">
        <v>1119</v>
      </c>
      <c r="O140" s="662" t="s">
        <v>1119</v>
      </c>
      <c r="P140" s="672" t="s">
        <v>1119</v>
      </c>
      <c r="Q140" s="670"/>
      <c r="R140" s="665" t="s">
        <v>1119</v>
      </c>
      <c r="S140" s="671" t="s">
        <v>1119</v>
      </c>
      <c r="T140" s="671" t="s">
        <v>1119</v>
      </c>
      <c r="U140" s="661" t="s">
        <v>1119</v>
      </c>
      <c r="V140" s="662" t="s">
        <v>1119</v>
      </c>
      <c r="W140" s="672" t="s">
        <v>1119</v>
      </c>
    </row>
    <row r="141" spans="1:23" s="644" customFormat="1" x14ac:dyDescent="0.25">
      <c r="A141" s="667">
        <f t="shared" si="1"/>
        <v>-98</v>
      </c>
      <c r="B141" s="657" t="s">
        <v>1119</v>
      </c>
      <c r="C141" s="669"/>
      <c r="D141" s="665" t="s">
        <v>1119</v>
      </c>
      <c r="E141" s="671" t="s">
        <v>1119</v>
      </c>
      <c r="F141" s="671" t="s">
        <v>1119</v>
      </c>
      <c r="G141" s="661" t="s">
        <v>1119</v>
      </c>
      <c r="H141" s="662" t="s">
        <v>1119</v>
      </c>
      <c r="I141" s="672" t="s">
        <v>1119</v>
      </c>
      <c r="J141" s="670"/>
      <c r="K141" s="665" t="s">
        <v>1119</v>
      </c>
      <c r="L141" s="671" t="s">
        <v>1119</v>
      </c>
      <c r="M141" s="671" t="s">
        <v>1119</v>
      </c>
      <c r="N141" s="661" t="s">
        <v>1119</v>
      </c>
      <c r="O141" s="662" t="s">
        <v>1119</v>
      </c>
      <c r="P141" s="672" t="s">
        <v>1119</v>
      </c>
      <c r="Q141" s="670"/>
      <c r="R141" s="665" t="s">
        <v>1119</v>
      </c>
      <c r="S141" s="671" t="s">
        <v>1119</v>
      </c>
      <c r="T141" s="671" t="s">
        <v>1119</v>
      </c>
      <c r="U141" s="661" t="s">
        <v>1119</v>
      </c>
      <c r="V141" s="662" t="s">
        <v>1119</v>
      </c>
      <c r="W141" s="672" t="s">
        <v>1119</v>
      </c>
    </row>
    <row r="142" spans="1:23" s="644" customFormat="1" x14ac:dyDescent="0.25">
      <c r="A142" s="667">
        <f t="shared" si="1"/>
        <v>-99</v>
      </c>
      <c r="B142" s="657" t="s">
        <v>1119</v>
      </c>
      <c r="C142" s="669"/>
      <c r="D142" s="665" t="s">
        <v>1119</v>
      </c>
      <c r="E142" s="671" t="s">
        <v>1119</v>
      </c>
      <c r="F142" s="671" t="s">
        <v>1119</v>
      </c>
      <c r="G142" s="661" t="s">
        <v>1119</v>
      </c>
      <c r="H142" s="662" t="s">
        <v>1119</v>
      </c>
      <c r="I142" s="672" t="s">
        <v>1119</v>
      </c>
      <c r="J142" s="670"/>
      <c r="K142" s="665" t="s">
        <v>1119</v>
      </c>
      <c r="L142" s="671" t="s">
        <v>1119</v>
      </c>
      <c r="M142" s="671" t="s">
        <v>1119</v>
      </c>
      <c r="N142" s="661" t="s">
        <v>1119</v>
      </c>
      <c r="O142" s="662" t="s">
        <v>1119</v>
      </c>
      <c r="P142" s="672" t="s">
        <v>1119</v>
      </c>
      <c r="Q142" s="670"/>
      <c r="R142" s="665" t="s">
        <v>1119</v>
      </c>
      <c r="S142" s="671" t="s">
        <v>1119</v>
      </c>
      <c r="T142" s="671" t="s">
        <v>1119</v>
      </c>
      <c r="U142" s="661" t="s">
        <v>1119</v>
      </c>
      <c r="V142" s="662" t="s">
        <v>1119</v>
      </c>
      <c r="W142" s="672" t="s">
        <v>1119</v>
      </c>
    </row>
    <row r="143" spans="1:23" s="644" customFormat="1" x14ac:dyDescent="0.25">
      <c r="A143" s="667">
        <f t="shared" si="1"/>
        <v>-100</v>
      </c>
      <c r="B143" s="657" t="s">
        <v>1119</v>
      </c>
      <c r="C143" s="669"/>
      <c r="D143" s="665" t="s">
        <v>1119</v>
      </c>
      <c r="E143" s="671" t="s">
        <v>1119</v>
      </c>
      <c r="F143" s="671" t="s">
        <v>1119</v>
      </c>
      <c r="G143" s="661" t="s">
        <v>1119</v>
      </c>
      <c r="H143" s="662" t="s">
        <v>1119</v>
      </c>
      <c r="I143" s="672" t="s">
        <v>1119</v>
      </c>
      <c r="J143" s="670"/>
      <c r="K143" s="665" t="s">
        <v>1119</v>
      </c>
      <c r="L143" s="671" t="s">
        <v>1119</v>
      </c>
      <c r="M143" s="671" t="s">
        <v>1119</v>
      </c>
      <c r="N143" s="661" t="s">
        <v>1119</v>
      </c>
      <c r="O143" s="662" t="s">
        <v>1119</v>
      </c>
      <c r="P143" s="672" t="s">
        <v>1119</v>
      </c>
      <c r="Q143" s="670"/>
      <c r="R143" s="665" t="s">
        <v>1119</v>
      </c>
      <c r="S143" s="671" t="s">
        <v>1119</v>
      </c>
      <c r="T143" s="671" t="s">
        <v>1119</v>
      </c>
      <c r="U143" s="661" t="s">
        <v>1119</v>
      </c>
      <c r="V143" s="662" t="s">
        <v>1119</v>
      </c>
      <c r="W143" s="672" t="s">
        <v>1119</v>
      </c>
    </row>
    <row r="144" spans="1:23" s="644" customFormat="1" x14ac:dyDescent="0.25">
      <c r="A144" s="667">
        <f t="shared" si="1"/>
        <v>-101</v>
      </c>
      <c r="B144" s="657" t="s">
        <v>1119</v>
      </c>
      <c r="C144" s="669"/>
      <c r="D144" s="665" t="s">
        <v>1119</v>
      </c>
      <c r="E144" s="671" t="s">
        <v>1119</v>
      </c>
      <c r="F144" s="671" t="s">
        <v>1119</v>
      </c>
      <c r="G144" s="661" t="s">
        <v>1119</v>
      </c>
      <c r="H144" s="662" t="s">
        <v>1119</v>
      </c>
      <c r="I144" s="672" t="s">
        <v>1119</v>
      </c>
      <c r="J144" s="670"/>
      <c r="K144" s="665" t="s">
        <v>1119</v>
      </c>
      <c r="L144" s="671" t="s">
        <v>1119</v>
      </c>
      <c r="M144" s="671" t="s">
        <v>1119</v>
      </c>
      <c r="N144" s="661" t="s">
        <v>1119</v>
      </c>
      <c r="O144" s="662" t="s">
        <v>1119</v>
      </c>
      <c r="P144" s="672" t="s">
        <v>1119</v>
      </c>
      <c r="Q144" s="670"/>
      <c r="R144" s="665" t="s">
        <v>1119</v>
      </c>
      <c r="S144" s="671" t="s">
        <v>1119</v>
      </c>
      <c r="T144" s="671" t="s">
        <v>1119</v>
      </c>
      <c r="U144" s="661" t="s">
        <v>1119</v>
      </c>
      <c r="V144" s="662" t="s">
        <v>1119</v>
      </c>
      <c r="W144" s="672" t="s">
        <v>1119</v>
      </c>
    </row>
    <row r="145" spans="1:23" s="644" customFormat="1" x14ac:dyDescent="0.25">
      <c r="A145" s="667">
        <f t="shared" si="1"/>
        <v>-102</v>
      </c>
      <c r="B145" s="657" t="s">
        <v>1119</v>
      </c>
      <c r="C145" s="669"/>
      <c r="D145" s="665" t="s">
        <v>1119</v>
      </c>
      <c r="E145" s="671" t="s">
        <v>1119</v>
      </c>
      <c r="F145" s="671" t="s">
        <v>1119</v>
      </c>
      <c r="G145" s="661" t="s">
        <v>1119</v>
      </c>
      <c r="H145" s="662" t="s">
        <v>1119</v>
      </c>
      <c r="I145" s="672" t="s">
        <v>1119</v>
      </c>
      <c r="J145" s="670"/>
      <c r="K145" s="665" t="s">
        <v>1119</v>
      </c>
      <c r="L145" s="671" t="s">
        <v>1119</v>
      </c>
      <c r="M145" s="671" t="s">
        <v>1119</v>
      </c>
      <c r="N145" s="661" t="s">
        <v>1119</v>
      </c>
      <c r="O145" s="662" t="s">
        <v>1119</v>
      </c>
      <c r="P145" s="672" t="s">
        <v>1119</v>
      </c>
      <c r="Q145" s="670"/>
      <c r="R145" s="665" t="s">
        <v>1119</v>
      </c>
      <c r="S145" s="671" t="s">
        <v>1119</v>
      </c>
      <c r="T145" s="671" t="s">
        <v>1119</v>
      </c>
      <c r="U145" s="661" t="s">
        <v>1119</v>
      </c>
      <c r="V145" s="662" t="s">
        <v>1119</v>
      </c>
      <c r="W145" s="672" t="s">
        <v>1119</v>
      </c>
    </row>
    <row r="146" spans="1:23" s="644" customFormat="1" x14ac:dyDescent="0.25">
      <c r="A146" s="667">
        <f t="shared" si="1"/>
        <v>-103</v>
      </c>
      <c r="B146" s="657" t="s">
        <v>1119</v>
      </c>
      <c r="C146" s="669"/>
      <c r="D146" s="665" t="s">
        <v>1119</v>
      </c>
      <c r="E146" s="671" t="s">
        <v>1119</v>
      </c>
      <c r="F146" s="671" t="s">
        <v>1119</v>
      </c>
      <c r="G146" s="661" t="s">
        <v>1119</v>
      </c>
      <c r="H146" s="662" t="s">
        <v>1119</v>
      </c>
      <c r="I146" s="672" t="s">
        <v>1119</v>
      </c>
      <c r="J146" s="670"/>
      <c r="K146" s="665" t="s">
        <v>1119</v>
      </c>
      <c r="L146" s="671" t="s">
        <v>1119</v>
      </c>
      <c r="M146" s="671" t="s">
        <v>1119</v>
      </c>
      <c r="N146" s="661" t="s">
        <v>1119</v>
      </c>
      <c r="O146" s="662" t="s">
        <v>1119</v>
      </c>
      <c r="P146" s="672" t="s">
        <v>1119</v>
      </c>
      <c r="Q146" s="670"/>
      <c r="R146" s="665" t="s">
        <v>1119</v>
      </c>
      <c r="S146" s="671" t="s">
        <v>1119</v>
      </c>
      <c r="T146" s="671" t="s">
        <v>1119</v>
      </c>
      <c r="U146" s="661" t="s">
        <v>1119</v>
      </c>
      <c r="V146" s="662" t="s">
        <v>1119</v>
      </c>
      <c r="W146" s="672" t="s">
        <v>1119</v>
      </c>
    </row>
    <row r="147" spans="1:23" s="644" customFormat="1" x14ac:dyDescent="0.25">
      <c r="A147" s="667">
        <f t="shared" si="1"/>
        <v>-104</v>
      </c>
      <c r="B147" s="657" t="s">
        <v>1119</v>
      </c>
      <c r="C147" s="669"/>
      <c r="D147" s="665" t="s">
        <v>1119</v>
      </c>
      <c r="E147" s="671" t="s">
        <v>1119</v>
      </c>
      <c r="F147" s="671" t="s">
        <v>1119</v>
      </c>
      <c r="G147" s="661" t="s">
        <v>1119</v>
      </c>
      <c r="H147" s="662" t="s">
        <v>1119</v>
      </c>
      <c r="I147" s="672" t="s">
        <v>1119</v>
      </c>
      <c r="J147" s="670"/>
      <c r="K147" s="665" t="s">
        <v>1119</v>
      </c>
      <c r="L147" s="671" t="s">
        <v>1119</v>
      </c>
      <c r="M147" s="671" t="s">
        <v>1119</v>
      </c>
      <c r="N147" s="661" t="s">
        <v>1119</v>
      </c>
      <c r="O147" s="662" t="s">
        <v>1119</v>
      </c>
      <c r="P147" s="672" t="s">
        <v>1119</v>
      </c>
      <c r="Q147" s="670"/>
      <c r="R147" s="665" t="s">
        <v>1119</v>
      </c>
      <c r="S147" s="671" t="s">
        <v>1119</v>
      </c>
      <c r="T147" s="671" t="s">
        <v>1119</v>
      </c>
      <c r="U147" s="661" t="s">
        <v>1119</v>
      </c>
      <c r="V147" s="662" t="s">
        <v>1119</v>
      </c>
      <c r="W147" s="672" t="s">
        <v>1119</v>
      </c>
    </row>
    <row r="148" spans="1:23" s="644" customFormat="1" x14ac:dyDescent="0.25">
      <c r="A148" s="667">
        <f t="shared" si="1"/>
        <v>-105</v>
      </c>
      <c r="B148" s="657" t="s">
        <v>1119</v>
      </c>
      <c r="C148" s="669"/>
      <c r="D148" s="665" t="s">
        <v>1119</v>
      </c>
      <c r="E148" s="671" t="s">
        <v>1119</v>
      </c>
      <c r="F148" s="671" t="s">
        <v>1119</v>
      </c>
      <c r="G148" s="661" t="s">
        <v>1119</v>
      </c>
      <c r="H148" s="662" t="s">
        <v>1119</v>
      </c>
      <c r="I148" s="672" t="s">
        <v>1119</v>
      </c>
      <c r="J148" s="670"/>
      <c r="K148" s="665" t="s">
        <v>1119</v>
      </c>
      <c r="L148" s="671" t="s">
        <v>1119</v>
      </c>
      <c r="M148" s="671" t="s">
        <v>1119</v>
      </c>
      <c r="N148" s="661" t="s">
        <v>1119</v>
      </c>
      <c r="O148" s="662" t="s">
        <v>1119</v>
      </c>
      <c r="P148" s="672" t="s">
        <v>1119</v>
      </c>
      <c r="Q148" s="670"/>
      <c r="R148" s="665" t="s">
        <v>1119</v>
      </c>
      <c r="S148" s="671" t="s">
        <v>1119</v>
      </c>
      <c r="T148" s="671" t="s">
        <v>1119</v>
      </c>
      <c r="U148" s="661" t="s">
        <v>1119</v>
      </c>
      <c r="V148" s="662" t="s">
        <v>1119</v>
      </c>
      <c r="W148" s="672" t="s">
        <v>1119</v>
      </c>
    </row>
    <row r="149" spans="1:23" s="644" customFormat="1" x14ac:dyDescent="0.25">
      <c r="A149" s="667">
        <f t="shared" si="1"/>
        <v>-106</v>
      </c>
      <c r="B149" s="657" t="s">
        <v>1119</v>
      </c>
      <c r="C149" s="669"/>
      <c r="D149" s="665" t="s">
        <v>1119</v>
      </c>
      <c r="E149" s="671" t="s">
        <v>1119</v>
      </c>
      <c r="F149" s="671" t="s">
        <v>1119</v>
      </c>
      <c r="G149" s="661" t="s">
        <v>1119</v>
      </c>
      <c r="H149" s="662" t="s">
        <v>1119</v>
      </c>
      <c r="I149" s="672" t="s">
        <v>1119</v>
      </c>
      <c r="J149" s="670"/>
      <c r="K149" s="665" t="s">
        <v>1119</v>
      </c>
      <c r="L149" s="671" t="s">
        <v>1119</v>
      </c>
      <c r="M149" s="671" t="s">
        <v>1119</v>
      </c>
      <c r="N149" s="661" t="s">
        <v>1119</v>
      </c>
      <c r="O149" s="662" t="s">
        <v>1119</v>
      </c>
      <c r="P149" s="672" t="s">
        <v>1119</v>
      </c>
      <c r="Q149" s="670"/>
      <c r="R149" s="665" t="s">
        <v>1119</v>
      </c>
      <c r="S149" s="671" t="s">
        <v>1119</v>
      </c>
      <c r="T149" s="671" t="s">
        <v>1119</v>
      </c>
      <c r="U149" s="661" t="s">
        <v>1119</v>
      </c>
      <c r="V149" s="662" t="s">
        <v>1119</v>
      </c>
      <c r="W149" s="672" t="s">
        <v>1119</v>
      </c>
    </row>
    <row r="150" spans="1:23" s="644" customFormat="1" x14ac:dyDescent="0.25">
      <c r="A150" s="667">
        <f t="shared" si="1"/>
        <v>-107</v>
      </c>
      <c r="B150" s="657" t="s">
        <v>1119</v>
      </c>
      <c r="C150" s="669"/>
      <c r="D150" s="665" t="s">
        <v>1119</v>
      </c>
      <c r="E150" s="671" t="s">
        <v>1119</v>
      </c>
      <c r="F150" s="671" t="s">
        <v>1119</v>
      </c>
      <c r="G150" s="661" t="s">
        <v>1119</v>
      </c>
      <c r="H150" s="662" t="s">
        <v>1119</v>
      </c>
      <c r="I150" s="672" t="s">
        <v>1119</v>
      </c>
      <c r="J150" s="670"/>
      <c r="K150" s="665" t="s">
        <v>1119</v>
      </c>
      <c r="L150" s="671" t="s">
        <v>1119</v>
      </c>
      <c r="M150" s="671" t="s">
        <v>1119</v>
      </c>
      <c r="N150" s="661" t="s">
        <v>1119</v>
      </c>
      <c r="O150" s="662" t="s">
        <v>1119</v>
      </c>
      <c r="P150" s="672" t="s">
        <v>1119</v>
      </c>
      <c r="Q150" s="670"/>
      <c r="R150" s="665" t="s">
        <v>1119</v>
      </c>
      <c r="S150" s="671" t="s">
        <v>1119</v>
      </c>
      <c r="T150" s="671" t="s">
        <v>1119</v>
      </c>
      <c r="U150" s="661" t="s">
        <v>1119</v>
      </c>
      <c r="V150" s="662" t="s">
        <v>1119</v>
      </c>
      <c r="W150" s="672" t="s">
        <v>1119</v>
      </c>
    </row>
    <row r="151" spans="1:23" s="644" customFormat="1" x14ac:dyDescent="0.25">
      <c r="A151" s="667">
        <f t="shared" si="1"/>
        <v>-108</v>
      </c>
      <c r="B151" s="657" t="s">
        <v>1119</v>
      </c>
      <c r="C151" s="669"/>
      <c r="D151" s="665" t="s">
        <v>1119</v>
      </c>
      <c r="E151" s="671" t="s">
        <v>1119</v>
      </c>
      <c r="F151" s="671" t="s">
        <v>1119</v>
      </c>
      <c r="G151" s="661" t="s">
        <v>1119</v>
      </c>
      <c r="H151" s="662" t="s">
        <v>1119</v>
      </c>
      <c r="I151" s="672" t="s">
        <v>1119</v>
      </c>
      <c r="J151" s="670"/>
      <c r="K151" s="665" t="s">
        <v>1119</v>
      </c>
      <c r="L151" s="671" t="s">
        <v>1119</v>
      </c>
      <c r="M151" s="671" t="s">
        <v>1119</v>
      </c>
      <c r="N151" s="661" t="s">
        <v>1119</v>
      </c>
      <c r="O151" s="662" t="s">
        <v>1119</v>
      </c>
      <c r="P151" s="672" t="s">
        <v>1119</v>
      </c>
      <c r="Q151" s="670"/>
      <c r="R151" s="665" t="s">
        <v>1119</v>
      </c>
      <c r="S151" s="671" t="s">
        <v>1119</v>
      </c>
      <c r="T151" s="671" t="s">
        <v>1119</v>
      </c>
      <c r="U151" s="661" t="s">
        <v>1119</v>
      </c>
      <c r="V151" s="662" t="s">
        <v>1119</v>
      </c>
      <c r="W151" s="672" t="s">
        <v>1119</v>
      </c>
    </row>
    <row r="152" spans="1:23" s="644" customFormat="1" x14ac:dyDescent="0.25">
      <c r="A152" s="667">
        <f t="shared" ref="A152:A215" si="2">A151-1</f>
        <v>-109</v>
      </c>
      <c r="B152" s="657" t="s">
        <v>1119</v>
      </c>
      <c r="C152" s="669"/>
      <c r="D152" s="665" t="s">
        <v>1119</v>
      </c>
      <c r="E152" s="671" t="s">
        <v>1119</v>
      </c>
      <c r="F152" s="671" t="s">
        <v>1119</v>
      </c>
      <c r="G152" s="661" t="s">
        <v>1119</v>
      </c>
      <c r="H152" s="662" t="s">
        <v>1119</v>
      </c>
      <c r="I152" s="672" t="s">
        <v>1119</v>
      </c>
      <c r="J152" s="670"/>
      <c r="K152" s="665" t="s">
        <v>1119</v>
      </c>
      <c r="L152" s="671" t="s">
        <v>1119</v>
      </c>
      <c r="M152" s="671" t="s">
        <v>1119</v>
      </c>
      <c r="N152" s="661" t="s">
        <v>1119</v>
      </c>
      <c r="O152" s="662" t="s">
        <v>1119</v>
      </c>
      <c r="P152" s="672" t="s">
        <v>1119</v>
      </c>
      <c r="Q152" s="670"/>
      <c r="R152" s="665" t="s">
        <v>1119</v>
      </c>
      <c r="S152" s="671" t="s">
        <v>1119</v>
      </c>
      <c r="T152" s="671" t="s">
        <v>1119</v>
      </c>
      <c r="U152" s="661" t="s">
        <v>1119</v>
      </c>
      <c r="V152" s="662" t="s">
        <v>1119</v>
      </c>
      <c r="W152" s="672" t="s">
        <v>1119</v>
      </c>
    </row>
    <row r="153" spans="1:23" s="644" customFormat="1" x14ac:dyDescent="0.25">
      <c r="A153" s="667">
        <f t="shared" si="2"/>
        <v>-110</v>
      </c>
      <c r="B153" s="657" t="s">
        <v>1119</v>
      </c>
      <c r="C153" s="669"/>
      <c r="D153" s="665" t="s">
        <v>1119</v>
      </c>
      <c r="E153" s="671" t="s">
        <v>1119</v>
      </c>
      <c r="F153" s="671" t="s">
        <v>1119</v>
      </c>
      <c r="G153" s="661" t="s">
        <v>1119</v>
      </c>
      <c r="H153" s="662" t="s">
        <v>1119</v>
      </c>
      <c r="I153" s="672" t="s">
        <v>1119</v>
      </c>
      <c r="J153" s="670"/>
      <c r="K153" s="665" t="s">
        <v>1119</v>
      </c>
      <c r="L153" s="671" t="s">
        <v>1119</v>
      </c>
      <c r="M153" s="671" t="s">
        <v>1119</v>
      </c>
      <c r="N153" s="661" t="s">
        <v>1119</v>
      </c>
      <c r="O153" s="662" t="s">
        <v>1119</v>
      </c>
      <c r="P153" s="672" t="s">
        <v>1119</v>
      </c>
      <c r="Q153" s="670"/>
      <c r="R153" s="665" t="s">
        <v>1119</v>
      </c>
      <c r="S153" s="671" t="s">
        <v>1119</v>
      </c>
      <c r="T153" s="671" t="s">
        <v>1119</v>
      </c>
      <c r="U153" s="661" t="s">
        <v>1119</v>
      </c>
      <c r="V153" s="662" t="s">
        <v>1119</v>
      </c>
      <c r="W153" s="672" t="s">
        <v>1119</v>
      </c>
    </row>
    <row r="154" spans="1:23" s="644" customFormat="1" x14ac:dyDescent="0.25">
      <c r="A154" s="667">
        <f t="shared" si="2"/>
        <v>-111</v>
      </c>
      <c r="B154" s="657" t="s">
        <v>1119</v>
      </c>
      <c r="C154" s="669"/>
      <c r="D154" s="665" t="s">
        <v>1119</v>
      </c>
      <c r="E154" s="671" t="s">
        <v>1119</v>
      </c>
      <c r="F154" s="671" t="s">
        <v>1119</v>
      </c>
      <c r="G154" s="661" t="s">
        <v>1119</v>
      </c>
      <c r="H154" s="662" t="s">
        <v>1119</v>
      </c>
      <c r="I154" s="672" t="s">
        <v>1119</v>
      </c>
      <c r="J154" s="670"/>
      <c r="K154" s="665" t="s">
        <v>1119</v>
      </c>
      <c r="L154" s="671" t="s">
        <v>1119</v>
      </c>
      <c r="M154" s="671" t="s">
        <v>1119</v>
      </c>
      <c r="N154" s="661" t="s">
        <v>1119</v>
      </c>
      <c r="O154" s="662" t="s">
        <v>1119</v>
      </c>
      <c r="P154" s="672" t="s">
        <v>1119</v>
      </c>
      <c r="Q154" s="670"/>
      <c r="R154" s="665" t="s">
        <v>1119</v>
      </c>
      <c r="S154" s="671" t="s">
        <v>1119</v>
      </c>
      <c r="T154" s="671" t="s">
        <v>1119</v>
      </c>
      <c r="U154" s="661" t="s">
        <v>1119</v>
      </c>
      <c r="V154" s="662" t="s">
        <v>1119</v>
      </c>
      <c r="W154" s="672" t="s">
        <v>1119</v>
      </c>
    </row>
    <row r="155" spans="1:23" s="644" customFormat="1" x14ac:dyDescent="0.25">
      <c r="A155" s="667">
        <f t="shared" si="2"/>
        <v>-112</v>
      </c>
      <c r="B155" s="657" t="s">
        <v>1119</v>
      </c>
      <c r="C155" s="669"/>
      <c r="D155" s="665" t="s">
        <v>1119</v>
      </c>
      <c r="E155" s="671" t="s">
        <v>1119</v>
      </c>
      <c r="F155" s="671" t="s">
        <v>1119</v>
      </c>
      <c r="G155" s="661" t="s">
        <v>1119</v>
      </c>
      <c r="H155" s="662" t="s">
        <v>1119</v>
      </c>
      <c r="I155" s="672" t="s">
        <v>1119</v>
      </c>
      <c r="J155" s="670"/>
      <c r="K155" s="665" t="s">
        <v>1119</v>
      </c>
      <c r="L155" s="671" t="s">
        <v>1119</v>
      </c>
      <c r="M155" s="671" t="s">
        <v>1119</v>
      </c>
      <c r="N155" s="661" t="s">
        <v>1119</v>
      </c>
      <c r="O155" s="662" t="s">
        <v>1119</v>
      </c>
      <c r="P155" s="672" t="s">
        <v>1119</v>
      </c>
      <c r="Q155" s="670"/>
      <c r="R155" s="665" t="s">
        <v>1119</v>
      </c>
      <c r="S155" s="671" t="s">
        <v>1119</v>
      </c>
      <c r="T155" s="671" t="s">
        <v>1119</v>
      </c>
      <c r="U155" s="661" t="s">
        <v>1119</v>
      </c>
      <c r="V155" s="662" t="s">
        <v>1119</v>
      </c>
      <c r="W155" s="672" t="s">
        <v>1119</v>
      </c>
    </row>
    <row r="156" spans="1:23" s="644" customFormat="1" x14ac:dyDescent="0.25">
      <c r="A156" s="667">
        <f t="shared" si="2"/>
        <v>-113</v>
      </c>
      <c r="B156" s="657" t="s">
        <v>1119</v>
      </c>
      <c r="C156" s="669"/>
      <c r="D156" s="665" t="s">
        <v>1119</v>
      </c>
      <c r="E156" s="671" t="s">
        <v>1119</v>
      </c>
      <c r="F156" s="671" t="s">
        <v>1119</v>
      </c>
      <c r="G156" s="661" t="s">
        <v>1119</v>
      </c>
      <c r="H156" s="662" t="s">
        <v>1119</v>
      </c>
      <c r="I156" s="672" t="s">
        <v>1119</v>
      </c>
      <c r="J156" s="670"/>
      <c r="K156" s="665" t="s">
        <v>1119</v>
      </c>
      <c r="L156" s="671" t="s">
        <v>1119</v>
      </c>
      <c r="M156" s="671" t="s">
        <v>1119</v>
      </c>
      <c r="N156" s="661" t="s">
        <v>1119</v>
      </c>
      <c r="O156" s="662" t="s">
        <v>1119</v>
      </c>
      <c r="P156" s="672" t="s">
        <v>1119</v>
      </c>
      <c r="Q156" s="670"/>
      <c r="R156" s="665" t="s">
        <v>1119</v>
      </c>
      <c r="S156" s="671" t="s">
        <v>1119</v>
      </c>
      <c r="T156" s="671" t="s">
        <v>1119</v>
      </c>
      <c r="U156" s="661" t="s">
        <v>1119</v>
      </c>
      <c r="V156" s="662" t="s">
        <v>1119</v>
      </c>
      <c r="W156" s="672" t="s">
        <v>1119</v>
      </c>
    </row>
    <row r="157" spans="1:23" s="644" customFormat="1" x14ac:dyDescent="0.25">
      <c r="A157" s="667">
        <f t="shared" si="2"/>
        <v>-114</v>
      </c>
      <c r="B157" s="657" t="s">
        <v>1119</v>
      </c>
      <c r="C157" s="669"/>
      <c r="D157" s="665" t="s">
        <v>1119</v>
      </c>
      <c r="E157" s="671" t="s">
        <v>1119</v>
      </c>
      <c r="F157" s="671" t="s">
        <v>1119</v>
      </c>
      <c r="G157" s="661" t="s">
        <v>1119</v>
      </c>
      <c r="H157" s="662" t="s">
        <v>1119</v>
      </c>
      <c r="I157" s="672" t="s">
        <v>1119</v>
      </c>
      <c r="J157" s="670"/>
      <c r="K157" s="665" t="s">
        <v>1119</v>
      </c>
      <c r="L157" s="671" t="s">
        <v>1119</v>
      </c>
      <c r="M157" s="671" t="s">
        <v>1119</v>
      </c>
      <c r="N157" s="661" t="s">
        <v>1119</v>
      </c>
      <c r="O157" s="662" t="s">
        <v>1119</v>
      </c>
      <c r="P157" s="672" t="s">
        <v>1119</v>
      </c>
      <c r="Q157" s="670"/>
      <c r="R157" s="665" t="s">
        <v>1119</v>
      </c>
      <c r="S157" s="671" t="s">
        <v>1119</v>
      </c>
      <c r="T157" s="671" t="s">
        <v>1119</v>
      </c>
      <c r="U157" s="661" t="s">
        <v>1119</v>
      </c>
      <c r="V157" s="662" t="s">
        <v>1119</v>
      </c>
      <c r="W157" s="672" t="s">
        <v>1119</v>
      </c>
    </row>
    <row r="158" spans="1:23" s="644" customFormat="1" x14ac:dyDescent="0.25">
      <c r="A158" s="667">
        <f t="shared" si="2"/>
        <v>-115</v>
      </c>
      <c r="B158" s="657" t="s">
        <v>1119</v>
      </c>
      <c r="C158" s="669"/>
      <c r="D158" s="665" t="s">
        <v>1119</v>
      </c>
      <c r="E158" s="671" t="s">
        <v>1119</v>
      </c>
      <c r="F158" s="671" t="s">
        <v>1119</v>
      </c>
      <c r="G158" s="661" t="s">
        <v>1119</v>
      </c>
      <c r="H158" s="662" t="s">
        <v>1119</v>
      </c>
      <c r="I158" s="672" t="s">
        <v>1119</v>
      </c>
      <c r="J158" s="670"/>
      <c r="K158" s="665" t="s">
        <v>1119</v>
      </c>
      <c r="L158" s="671" t="s">
        <v>1119</v>
      </c>
      <c r="M158" s="671" t="s">
        <v>1119</v>
      </c>
      <c r="N158" s="661" t="s">
        <v>1119</v>
      </c>
      <c r="O158" s="662" t="s">
        <v>1119</v>
      </c>
      <c r="P158" s="672" t="s">
        <v>1119</v>
      </c>
      <c r="Q158" s="670"/>
      <c r="R158" s="665" t="s">
        <v>1119</v>
      </c>
      <c r="S158" s="671" t="s">
        <v>1119</v>
      </c>
      <c r="T158" s="671" t="s">
        <v>1119</v>
      </c>
      <c r="U158" s="661" t="s">
        <v>1119</v>
      </c>
      <c r="V158" s="662" t="s">
        <v>1119</v>
      </c>
      <c r="W158" s="672" t="s">
        <v>1119</v>
      </c>
    </row>
    <row r="159" spans="1:23" s="644" customFormat="1" x14ac:dyDescent="0.25">
      <c r="A159" s="667">
        <f t="shared" si="2"/>
        <v>-116</v>
      </c>
      <c r="B159" s="657" t="s">
        <v>1119</v>
      </c>
      <c r="C159" s="669"/>
      <c r="D159" s="665" t="s">
        <v>1119</v>
      </c>
      <c r="E159" s="671" t="s">
        <v>1119</v>
      </c>
      <c r="F159" s="671" t="s">
        <v>1119</v>
      </c>
      <c r="G159" s="661" t="s">
        <v>1119</v>
      </c>
      <c r="H159" s="662" t="s">
        <v>1119</v>
      </c>
      <c r="I159" s="672" t="s">
        <v>1119</v>
      </c>
      <c r="J159" s="670"/>
      <c r="K159" s="665" t="s">
        <v>1119</v>
      </c>
      <c r="L159" s="671" t="s">
        <v>1119</v>
      </c>
      <c r="M159" s="671" t="s">
        <v>1119</v>
      </c>
      <c r="N159" s="661" t="s">
        <v>1119</v>
      </c>
      <c r="O159" s="662" t="s">
        <v>1119</v>
      </c>
      <c r="P159" s="672" t="s">
        <v>1119</v>
      </c>
      <c r="Q159" s="670"/>
      <c r="R159" s="665" t="s">
        <v>1119</v>
      </c>
      <c r="S159" s="671" t="s">
        <v>1119</v>
      </c>
      <c r="T159" s="671" t="s">
        <v>1119</v>
      </c>
      <c r="U159" s="661" t="s">
        <v>1119</v>
      </c>
      <c r="V159" s="662" t="s">
        <v>1119</v>
      </c>
      <c r="W159" s="672" t="s">
        <v>1119</v>
      </c>
    </row>
    <row r="160" spans="1:23" s="644" customFormat="1" x14ac:dyDescent="0.25">
      <c r="A160" s="667">
        <f t="shared" si="2"/>
        <v>-117</v>
      </c>
      <c r="B160" s="657" t="s">
        <v>1119</v>
      </c>
      <c r="C160" s="669"/>
      <c r="D160" s="665" t="s">
        <v>1119</v>
      </c>
      <c r="E160" s="671" t="s">
        <v>1119</v>
      </c>
      <c r="F160" s="671" t="s">
        <v>1119</v>
      </c>
      <c r="G160" s="661" t="s">
        <v>1119</v>
      </c>
      <c r="H160" s="662" t="s">
        <v>1119</v>
      </c>
      <c r="I160" s="672" t="s">
        <v>1119</v>
      </c>
      <c r="J160" s="670"/>
      <c r="K160" s="665" t="s">
        <v>1119</v>
      </c>
      <c r="L160" s="671" t="s">
        <v>1119</v>
      </c>
      <c r="M160" s="671" t="s">
        <v>1119</v>
      </c>
      <c r="N160" s="661" t="s">
        <v>1119</v>
      </c>
      <c r="O160" s="662" t="s">
        <v>1119</v>
      </c>
      <c r="P160" s="672" t="s">
        <v>1119</v>
      </c>
      <c r="Q160" s="670"/>
      <c r="R160" s="665" t="s">
        <v>1119</v>
      </c>
      <c r="S160" s="671" t="s">
        <v>1119</v>
      </c>
      <c r="T160" s="671" t="s">
        <v>1119</v>
      </c>
      <c r="U160" s="661" t="s">
        <v>1119</v>
      </c>
      <c r="V160" s="662" t="s">
        <v>1119</v>
      </c>
      <c r="W160" s="672" t="s">
        <v>1119</v>
      </c>
    </row>
    <row r="161" spans="1:23" s="644" customFormat="1" x14ac:dyDescent="0.25">
      <c r="A161" s="667">
        <f t="shared" si="2"/>
        <v>-118</v>
      </c>
      <c r="B161" s="657" t="s">
        <v>1119</v>
      </c>
      <c r="C161" s="669"/>
      <c r="D161" s="665" t="s">
        <v>1119</v>
      </c>
      <c r="E161" s="671" t="s">
        <v>1119</v>
      </c>
      <c r="F161" s="671" t="s">
        <v>1119</v>
      </c>
      <c r="G161" s="661" t="s">
        <v>1119</v>
      </c>
      <c r="H161" s="662" t="s">
        <v>1119</v>
      </c>
      <c r="I161" s="672" t="s">
        <v>1119</v>
      </c>
      <c r="J161" s="670"/>
      <c r="K161" s="665" t="s">
        <v>1119</v>
      </c>
      <c r="L161" s="671" t="s">
        <v>1119</v>
      </c>
      <c r="M161" s="671" t="s">
        <v>1119</v>
      </c>
      <c r="N161" s="661" t="s">
        <v>1119</v>
      </c>
      <c r="O161" s="662" t="s">
        <v>1119</v>
      </c>
      <c r="P161" s="672" t="s">
        <v>1119</v>
      </c>
      <c r="Q161" s="670"/>
      <c r="R161" s="665" t="s">
        <v>1119</v>
      </c>
      <c r="S161" s="671" t="s">
        <v>1119</v>
      </c>
      <c r="T161" s="671" t="s">
        <v>1119</v>
      </c>
      <c r="U161" s="661" t="s">
        <v>1119</v>
      </c>
      <c r="V161" s="662" t="s">
        <v>1119</v>
      </c>
      <c r="W161" s="672" t="s">
        <v>1119</v>
      </c>
    </row>
    <row r="162" spans="1:23" s="644" customFormat="1" x14ac:dyDescent="0.25">
      <c r="A162" s="667">
        <f t="shared" si="2"/>
        <v>-119</v>
      </c>
      <c r="B162" s="657" t="s">
        <v>1119</v>
      </c>
      <c r="C162" s="669"/>
      <c r="D162" s="665" t="s">
        <v>1119</v>
      </c>
      <c r="E162" s="671" t="s">
        <v>1119</v>
      </c>
      <c r="F162" s="671" t="s">
        <v>1119</v>
      </c>
      <c r="G162" s="661" t="s">
        <v>1119</v>
      </c>
      <c r="H162" s="662" t="s">
        <v>1119</v>
      </c>
      <c r="I162" s="672" t="s">
        <v>1119</v>
      </c>
      <c r="J162" s="670"/>
      <c r="K162" s="665" t="s">
        <v>1119</v>
      </c>
      <c r="L162" s="671" t="s">
        <v>1119</v>
      </c>
      <c r="M162" s="671" t="s">
        <v>1119</v>
      </c>
      <c r="N162" s="661" t="s">
        <v>1119</v>
      </c>
      <c r="O162" s="662" t="s">
        <v>1119</v>
      </c>
      <c r="P162" s="672" t="s">
        <v>1119</v>
      </c>
      <c r="Q162" s="670"/>
      <c r="R162" s="665" t="s">
        <v>1119</v>
      </c>
      <c r="S162" s="671" t="s">
        <v>1119</v>
      </c>
      <c r="T162" s="671" t="s">
        <v>1119</v>
      </c>
      <c r="U162" s="661" t="s">
        <v>1119</v>
      </c>
      <c r="V162" s="662" t="s">
        <v>1119</v>
      </c>
      <c r="W162" s="672" t="s">
        <v>1119</v>
      </c>
    </row>
    <row r="163" spans="1:23" s="644" customFormat="1" x14ac:dyDescent="0.25">
      <c r="A163" s="667">
        <f t="shared" si="2"/>
        <v>-120</v>
      </c>
      <c r="B163" s="657" t="s">
        <v>1119</v>
      </c>
      <c r="C163" s="669"/>
      <c r="D163" s="665" t="s">
        <v>1119</v>
      </c>
      <c r="E163" s="671" t="s">
        <v>1119</v>
      </c>
      <c r="F163" s="671" t="s">
        <v>1119</v>
      </c>
      <c r="G163" s="661" t="s">
        <v>1119</v>
      </c>
      <c r="H163" s="662" t="s">
        <v>1119</v>
      </c>
      <c r="I163" s="672" t="s">
        <v>1119</v>
      </c>
      <c r="J163" s="670"/>
      <c r="K163" s="665" t="s">
        <v>1119</v>
      </c>
      <c r="L163" s="671" t="s">
        <v>1119</v>
      </c>
      <c r="M163" s="671" t="s">
        <v>1119</v>
      </c>
      <c r="N163" s="661" t="s">
        <v>1119</v>
      </c>
      <c r="O163" s="662" t="s">
        <v>1119</v>
      </c>
      <c r="P163" s="672" t="s">
        <v>1119</v>
      </c>
      <c r="Q163" s="670"/>
      <c r="R163" s="665" t="s">
        <v>1119</v>
      </c>
      <c r="S163" s="671" t="s">
        <v>1119</v>
      </c>
      <c r="T163" s="671" t="s">
        <v>1119</v>
      </c>
      <c r="U163" s="661" t="s">
        <v>1119</v>
      </c>
      <c r="V163" s="662" t="s">
        <v>1119</v>
      </c>
      <c r="W163" s="672" t="s">
        <v>1119</v>
      </c>
    </row>
    <row r="164" spans="1:23" s="644" customFormat="1" x14ac:dyDescent="0.25">
      <c r="A164" s="667">
        <f t="shared" si="2"/>
        <v>-121</v>
      </c>
      <c r="B164" s="657" t="s">
        <v>1119</v>
      </c>
      <c r="C164" s="669"/>
      <c r="D164" s="665" t="s">
        <v>1119</v>
      </c>
      <c r="E164" s="671" t="s">
        <v>1119</v>
      </c>
      <c r="F164" s="671" t="s">
        <v>1119</v>
      </c>
      <c r="G164" s="661" t="s">
        <v>1119</v>
      </c>
      <c r="H164" s="662" t="s">
        <v>1119</v>
      </c>
      <c r="I164" s="672" t="s">
        <v>1119</v>
      </c>
      <c r="J164" s="670"/>
      <c r="K164" s="665" t="s">
        <v>1119</v>
      </c>
      <c r="L164" s="671" t="s">
        <v>1119</v>
      </c>
      <c r="M164" s="671" t="s">
        <v>1119</v>
      </c>
      <c r="N164" s="661" t="s">
        <v>1119</v>
      </c>
      <c r="O164" s="662" t="s">
        <v>1119</v>
      </c>
      <c r="P164" s="672" t="s">
        <v>1119</v>
      </c>
      <c r="Q164" s="670"/>
      <c r="R164" s="665" t="s">
        <v>1119</v>
      </c>
      <c r="S164" s="671" t="s">
        <v>1119</v>
      </c>
      <c r="T164" s="671" t="s">
        <v>1119</v>
      </c>
      <c r="U164" s="661" t="s">
        <v>1119</v>
      </c>
      <c r="V164" s="662" t="s">
        <v>1119</v>
      </c>
      <c r="W164" s="672" t="s">
        <v>1119</v>
      </c>
    </row>
    <row r="165" spans="1:23" x14ac:dyDescent="0.25">
      <c r="A165" s="667">
        <f t="shared" si="2"/>
        <v>-122</v>
      </c>
      <c r="B165" s="657" t="s">
        <v>1119</v>
      </c>
      <c r="C165" s="669"/>
      <c r="D165" s="665" t="s">
        <v>1119</v>
      </c>
      <c r="E165" s="671" t="s">
        <v>1119</v>
      </c>
      <c r="F165" s="671" t="s">
        <v>1119</v>
      </c>
      <c r="G165" s="661" t="s">
        <v>1119</v>
      </c>
      <c r="H165" s="662" t="s">
        <v>1119</v>
      </c>
      <c r="I165" s="672" t="s">
        <v>1119</v>
      </c>
      <c r="J165" s="670"/>
      <c r="K165" s="665" t="s">
        <v>1119</v>
      </c>
      <c r="L165" s="671" t="s">
        <v>1119</v>
      </c>
      <c r="M165" s="671" t="s">
        <v>1119</v>
      </c>
      <c r="N165" s="661" t="s">
        <v>1119</v>
      </c>
      <c r="O165" s="662" t="s">
        <v>1119</v>
      </c>
      <c r="P165" s="672" t="s">
        <v>1119</v>
      </c>
      <c r="Q165" s="670"/>
      <c r="R165" s="665" t="s">
        <v>1119</v>
      </c>
      <c r="S165" s="671" t="s">
        <v>1119</v>
      </c>
      <c r="T165" s="671" t="s">
        <v>1119</v>
      </c>
      <c r="U165" s="661" t="s">
        <v>1119</v>
      </c>
      <c r="V165" s="662" t="s">
        <v>1119</v>
      </c>
      <c r="W165" s="672" t="s">
        <v>1119</v>
      </c>
    </row>
    <row r="166" spans="1:23" x14ac:dyDescent="0.25">
      <c r="A166" s="667">
        <f t="shared" si="2"/>
        <v>-123</v>
      </c>
      <c r="B166" s="657" t="s">
        <v>1119</v>
      </c>
      <c r="C166" s="669"/>
      <c r="D166" s="665" t="s">
        <v>1119</v>
      </c>
      <c r="E166" s="671" t="s">
        <v>1119</v>
      </c>
      <c r="F166" s="671" t="s">
        <v>1119</v>
      </c>
      <c r="G166" s="661" t="s">
        <v>1119</v>
      </c>
      <c r="H166" s="662" t="s">
        <v>1119</v>
      </c>
      <c r="I166" s="672" t="s">
        <v>1119</v>
      </c>
      <c r="J166" s="670"/>
      <c r="K166" s="665" t="s">
        <v>1119</v>
      </c>
      <c r="L166" s="671" t="s">
        <v>1119</v>
      </c>
      <c r="M166" s="671" t="s">
        <v>1119</v>
      </c>
      <c r="N166" s="661" t="s">
        <v>1119</v>
      </c>
      <c r="O166" s="662" t="s">
        <v>1119</v>
      </c>
      <c r="P166" s="672" t="s">
        <v>1119</v>
      </c>
      <c r="Q166" s="670"/>
      <c r="R166" s="665" t="s">
        <v>1119</v>
      </c>
      <c r="S166" s="671" t="s">
        <v>1119</v>
      </c>
      <c r="T166" s="671" t="s">
        <v>1119</v>
      </c>
      <c r="U166" s="661" t="s">
        <v>1119</v>
      </c>
      <c r="V166" s="662" t="s">
        <v>1119</v>
      </c>
      <c r="W166" s="672" t="s">
        <v>1119</v>
      </c>
    </row>
    <row r="167" spans="1:23" x14ac:dyDescent="0.25">
      <c r="A167" s="667">
        <f t="shared" si="2"/>
        <v>-124</v>
      </c>
      <c r="B167" s="657" t="s">
        <v>1119</v>
      </c>
      <c r="C167" s="669"/>
      <c r="D167" s="665" t="s">
        <v>1119</v>
      </c>
      <c r="E167" s="671" t="s">
        <v>1119</v>
      </c>
      <c r="F167" s="671" t="s">
        <v>1119</v>
      </c>
      <c r="G167" s="661" t="s">
        <v>1119</v>
      </c>
      <c r="H167" s="662" t="s">
        <v>1119</v>
      </c>
      <c r="I167" s="672" t="s">
        <v>1119</v>
      </c>
      <c r="J167" s="670"/>
      <c r="K167" s="665" t="s">
        <v>1119</v>
      </c>
      <c r="L167" s="671" t="s">
        <v>1119</v>
      </c>
      <c r="M167" s="671" t="s">
        <v>1119</v>
      </c>
      <c r="N167" s="661" t="s">
        <v>1119</v>
      </c>
      <c r="O167" s="662" t="s">
        <v>1119</v>
      </c>
      <c r="P167" s="672" t="s">
        <v>1119</v>
      </c>
      <c r="Q167" s="670"/>
      <c r="R167" s="665" t="s">
        <v>1119</v>
      </c>
      <c r="S167" s="671" t="s">
        <v>1119</v>
      </c>
      <c r="T167" s="671" t="s">
        <v>1119</v>
      </c>
      <c r="U167" s="661" t="s">
        <v>1119</v>
      </c>
      <c r="V167" s="662" t="s">
        <v>1119</v>
      </c>
      <c r="W167" s="672" t="s">
        <v>1119</v>
      </c>
    </row>
    <row r="168" spans="1:23" x14ac:dyDescent="0.25">
      <c r="A168" s="667">
        <f t="shared" si="2"/>
        <v>-125</v>
      </c>
      <c r="B168" s="657" t="s">
        <v>1119</v>
      </c>
      <c r="C168" s="669"/>
      <c r="D168" s="665" t="s">
        <v>1119</v>
      </c>
      <c r="E168" s="671" t="s">
        <v>1119</v>
      </c>
      <c r="F168" s="671" t="s">
        <v>1119</v>
      </c>
      <c r="G168" s="661" t="s">
        <v>1119</v>
      </c>
      <c r="H168" s="662" t="s">
        <v>1119</v>
      </c>
      <c r="I168" s="672" t="s">
        <v>1119</v>
      </c>
      <c r="J168" s="670"/>
      <c r="K168" s="665" t="s">
        <v>1119</v>
      </c>
      <c r="L168" s="671" t="s">
        <v>1119</v>
      </c>
      <c r="M168" s="671" t="s">
        <v>1119</v>
      </c>
      <c r="N168" s="661" t="s">
        <v>1119</v>
      </c>
      <c r="O168" s="662" t="s">
        <v>1119</v>
      </c>
      <c r="P168" s="672" t="s">
        <v>1119</v>
      </c>
      <c r="Q168" s="670"/>
      <c r="R168" s="665" t="s">
        <v>1119</v>
      </c>
      <c r="S168" s="671" t="s">
        <v>1119</v>
      </c>
      <c r="T168" s="671" t="s">
        <v>1119</v>
      </c>
      <c r="U168" s="661" t="s">
        <v>1119</v>
      </c>
      <c r="V168" s="662" t="s">
        <v>1119</v>
      </c>
      <c r="W168" s="672" t="s">
        <v>1119</v>
      </c>
    </row>
    <row r="169" spans="1:23" x14ac:dyDescent="0.25">
      <c r="A169" s="667">
        <f t="shared" si="2"/>
        <v>-126</v>
      </c>
      <c r="B169" s="657" t="s">
        <v>1119</v>
      </c>
      <c r="C169" s="669"/>
      <c r="D169" s="665" t="s">
        <v>1119</v>
      </c>
      <c r="E169" s="671" t="s">
        <v>1119</v>
      </c>
      <c r="F169" s="671" t="s">
        <v>1119</v>
      </c>
      <c r="G169" s="661" t="s">
        <v>1119</v>
      </c>
      <c r="H169" s="662" t="s">
        <v>1119</v>
      </c>
      <c r="I169" s="672" t="s">
        <v>1119</v>
      </c>
      <c r="J169" s="670"/>
      <c r="K169" s="665" t="s">
        <v>1119</v>
      </c>
      <c r="L169" s="671" t="s">
        <v>1119</v>
      </c>
      <c r="M169" s="671" t="s">
        <v>1119</v>
      </c>
      <c r="N169" s="661" t="s">
        <v>1119</v>
      </c>
      <c r="O169" s="662" t="s">
        <v>1119</v>
      </c>
      <c r="P169" s="672" t="s">
        <v>1119</v>
      </c>
      <c r="Q169" s="670"/>
      <c r="R169" s="665" t="s">
        <v>1119</v>
      </c>
      <c r="S169" s="671" t="s">
        <v>1119</v>
      </c>
      <c r="T169" s="671" t="s">
        <v>1119</v>
      </c>
      <c r="U169" s="661" t="s">
        <v>1119</v>
      </c>
      <c r="V169" s="662" t="s">
        <v>1119</v>
      </c>
      <c r="W169" s="672" t="s">
        <v>1119</v>
      </c>
    </row>
    <row r="170" spans="1:23" x14ac:dyDescent="0.25">
      <c r="A170" s="667">
        <f t="shared" si="2"/>
        <v>-127</v>
      </c>
      <c r="B170" s="657" t="s">
        <v>1119</v>
      </c>
      <c r="C170" s="669"/>
      <c r="D170" s="665" t="s">
        <v>1119</v>
      </c>
      <c r="E170" s="671" t="s">
        <v>1119</v>
      </c>
      <c r="F170" s="671" t="s">
        <v>1119</v>
      </c>
      <c r="G170" s="661" t="s">
        <v>1119</v>
      </c>
      <c r="H170" s="662" t="s">
        <v>1119</v>
      </c>
      <c r="I170" s="672" t="s">
        <v>1119</v>
      </c>
      <c r="J170" s="670"/>
      <c r="K170" s="665" t="s">
        <v>1119</v>
      </c>
      <c r="L170" s="671" t="s">
        <v>1119</v>
      </c>
      <c r="M170" s="671" t="s">
        <v>1119</v>
      </c>
      <c r="N170" s="661" t="s">
        <v>1119</v>
      </c>
      <c r="O170" s="662" t="s">
        <v>1119</v>
      </c>
      <c r="P170" s="672" t="s">
        <v>1119</v>
      </c>
      <c r="Q170" s="670"/>
      <c r="R170" s="665" t="s">
        <v>1119</v>
      </c>
      <c r="S170" s="671" t="s">
        <v>1119</v>
      </c>
      <c r="T170" s="671" t="s">
        <v>1119</v>
      </c>
      <c r="U170" s="661" t="s">
        <v>1119</v>
      </c>
      <c r="V170" s="662" t="s">
        <v>1119</v>
      </c>
      <c r="W170" s="672" t="s">
        <v>1119</v>
      </c>
    </row>
    <row r="171" spans="1:23" x14ac:dyDescent="0.25">
      <c r="A171" s="667">
        <f t="shared" si="2"/>
        <v>-128</v>
      </c>
      <c r="B171" s="657" t="s">
        <v>1119</v>
      </c>
      <c r="C171" s="669"/>
      <c r="D171" s="665" t="s">
        <v>1119</v>
      </c>
      <c r="E171" s="671" t="s">
        <v>1119</v>
      </c>
      <c r="F171" s="671" t="s">
        <v>1119</v>
      </c>
      <c r="G171" s="661" t="s">
        <v>1119</v>
      </c>
      <c r="H171" s="662" t="s">
        <v>1119</v>
      </c>
      <c r="I171" s="672" t="s">
        <v>1119</v>
      </c>
      <c r="J171" s="670"/>
      <c r="K171" s="665" t="s">
        <v>1119</v>
      </c>
      <c r="L171" s="671" t="s">
        <v>1119</v>
      </c>
      <c r="M171" s="671" t="s">
        <v>1119</v>
      </c>
      <c r="N171" s="661" t="s">
        <v>1119</v>
      </c>
      <c r="O171" s="662" t="s">
        <v>1119</v>
      </c>
      <c r="P171" s="672" t="s">
        <v>1119</v>
      </c>
      <c r="Q171" s="670"/>
      <c r="R171" s="665" t="s">
        <v>1119</v>
      </c>
      <c r="S171" s="671" t="s">
        <v>1119</v>
      </c>
      <c r="T171" s="671" t="s">
        <v>1119</v>
      </c>
      <c r="U171" s="661" t="s">
        <v>1119</v>
      </c>
      <c r="V171" s="662" t="s">
        <v>1119</v>
      </c>
      <c r="W171" s="672" t="s">
        <v>1119</v>
      </c>
    </row>
    <row r="172" spans="1:23" x14ac:dyDescent="0.25">
      <c r="A172" s="667">
        <f t="shared" si="2"/>
        <v>-129</v>
      </c>
      <c r="B172" s="657" t="s">
        <v>1119</v>
      </c>
      <c r="C172" s="669"/>
      <c r="D172" s="665" t="s">
        <v>1119</v>
      </c>
      <c r="E172" s="671" t="s">
        <v>1119</v>
      </c>
      <c r="F172" s="671" t="s">
        <v>1119</v>
      </c>
      <c r="G172" s="661" t="s">
        <v>1119</v>
      </c>
      <c r="H172" s="662" t="s">
        <v>1119</v>
      </c>
      <c r="I172" s="672" t="s">
        <v>1119</v>
      </c>
      <c r="J172" s="670"/>
      <c r="K172" s="665" t="s">
        <v>1119</v>
      </c>
      <c r="L172" s="671" t="s">
        <v>1119</v>
      </c>
      <c r="M172" s="671" t="s">
        <v>1119</v>
      </c>
      <c r="N172" s="661" t="s">
        <v>1119</v>
      </c>
      <c r="O172" s="662" t="s">
        <v>1119</v>
      </c>
      <c r="P172" s="672" t="s">
        <v>1119</v>
      </c>
      <c r="Q172" s="670"/>
      <c r="R172" s="665" t="s">
        <v>1119</v>
      </c>
      <c r="S172" s="671" t="s">
        <v>1119</v>
      </c>
      <c r="T172" s="671" t="s">
        <v>1119</v>
      </c>
      <c r="U172" s="661" t="s">
        <v>1119</v>
      </c>
      <c r="V172" s="662" t="s">
        <v>1119</v>
      </c>
      <c r="W172" s="672" t="s">
        <v>1119</v>
      </c>
    </row>
    <row r="173" spans="1:23" x14ac:dyDescent="0.25">
      <c r="A173" s="667">
        <f t="shared" si="2"/>
        <v>-130</v>
      </c>
      <c r="B173" s="657" t="s">
        <v>1119</v>
      </c>
      <c r="C173" s="669"/>
      <c r="D173" s="665" t="s">
        <v>1119</v>
      </c>
      <c r="E173" s="671" t="s">
        <v>1119</v>
      </c>
      <c r="F173" s="671" t="s">
        <v>1119</v>
      </c>
      <c r="G173" s="661" t="s">
        <v>1119</v>
      </c>
      <c r="H173" s="662" t="s">
        <v>1119</v>
      </c>
      <c r="I173" s="672" t="s">
        <v>1119</v>
      </c>
      <c r="J173" s="670"/>
      <c r="K173" s="665" t="s">
        <v>1119</v>
      </c>
      <c r="L173" s="671" t="s">
        <v>1119</v>
      </c>
      <c r="M173" s="671" t="s">
        <v>1119</v>
      </c>
      <c r="N173" s="661" t="s">
        <v>1119</v>
      </c>
      <c r="O173" s="662" t="s">
        <v>1119</v>
      </c>
      <c r="P173" s="672" t="s">
        <v>1119</v>
      </c>
      <c r="Q173" s="670"/>
      <c r="R173" s="665" t="s">
        <v>1119</v>
      </c>
      <c r="S173" s="671" t="s">
        <v>1119</v>
      </c>
      <c r="T173" s="671" t="s">
        <v>1119</v>
      </c>
      <c r="U173" s="661" t="s">
        <v>1119</v>
      </c>
      <c r="V173" s="662" t="s">
        <v>1119</v>
      </c>
      <c r="W173" s="672" t="s">
        <v>1119</v>
      </c>
    </row>
    <row r="174" spans="1:23" x14ac:dyDescent="0.25">
      <c r="A174" s="667">
        <f t="shared" si="2"/>
        <v>-131</v>
      </c>
      <c r="B174" s="657" t="s">
        <v>1119</v>
      </c>
      <c r="C174" s="669"/>
      <c r="D174" s="665" t="s">
        <v>1119</v>
      </c>
      <c r="E174" s="671" t="s">
        <v>1119</v>
      </c>
      <c r="F174" s="671" t="s">
        <v>1119</v>
      </c>
      <c r="G174" s="661" t="s">
        <v>1119</v>
      </c>
      <c r="H174" s="662" t="s">
        <v>1119</v>
      </c>
      <c r="I174" s="672" t="s">
        <v>1119</v>
      </c>
      <c r="J174" s="670"/>
      <c r="K174" s="665" t="s">
        <v>1119</v>
      </c>
      <c r="L174" s="671" t="s">
        <v>1119</v>
      </c>
      <c r="M174" s="671" t="s">
        <v>1119</v>
      </c>
      <c r="N174" s="661" t="s">
        <v>1119</v>
      </c>
      <c r="O174" s="662" t="s">
        <v>1119</v>
      </c>
      <c r="P174" s="672" t="s">
        <v>1119</v>
      </c>
      <c r="Q174" s="670"/>
      <c r="R174" s="665" t="s">
        <v>1119</v>
      </c>
      <c r="S174" s="671" t="s">
        <v>1119</v>
      </c>
      <c r="T174" s="671" t="s">
        <v>1119</v>
      </c>
      <c r="U174" s="661" t="s">
        <v>1119</v>
      </c>
      <c r="V174" s="662" t="s">
        <v>1119</v>
      </c>
      <c r="W174" s="672" t="s">
        <v>1119</v>
      </c>
    </row>
    <row r="175" spans="1:23" x14ac:dyDescent="0.25">
      <c r="A175" s="667">
        <f t="shared" si="2"/>
        <v>-132</v>
      </c>
      <c r="B175" s="657" t="s">
        <v>1119</v>
      </c>
      <c r="C175" s="669"/>
      <c r="D175" s="665" t="s">
        <v>1119</v>
      </c>
      <c r="E175" s="671" t="s">
        <v>1119</v>
      </c>
      <c r="F175" s="671" t="s">
        <v>1119</v>
      </c>
      <c r="G175" s="661" t="s">
        <v>1119</v>
      </c>
      <c r="H175" s="662" t="s">
        <v>1119</v>
      </c>
      <c r="I175" s="672" t="s">
        <v>1119</v>
      </c>
      <c r="J175" s="670"/>
      <c r="K175" s="665" t="s">
        <v>1119</v>
      </c>
      <c r="L175" s="671" t="s">
        <v>1119</v>
      </c>
      <c r="M175" s="671" t="s">
        <v>1119</v>
      </c>
      <c r="N175" s="661" t="s">
        <v>1119</v>
      </c>
      <c r="O175" s="662" t="s">
        <v>1119</v>
      </c>
      <c r="P175" s="672" t="s">
        <v>1119</v>
      </c>
      <c r="Q175" s="670"/>
      <c r="R175" s="665" t="s">
        <v>1119</v>
      </c>
      <c r="S175" s="671" t="s">
        <v>1119</v>
      </c>
      <c r="T175" s="671" t="s">
        <v>1119</v>
      </c>
      <c r="U175" s="661" t="s">
        <v>1119</v>
      </c>
      <c r="V175" s="662" t="s">
        <v>1119</v>
      </c>
      <c r="W175" s="672" t="s">
        <v>1119</v>
      </c>
    </row>
    <row r="176" spans="1:23" x14ac:dyDescent="0.25">
      <c r="A176" s="667">
        <f t="shared" si="2"/>
        <v>-133</v>
      </c>
      <c r="B176" s="657" t="s">
        <v>1119</v>
      </c>
      <c r="C176" s="669"/>
      <c r="D176" s="665" t="s">
        <v>1119</v>
      </c>
      <c r="E176" s="671" t="s">
        <v>1119</v>
      </c>
      <c r="F176" s="671" t="s">
        <v>1119</v>
      </c>
      <c r="G176" s="661" t="s">
        <v>1119</v>
      </c>
      <c r="H176" s="662" t="s">
        <v>1119</v>
      </c>
      <c r="I176" s="672" t="s">
        <v>1119</v>
      </c>
      <c r="J176" s="670"/>
      <c r="K176" s="665" t="s">
        <v>1119</v>
      </c>
      <c r="L176" s="671" t="s">
        <v>1119</v>
      </c>
      <c r="M176" s="671" t="s">
        <v>1119</v>
      </c>
      <c r="N176" s="661" t="s">
        <v>1119</v>
      </c>
      <c r="O176" s="662" t="s">
        <v>1119</v>
      </c>
      <c r="P176" s="672" t="s">
        <v>1119</v>
      </c>
      <c r="Q176" s="670"/>
      <c r="R176" s="665" t="s">
        <v>1119</v>
      </c>
      <c r="S176" s="671" t="s">
        <v>1119</v>
      </c>
      <c r="T176" s="671" t="s">
        <v>1119</v>
      </c>
      <c r="U176" s="661" t="s">
        <v>1119</v>
      </c>
      <c r="V176" s="662" t="s">
        <v>1119</v>
      </c>
      <c r="W176" s="672" t="s">
        <v>1119</v>
      </c>
    </row>
    <row r="177" spans="1:23" x14ac:dyDescent="0.25">
      <c r="A177" s="667">
        <f t="shared" si="2"/>
        <v>-134</v>
      </c>
      <c r="B177" s="657" t="s">
        <v>1119</v>
      </c>
      <c r="C177" s="669"/>
      <c r="D177" s="665" t="s">
        <v>1119</v>
      </c>
      <c r="E177" s="671" t="s">
        <v>1119</v>
      </c>
      <c r="F177" s="671" t="s">
        <v>1119</v>
      </c>
      <c r="G177" s="661" t="s">
        <v>1119</v>
      </c>
      <c r="H177" s="662" t="s">
        <v>1119</v>
      </c>
      <c r="I177" s="672" t="s">
        <v>1119</v>
      </c>
      <c r="J177" s="670"/>
      <c r="K177" s="665" t="s">
        <v>1119</v>
      </c>
      <c r="L177" s="671" t="s">
        <v>1119</v>
      </c>
      <c r="M177" s="671" t="s">
        <v>1119</v>
      </c>
      <c r="N177" s="661" t="s">
        <v>1119</v>
      </c>
      <c r="O177" s="662" t="s">
        <v>1119</v>
      </c>
      <c r="P177" s="672" t="s">
        <v>1119</v>
      </c>
      <c r="Q177" s="670"/>
      <c r="R177" s="665" t="s">
        <v>1119</v>
      </c>
      <c r="S177" s="671" t="s">
        <v>1119</v>
      </c>
      <c r="T177" s="671" t="s">
        <v>1119</v>
      </c>
      <c r="U177" s="661" t="s">
        <v>1119</v>
      </c>
      <c r="V177" s="662" t="s">
        <v>1119</v>
      </c>
      <c r="W177" s="672" t="s">
        <v>1119</v>
      </c>
    </row>
    <row r="178" spans="1:23" x14ac:dyDescent="0.25">
      <c r="A178" s="667">
        <f t="shared" si="2"/>
        <v>-135</v>
      </c>
      <c r="B178" s="657" t="s">
        <v>1119</v>
      </c>
      <c r="C178" s="669"/>
      <c r="D178" s="665" t="s">
        <v>1119</v>
      </c>
      <c r="E178" s="671" t="s">
        <v>1119</v>
      </c>
      <c r="F178" s="671" t="s">
        <v>1119</v>
      </c>
      <c r="G178" s="661" t="s">
        <v>1119</v>
      </c>
      <c r="H178" s="662" t="s">
        <v>1119</v>
      </c>
      <c r="I178" s="672" t="s">
        <v>1119</v>
      </c>
      <c r="J178" s="670"/>
      <c r="K178" s="665" t="s">
        <v>1119</v>
      </c>
      <c r="L178" s="671" t="s">
        <v>1119</v>
      </c>
      <c r="M178" s="671" t="s">
        <v>1119</v>
      </c>
      <c r="N178" s="661" t="s">
        <v>1119</v>
      </c>
      <c r="O178" s="662" t="s">
        <v>1119</v>
      </c>
      <c r="P178" s="672" t="s">
        <v>1119</v>
      </c>
      <c r="Q178" s="670"/>
      <c r="R178" s="665" t="s">
        <v>1119</v>
      </c>
      <c r="S178" s="671" t="s">
        <v>1119</v>
      </c>
      <c r="T178" s="671" t="s">
        <v>1119</v>
      </c>
      <c r="U178" s="661" t="s">
        <v>1119</v>
      </c>
      <c r="V178" s="662" t="s">
        <v>1119</v>
      </c>
      <c r="W178" s="672" t="s">
        <v>1119</v>
      </c>
    </row>
    <row r="179" spans="1:23" x14ac:dyDescent="0.25">
      <c r="A179" s="667">
        <f t="shared" si="2"/>
        <v>-136</v>
      </c>
      <c r="B179" s="657" t="s">
        <v>1119</v>
      </c>
      <c r="C179" s="669"/>
      <c r="D179" s="665" t="s">
        <v>1119</v>
      </c>
      <c r="E179" s="671" t="s">
        <v>1119</v>
      </c>
      <c r="F179" s="671" t="s">
        <v>1119</v>
      </c>
      <c r="G179" s="661" t="s">
        <v>1119</v>
      </c>
      <c r="H179" s="662" t="s">
        <v>1119</v>
      </c>
      <c r="I179" s="672" t="s">
        <v>1119</v>
      </c>
      <c r="J179" s="670"/>
      <c r="K179" s="665" t="s">
        <v>1119</v>
      </c>
      <c r="L179" s="671" t="s">
        <v>1119</v>
      </c>
      <c r="M179" s="671" t="s">
        <v>1119</v>
      </c>
      <c r="N179" s="661" t="s">
        <v>1119</v>
      </c>
      <c r="O179" s="662" t="s">
        <v>1119</v>
      </c>
      <c r="P179" s="672" t="s">
        <v>1119</v>
      </c>
      <c r="Q179" s="670"/>
      <c r="R179" s="665" t="s">
        <v>1119</v>
      </c>
      <c r="S179" s="671" t="s">
        <v>1119</v>
      </c>
      <c r="T179" s="671" t="s">
        <v>1119</v>
      </c>
      <c r="U179" s="661" t="s">
        <v>1119</v>
      </c>
      <c r="V179" s="662" t="s">
        <v>1119</v>
      </c>
      <c r="W179" s="672" t="s">
        <v>1119</v>
      </c>
    </row>
    <row r="180" spans="1:23" x14ac:dyDescent="0.25">
      <c r="A180" s="667">
        <f t="shared" si="2"/>
        <v>-137</v>
      </c>
      <c r="B180" s="657" t="s">
        <v>1119</v>
      </c>
      <c r="C180" s="669"/>
      <c r="D180" s="665" t="s">
        <v>1119</v>
      </c>
      <c r="E180" s="671" t="s">
        <v>1119</v>
      </c>
      <c r="F180" s="671" t="s">
        <v>1119</v>
      </c>
      <c r="G180" s="661" t="s">
        <v>1119</v>
      </c>
      <c r="H180" s="662" t="s">
        <v>1119</v>
      </c>
      <c r="I180" s="672" t="s">
        <v>1119</v>
      </c>
      <c r="J180" s="670"/>
      <c r="K180" s="665" t="s">
        <v>1119</v>
      </c>
      <c r="L180" s="671" t="s">
        <v>1119</v>
      </c>
      <c r="M180" s="671" t="s">
        <v>1119</v>
      </c>
      <c r="N180" s="661" t="s">
        <v>1119</v>
      </c>
      <c r="O180" s="662" t="s">
        <v>1119</v>
      </c>
      <c r="P180" s="672" t="s">
        <v>1119</v>
      </c>
      <c r="Q180" s="670"/>
      <c r="R180" s="665" t="s">
        <v>1119</v>
      </c>
      <c r="S180" s="671" t="s">
        <v>1119</v>
      </c>
      <c r="T180" s="671" t="s">
        <v>1119</v>
      </c>
      <c r="U180" s="661" t="s">
        <v>1119</v>
      </c>
      <c r="V180" s="662" t="s">
        <v>1119</v>
      </c>
      <c r="W180" s="672" t="s">
        <v>1119</v>
      </c>
    </row>
    <row r="181" spans="1:23" x14ac:dyDescent="0.25">
      <c r="A181" s="667">
        <f t="shared" si="2"/>
        <v>-138</v>
      </c>
      <c r="B181" s="657" t="s">
        <v>1119</v>
      </c>
      <c r="C181" s="669"/>
      <c r="D181" s="665" t="s">
        <v>1119</v>
      </c>
      <c r="E181" s="671" t="s">
        <v>1119</v>
      </c>
      <c r="F181" s="671" t="s">
        <v>1119</v>
      </c>
      <c r="G181" s="661" t="s">
        <v>1119</v>
      </c>
      <c r="H181" s="662" t="s">
        <v>1119</v>
      </c>
      <c r="I181" s="672" t="s">
        <v>1119</v>
      </c>
      <c r="J181" s="670"/>
      <c r="K181" s="665" t="s">
        <v>1119</v>
      </c>
      <c r="L181" s="671" t="s">
        <v>1119</v>
      </c>
      <c r="M181" s="671" t="s">
        <v>1119</v>
      </c>
      <c r="N181" s="661" t="s">
        <v>1119</v>
      </c>
      <c r="O181" s="662" t="s">
        <v>1119</v>
      </c>
      <c r="P181" s="672" t="s">
        <v>1119</v>
      </c>
      <c r="Q181" s="670"/>
      <c r="R181" s="665" t="s">
        <v>1119</v>
      </c>
      <c r="S181" s="671" t="s">
        <v>1119</v>
      </c>
      <c r="T181" s="671" t="s">
        <v>1119</v>
      </c>
      <c r="U181" s="661" t="s">
        <v>1119</v>
      </c>
      <c r="V181" s="662" t="s">
        <v>1119</v>
      </c>
      <c r="W181" s="672" t="s">
        <v>1119</v>
      </c>
    </row>
    <row r="182" spans="1:23" x14ac:dyDescent="0.25">
      <c r="A182" s="667">
        <f t="shared" si="2"/>
        <v>-139</v>
      </c>
      <c r="B182" s="657" t="s">
        <v>1119</v>
      </c>
      <c r="C182" s="669"/>
      <c r="D182" s="665" t="s">
        <v>1119</v>
      </c>
      <c r="E182" s="671" t="s">
        <v>1119</v>
      </c>
      <c r="F182" s="671" t="s">
        <v>1119</v>
      </c>
      <c r="G182" s="661" t="s">
        <v>1119</v>
      </c>
      <c r="H182" s="662" t="s">
        <v>1119</v>
      </c>
      <c r="I182" s="672" t="s">
        <v>1119</v>
      </c>
      <c r="J182" s="670"/>
      <c r="K182" s="665" t="s">
        <v>1119</v>
      </c>
      <c r="L182" s="671" t="s">
        <v>1119</v>
      </c>
      <c r="M182" s="671" t="s">
        <v>1119</v>
      </c>
      <c r="N182" s="661" t="s">
        <v>1119</v>
      </c>
      <c r="O182" s="662" t="s">
        <v>1119</v>
      </c>
      <c r="P182" s="672" t="s">
        <v>1119</v>
      </c>
      <c r="Q182" s="670"/>
      <c r="R182" s="665" t="s">
        <v>1119</v>
      </c>
      <c r="S182" s="671" t="s">
        <v>1119</v>
      </c>
      <c r="T182" s="671" t="s">
        <v>1119</v>
      </c>
      <c r="U182" s="661" t="s">
        <v>1119</v>
      </c>
      <c r="V182" s="662" t="s">
        <v>1119</v>
      </c>
      <c r="W182" s="672" t="s">
        <v>1119</v>
      </c>
    </row>
    <row r="183" spans="1:23" x14ac:dyDescent="0.25">
      <c r="A183" s="667">
        <f t="shared" si="2"/>
        <v>-140</v>
      </c>
      <c r="B183" s="657" t="s">
        <v>1119</v>
      </c>
      <c r="C183" s="669"/>
      <c r="D183" s="665" t="s">
        <v>1119</v>
      </c>
      <c r="E183" s="671" t="s">
        <v>1119</v>
      </c>
      <c r="F183" s="671" t="s">
        <v>1119</v>
      </c>
      <c r="G183" s="661" t="s">
        <v>1119</v>
      </c>
      <c r="H183" s="662" t="s">
        <v>1119</v>
      </c>
      <c r="I183" s="672" t="s">
        <v>1119</v>
      </c>
      <c r="J183" s="670"/>
      <c r="K183" s="665" t="s">
        <v>1119</v>
      </c>
      <c r="L183" s="671" t="s">
        <v>1119</v>
      </c>
      <c r="M183" s="671" t="s">
        <v>1119</v>
      </c>
      <c r="N183" s="661" t="s">
        <v>1119</v>
      </c>
      <c r="O183" s="662" t="s">
        <v>1119</v>
      </c>
      <c r="P183" s="672" t="s">
        <v>1119</v>
      </c>
      <c r="Q183" s="670"/>
      <c r="R183" s="665" t="s">
        <v>1119</v>
      </c>
      <c r="S183" s="671" t="s">
        <v>1119</v>
      </c>
      <c r="T183" s="671" t="s">
        <v>1119</v>
      </c>
      <c r="U183" s="661" t="s">
        <v>1119</v>
      </c>
      <c r="V183" s="662" t="s">
        <v>1119</v>
      </c>
      <c r="W183" s="672" t="s">
        <v>1119</v>
      </c>
    </row>
    <row r="184" spans="1:23" x14ac:dyDescent="0.25">
      <c r="A184" s="667">
        <f t="shared" si="2"/>
        <v>-141</v>
      </c>
      <c r="B184" s="657" t="s">
        <v>1119</v>
      </c>
      <c r="C184" s="669"/>
      <c r="D184" s="665" t="s">
        <v>1119</v>
      </c>
      <c r="E184" s="671" t="s">
        <v>1119</v>
      </c>
      <c r="F184" s="671" t="s">
        <v>1119</v>
      </c>
      <c r="G184" s="661" t="s">
        <v>1119</v>
      </c>
      <c r="H184" s="662" t="s">
        <v>1119</v>
      </c>
      <c r="I184" s="672" t="s">
        <v>1119</v>
      </c>
      <c r="J184" s="670"/>
      <c r="K184" s="665" t="s">
        <v>1119</v>
      </c>
      <c r="L184" s="671" t="s">
        <v>1119</v>
      </c>
      <c r="M184" s="671" t="s">
        <v>1119</v>
      </c>
      <c r="N184" s="661" t="s">
        <v>1119</v>
      </c>
      <c r="O184" s="662" t="s">
        <v>1119</v>
      </c>
      <c r="P184" s="672" t="s">
        <v>1119</v>
      </c>
      <c r="Q184" s="670"/>
      <c r="R184" s="665" t="s">
        <v>1119</v>
      </c>
      <c r="S184" s="671" t="s">
        <v>1119</v>
      </c>
      <c r="T184" s="671" t="s">
        <v>1119</v>
      </c>
      <c r="U184" s="661" t="s">
        <v>1119</v>
      </c>
      <c r="V184" s="662" t="s">
        <v>1119</v>
      </c>
      <c r="W184" s="672" t="s">
        <v>1119</v>
      </c>
    </row>
    <row r="185" spans="1:23" x14ac:dyDescent="0.25">
      <c r="A185" s="667">
        <f t="shared" si="2"/>
        <v>-142</v>
      </c>
      <c r="B185" s="657" t="s">
        <v>1119</v>
      </c>
      <c r="C185" s="669"/>
      <c r="D185" s="665" t="s">
        <v>1119</v>
      </c>
      <c r="E185" s="671" t="s">
        <v>1119</v>
      </c>
      <c r="F185" s="671" t="s">
        <v>1119</v>
      </c>
      <c r="G185" s="661" t="s">
        <v>1119</v>
      </c>
      <c r="H185" s="662" t="s">
        <v>1119</v>
      </c>
      <c r="I185" s="672" t="s">
        <v>1119</v>
      </c>
      <c r="J185" s="670"/>
      <c r="K185" s="665" t="s">
        <v>1119</v>
      </c>
      <c r="L185" s="671" t="s">
        <v>1119</v>
      </c>
      <c r="M185" s="671" t="s">
        <v>1119</v>
      </c>
      <c r="N185" s="661" t="s">
        <v>1119</v>
      </c>
      <c r="O185" s="662" t="s">
        <v>1119</v>
      </c>
      <c r="P185" s="672" t="s">
        <v>1119</v>
      </c>
      <c r="Q185" s="670"/>
      <c r="R185" s="665" t="s">
        <v>1119</v>
      </c>
      <c r="S185" s="671" t="s">
        <v>1119</v>
      </c>
      <c r="T185" s="671" t="s">
        <v>1119</v>
      </c>
      <c r="U185" s="661" t="s">
        <v>1119</v>
      </c>
      <c r="V185" s="662" t="s">
        <v>1119</v>
      </c>
      <c r="W185" s="672" t="s">
        <v>1119</v>
      </c>
    </row>
    <row r="186" spans="1:23" x14ac:dyDescent="0.25">
      <c r="A186" s="667">
        <f t="shared" si="2"/>
        <v>-143</v>
      </c>
      <c r="B186" s="657" t="s">
        <v>1119</v>
      </c>
      <c r="C186" s="669"/>
      <c r="D186" s="665" t="s">
        <v>1119</v>
      </c>
      <c r="E186" s="671" t="s">
        <v>1119</v>
      </c>
      <c r="F186" s="671" t="s">
        <v>1119</v>
      </c>
      <c r="G186" s="661" t="s">
        <v>1119</v>
      </c>
      <c r="H186" s="662" t="s">
        <v>1119</v>
      </c>
      <c r="I186" s="672" t="s">
        <v>1119</v>
      </c>
      <c r="J186" s="670"/>
      <c r="K186" s="665" t="s">
        <v>1119</v>
      </c>
      <c r="L186" s="671" t="s">
        <v>1119</v>
      </c>
      <c r="M186" s="671" t="s">
        <v>1119</v>
      </c>
      <c r="N186" s="661" t="s">
        <v>1119</v>
      </c>
      <c r="O186" s="662" t="s">
        <v>1119</v>
      </c>
      <c r="P186" s="672" t="s">
        <v>1119</v>
      </c>
      <c r="Q186" s="670"/>
      <c r="R186" s="665" t="s">
        <v>1119</v>
      </c>
      <c r="S186" s="671" t="s">
        <v>1119</v>
      </c>
      <c r="T186" s="671" t="s">
        <v>1119</v>
      </c>
      <c r="U186" s="661" t="s">
        <v>1119</v>
      </c>
      <c r="V186" s="662" t="s">
        <v>1119</v>
      </c>
      <c r="W186" s="672" t="s">
        <v>1119</v>
      </c>
    </row>
    <row r="187" spans="1:23" x14ac:dyDescent="0.25">
      <c r="A187" s="667">
        <f t="shared" si="2"/>
        <v>-144</v>
      </c>
      <c r="B187" s="657" t="s">
        <v>1119</v>
      </c>
      <c r="C187" s="669"/>
      <c r="D187" s="665" t="s">
        <v>1119</v>
      </c>
      <c r="E187" s="671" t="s">
        <v>1119</v>
      </c>
      <c r="F187" s="671" t="s">
        <v>1119</v>
      </c>
      <c r="G187" s="661" t="s">
        <v>1119</v>
      </c>
      <c r="H187" s="662" t="s">
        <v>1119</v>
      </c>
      <c r="I187" s="672" t="s">
        <v>1119</v>
      </c>
      <c r="J187" s="670"/>
      <c r="K187" s="665" t="s">
        <v>1119</v>
      </c>
      <c r="L187" s="671" t="s">
        <v>1119</v>
      </c>
      <c r="M187" s="671" t="s">
        <v>1119</v>
      </c>
      <c r="N187" s="661" t="s">
        <v>1119</v>
      </c>
      <c r="O187" s="662" t="s">
        <v>1119</v>
      </c>
      <c r="P187" s="672" t="s">
        <v>1119</v>
      </c>
      <c r="Q187" s="670"/>
      <c r="R187" s="665" t="s">
        <v>1119</v>
      </c>
      <c r="S187" s="671" t="s">
        <v>1119</v>
      </c>
      <c r="T187" s="671" t="s">
        <v>1119</v>
      </c>
      <c r="U187" s="661" t="s">
        <v>1119</v>
      </c>
      <c r="V187" s="662" t="s">
        <v>1119</v>
      </c>
      <c r="W187" s="672" t="s">
        <v>1119</v>
      </c>
    </row>
    <row r="188" spans="1:23" x14ac:dyDescent="0.25">
      <c r="A188" s="667">
        <f t="shared" si="2"/>
        <v>-145</v>
      </c>
      <c r="B188" s="657" t="s">
        <v>1119</v>
      </c>
      <c r="C188" s="669"/>
      <c r="D188" s="665" t="s">
        <v>1119</v>
      </c>
      <c r="E188" s="671" t="s">
        <v>1119</v>
      </c>
      <c r="F188" s="671" t="s">
        <v>1119</v>
      </c>
      <c r="G188" s="661" t="s">
        <v>1119</v>
      </c>
      <c r="H188" s="662" t="s">
        <v>1119</v>
      </c>
      <c r="I188" s="672" t="s">
        <v>1119</v>
      </c>
      <c r="J188" s="670"/>
      <c r="K188" s="665" t="s">
        <v>1119</v>
      </c>
      <c r="L188" s="671" t="s">
        <v>1119</v>
      </c>
      <c r="M188" s="671" t="s">
        <v>1119</v>
      </c>
      <c r="N188" s="661" t="s">
        <v>1119</v>
      </c>
      <c r="O188" s="662" t="s">
        <v>1119</v>
      </c>
      <c r="P188" s="672" t="s">
        <v>1119</v>
      </c>
      <c r="Q188" s="670"/>
      <c r="R188" s="665" t="s">
        <v>1119</v>
      </c>
      <c r="S188" s="671" t="s">
        <v>1119</v>
      </c>
      <c r="T188" s="671" t="s">
        <v>1119</v>
      </c>
      <c r="U188" s="661" t="s">
        <v>1119</v>
      </c>
      <c r="V188" s="662" t="s">
        <v>1119</v>
      </c>
      <c r="W188" s="672" t="s">
        <v>1119</v>
      </c>
    </row>
    <row r="189" spans="1:23" x14ac:dyDescent="0.25">
      <c r="A189" s="667">
        <f t="shared" si="2"/>
        <v>-146</v>
      </c>
      <c r="B189" s="657" t="s">
        <v>1119</v>
      </c>
      <c r="C189" s="669"/>
      <c r="D189" s="665" t="s">
        <v>1119</v>
      </c>
      <c r="E189" s="671" t="s">
        <v>1119</v>
      </c>
      <c r="F189" s="671" t="s">
        <v>1119</v>
      </c>
      <c r="G189" s="661" t="s">
        <v>1119</v>
      </c>
      <c r="H189" s="662" t="s">
        <v>1119</v>
      </c>
      <c r="I189" s="672" t="s">
        <v>1119</v>
      </c>
      <c r="J189" s="670"/>
      <c r="K189" s="665" t="s">
        <v>1119</v>
      </c>
      <c r="L189" s="671" t="s">
        <v>1119</v>
      </c>
      <c r="M189" s="671" t="s">
        <v>1119</v>
      </c>
      <c r="N189" s="661" t="s">
        <v>1119</v>
      </c>
      <c r="O189" s="662" t="s">
        <v>1119</v>
      </c>
      <c r="P189" s="672" t="s">
        <v>1119</v>
      </c>
      <c r="Q189" s="670"/>
      <c r="R189" s="665" t="s">
        <v>1119</v>
      </c>
      <c r="S189" s="671" t="s">
        <v>1119</v>
      </c>
      <c r="T189" s="671" t="s">
        <v>1119</v>
      </c>
      <c r="U189" s="661" t="s">
        <v>1119</v>
      </c>
      <c r="V189" s="662" t="s">
        <v>1119</v>
      </c>
      <c r="W189" s="672" t="s">
        <v>1119</v>
      </c>
    </row>
    <row r="190" spans="1:23" x14ac:dyDescent="0.25">
      <c r="A190" s="667">
        <f t="shared" si="2"/>
        <v>-147</v>
      </c>
      <c r="B190" s="657" t="s">
        <v>1119</v>
      </c>
      <c r="C190" s="669"/>
      <c r="D190" s="665" t="s">
        <v>1119</v>
      </c>
      <c r="E190" s="671" t="s">
        <v>1119</v>
      </c>
      <c r="F190" s="671" t="s">
        <v>1119</v>
      </c>
      <c r="G190" s="661" t="s">
        <v>1119</v>
      </c>
      <c r="H190" s="662" t="s">
        <v>1119</v>
      </c>
      <c r="I190" s="672" t="s">
        <v>1119</v>
      </c>
      <c r="J190" s="670"/>
      <c r="K190" s="665" t="s">
        <v>1119</v>
      </c>
      <c r="L190" s="671" t="s">
        <v>1119</v>
      </c>
      <c r="M190" s="671" t="s">
        <v>1119</v>
      </c>
      <c r="N190" s="661" t="s">
        <v>1119</v>
      </c>
      <c r="O190" s="662" t="s">
        <v>1119</v>
      </c>
      <c r="P190" s="672" t="s">
        <v>1119</v>
      </c>
      <c r="Q190" s="670"/>
      <c r="R190" s="665" t="s">
        <v>1119</v>
      </c>
      <c r="S190" s="671" t="s">
        <v>1119</v>
      </c>
      <c r="T190" s="671" t="s">
        <v>1119</v>
      </c>
      <c r="U190" s="661" t="s">
        <v>1119</v>
      </c>
      <c r="V190" s="662" t="s">
        <v>1119</v>
      </c>
      <c r="W190" s="672" t="s">
        <v>1119</v>
      </c>
    </row>
    <row r="191" spans="1:23" x14ac:dyDescent="0.25">
      <c r="A191" s="667">
        <f t="shared" si="2"/>
        <v>-148</v>
      </c>
      <c r="B191" s="657" t="s">
        <v>1119</v>
      </c>
      <c r="C191" s="669"/>
      <c r="D191" s="665" t="s">
        <v>1119</v>
      </c>
      <c r="E191" s="671" t="s">
        <v>1119</v>
      </c>
      <c r="F191" s="671" t="s">
        <v>1119</v>
      </c>
      <c r="G191" s="661" t="s">
        <v>1119</v>
      </c>
      <c r="H191" s="662" t="s">
        <v>1119</v>
      </c>
      <c r="I191" s="672" t="s">
        <v>1119</v>
      </c>
      <c r="J191" s="670"/>
      <c r="K191" s="665" t="s">
        <v>1119</v>
      </c>
      <c r="L191" s="671" t="s">
        <v>1119</v>
      </c>
      <c r="M191" s="671" t="s">
        <v>1119</v>
      </c>
      <c r="N191" s="661" t="s">
        <v>1119</v>
      </c>
      <c r="O191" s="662" t="s">
        <v>1119</v>
      </c>
      <c r="P191" s="672" t="s">
        <v>1119</v>
      </c>
      <c r="Q191" s="670"/>
      <c r="R191" s="665" t="s">
        <v>1119</v>
      </c>
      <c r="S191" s="671" t="s">
        <v>1119</v>
      </c>
      <c r="T191" s="671" t="s">
        <v>1119</v>
      </c>
      <c r="U191" s="661" t="s">
        <v>1119</v>
      </c>
      <c r="V191" s="662" t="s">
        <v>1119</v>
      </c>
      <c r="W191" s="672" t="s">
        <v>1119</v>
      </c>
    </row>
    <row r="192" spans="1:23" x14ac:dyDescent="0.25">
      <c r="A192" s="667">
        <f t="shared" si="2"/>
        <v>-149</v>
      </c>
      <c r="B192" s="657" t="s">
        <v>1119</v>
      </c>
      <c r="C192" s="669"/>
      <c r="D192" s="665" t="s">
        <v>1119</v>
      </c>
      <c r="E192" s="671" t="s">
        <v>1119</v>
      </c>
      <c r="F192" s="671" t="s">
        <v>1119</v>
      </c>
      <c r="G192" s="661" t="s">
        <v>1119</v>
      </c>
      <c r="H192" s="662" t="s">
        <v>1119</v>
      </c>
      <c r="I192" s="672" t="s">
        <v>1119</v>
      </c>
      <c r="J192" s="670"/>
      <c r="K192" s="665" t="s">
        <v>1119</v>
      </c>
      <c r="L192" s="671" t="s">
        <v>1119</v>
      </c>
      <c r="M192" s="671" t="s">
        <v>1119</v>
      </c>
      <c r="N192" s="661" t="s">
        <v>1119</v>
      </c>
      <c r="O192" s="662" t="s">
        <v>1119</v>
      </c>
      <c r="P192" s="672" t="s">
        <v>1119</v>
      </c>
      <c r="Q192" s="670"/>
      <c r="R192" s="665" t="s">
        <v>1119</v>
      </c>
      <c r="S192" s="671" t="s">
        <v>1119</v>
      </c>
      <c r="T192" s="671" t="s">
        <v>1119</v>
      </c>
      <c r="U192" s="661" t="s">
        <v>1119</v>
      </c>
      <c r="V192" s="662" t="s">
        <v>1119</v>
      </c>
      <c r="W192" s="672" t="s">
        <v>1119</v>
      </c>
    </row>
    <row r="193" spans="1:23" x14ac:dyDescent="0.25">
      <c r="A193" s="667">
        <f t="shared" si="2"/>
        <v>-150</v>
      </c>
      <c r="B193" s="657" t="s">
        <v>1119</v>
      </c>
      <c r="C193" s="669"/>
      <c r="D193" s="665" t="s">
        <v>1119</v>
      </c>
      <c r="E193" s="671" t="s">
        <v>1119</v>
      </c>
      <c r="F193" s="671" t="s">
        <v>1119</v>
      </c>
      <c r="G193" s="661" t="s">
        <v>1119</v>
      </c>
      <c r="H193" s="662" t="s">
        <v>1119</v>
      </c>
      <c r="I193" s="672" t="s">
        <v>1119</v>
      </c>
      <c r="J193" s="670"/>
      <c r="K193" s="665" t="s">
        <v>1119</v>
      </c>
      <c r="L193" s="671" t="s">
        <v>1119</v>
      </c>
      <c r="M193" s="671" t="s">
        <v>1119</v>
      </c>
      <c r="N193" s="661" t="s">
        <v>1119</v>
      </c>
      <c r="O193" s="662" t="s">
        <v>1119</v>
      </c>
      <c r="P193" s="672" t="s">
        <v>1119</v>
      </c>
      <c r="Q193" s="670"/>
      <c r="R193" s="665" t="s">
        <v>1119</v>
      </c>
      <c r="S193" s="671" t="s">
        <v>1119</v>
      </c>
      <c r="T193" s="671" t="s">
        <v>1119</v>
      </c>
      <c r="U193" s="661" t="s">
        <v>1119</v>
      </c>
      <c r="V193" s="662" t="s">
        <v>1119</v>
      </c>
      <c r="W193" s="672" t="s">
        <v>1119</v>
      </c>
    </row>
    <row r="194" spans="1:23" x14ac:dyDescent="0.25">
      <c r="A194" s="667">
        <f t="shared" si="2"/>
        <v>-151</v>
      </c>
      <c r="B194" s="657" t="s">
        <v>1119</v>
      </c>
      <c r="C194" s="669"/>
      <c r="D194" s="665" t="s">
        <v>1119</v>
      </c>
      <c r="E194" s="671" t="s">
        <v>1119</v>
      </c>
      <c r="F194" s="671" t="s">
        <v>1119</v>
      </c>
      <c r="G194" s="661" t="s">
        <v>1119</v>
      </c>
      <c r="H194" s="662" t="s">
        <v>1119</v>
      </c>
      <c r="I194" s="672" t="s">
        <v>1119</v>
      </c>
      <c r="J194" s="670"/>
      <c r="K194" s="665" t="s">
        <v>1119</v>
      </c>
      <c r="L194" s="671" t="s">
        <v>1119</v>
      </c>
      <c r="M194" s="671" t="s">
        <v>1119</v>
      </c>
      <c r="N194" s="661" t="s">
        <v>1119</v>
      </c>
      <c r="O194" s="662" t="s">
        <v>1119</v>
      </c>
      <c r="P194" s="672" t="s">
        <v>1119</v>
      </c>
      <c r="Q194" s="670"/>
      <c r="R194" s="665" t="s">
        <v>1119</v>
      </c>
      <c r="S194" s="671" t="s">
        <v>1119</v>
      </c>
      <c r="T194" s="671" t="s">
        <v>1119</v>
      </c>
      <c r="U194" s="661" t="s">
        <v>1119</v>
      </c>
      <c r="V194" s="662" t="s">
        <v>1119</v>
      </c>
      <c r="W194" s="672" t="s">
        <v>1119</v>
      </c>
    </row>
    <row r="195" spans="1:23" x14ac:dyDescent="0.25">
      <c r="A195" s="667">
        <f t="shared" si="2"/>
        <v>-152</v>
      </c>
      <c r="B195" s="657" t="s">
        <v>1119</v>
      </c>
      <c r="C195" s="669"/>
      <c r="D195" s="665" t="s">
        <v>1119</v>
      </c>
      <c r="E195" s="671" t="s">
        <v>1119</v>
      </c>
      <c r="F195" s="671" t="s">
        <v>1119</v>
      </c>
      <c r="G195" s="661" t="s">
        <v>1119</v>
      </c>
      <c r="H195" s="662" t="s">
        <v>1119</v>
      </c>
      <c r="I195" s="672" t="s">
        <v>1119</v>
      </c>
      <c r="J195" s="670"/>
      <c r="K195" s="665" t="s">
        <v>1119</v>
      </c>
      <c r="L195" s="671" t="s">
        <v>1119</v>
      </c>
      <c r="M195" s="671" t="s">
        <v>1119</v>
      </c>
      <c r="N195" s="661" t="s">
        <v>1119</v>
      </c>
      <c r="O195" s="662" t="s">
        <v>1119</v>
      </c>
      <c r="P195" s="672" t="s">
        <v>1119</v>
      </c>
      <c r="Q195" s="670"/>
      <c r="R195" s="665" t="s">
        <v>1119</v>
      </c>
      <c r="S195" s="671" t="s">
        <v>1119</v>
      </c>
      <c r="T195" s="671" t="s">
        <v>1119</v>
      </c>
      <c r="U195" s="661" t="s">
        <v>1119</v>
      </c>
      <c r="V195" s="662" t="s">
        <v>1119</v>
      </c>
      <c r="W195" s="672" t="s">
        <v>1119</v>
      </c>
    </row>
    <row r="196" spans="1:23" x14ac:dyDescent="0.25">
      <c r="A196" s="667">
        <f t="shared" si="2"/>
        <v>-153</v>
      </c>
      <c r="B196" s="657" t="s">
        <v>1119</v>
      </c>
      <c r="C196" s="669"/>
      <c r="D196" s="665" t="s">
        <v>1119</v>
      </c>
      <c r="E196" s="671" t="s">
        <v>1119</v>
      </c>
      <c r="F196" s="671" t="s">
        <v>1119</v>
      </c>
      <c r="G196" s="661" t="s">
        <v>1119</v>
      </c>
      <c r="H196" s="662" t="s">
        <v>1119</v>
      </c>
      <c r="I196" s="672" t="s">
        <v>1119</v>
      </c>
      <c r="J196" s="670"/>
      <c r="K196" s="665" t="s">
        <v>1119</v>
      </c>
      <c r="L196" s="671" t="s">
        <v>1119</v>
      </c>
      <c r="M196" s="671" t="s">
        <v>1119</v>
      </c>
      <c r="N196" s="661" t="s">
        <v>1119</v>
      </c>
      <c r="O196" s="662" t="s">
        <v>1119</v>
      </c>
      <c r="P196" s="672" t="s">
        <v>1119</v>
      </c>
      <c r="Q196" s="670"/>
      <c r="R196" s="665" t="s">
        <v>1119</v>
      </c>
      <c r="S196" s="671" t="s">
        <v>1119</v>
      </c>
      <c r="T196" s="671" t="s">
        <v>1119</v>
      </c>
      <c r="U196" s="661" t="s">
        <v>1119</v>
      </c>
      <c r="V196" s="662" t="s">
        <v>1119</v>
      </c>
      <c r="W196" s="672" t="s">
        <v>1119</v>
      </c>
    </row>
    <row r="197" spans="1:23" x14ac:dyDescent="0.25">
      <c r="A197" s="667">
        <f t="shared" si="2"/>
        <v>-154</v>
      </c>
      <c r="B197" s="657" t="s">
        <v>1119</v>
      </c>
      <c r="C197" s="669"/>
      <c r="D197" s="665" t="s">
        <v>1119</v>
      </c>
      <c r="E197" s="671" t="s">
        <v>1119</v>
      </c>
      <c r="F197" s="671" t="s">
        <v>1119</v>
      </c>
      <c r="G197" s="661" t="s">
        <v>1119</v>
      </c>
      <c r="H197" s="662" t="s">
        <v>1119</v>
      </c>
      <c r="I197" s="672" t="s">
        <v>1119</v>
      </c>
      <c r="J197" s="670"/>
      <c r="K197" s="665" t="s">
        <v>1119</v>
      </c>
      <c r="L197" s="671" t="s">
        <v>1119</v>
      </c>
      <c r="M197" s="671" t="s">
        <v>1119</v>
      </c>
      <c r="N197" s="661" t="s">
        <v>1119</v>
      </c>
      <c r="O197" s="662" t="s">
        <v>1119</v>
      </c>
      <c r="P197" s="672" t="s">
        <v>1119</v>
      </c>
      <c r="Q197" s="670"/>
      <c r="R197" s="665" t="s">
        <v>1119</v>
      </c>
      <c r="S197" s="671" t="s">
        <v>1119</v>
      </c>
      <c r="T197" s="671" t="s">
        <v>1119</v>
      </c>
      <c r="U197" s="661" t="s">
        <v>1119</v>
      </c>
      <c r="V197" s="662" t="s">
        <v>1119</v>
      </c>
      <c r="W197" s="672" t="s">
        <v>1119</v>
      </c>
    </row>
    <row r="198" spans="1:23" x14ac:dyDescent="0.25">
      <c r="A198" s="667">
        <f t="shared" si="2"/>
        <v>-155</v>
      </c>
      <c r="B198" s="657" t="s">
        <v>1119</v>
      </c>
      <c r="C198" s="669"/>
      <c r="D198" s="665" t="s">
        <v>1119</v>
      </c>
      <c r="E198" s="671" t="s">
        <v>1119</v>
      </c>
      <c r="F198" s="671" t="s">
        <v>1119</v>
      </c>
      <c r="G198" s="661" t="s">
        <v>1119</v>
      </c>
      <c r="H198" s="662" t="s">
        <v>1119</v>
      </c>
      <c r="I198" s="672" t="s">
        <v>1119</v>
      </c>
      <c r="J198" s="670"/>
      <c r="K198" s="665" t="s">
        <v>1119</v>
      </c>
      <c r="L198" s="671" t="s">
        <v>1119</v>
      </c>
      <c r="M198" s="671" t="s">
        <v>1119</v>
      </c>
      <c r="N198" s="661" t="s">
        <v>1119</v>
      </c>
      <c r="O198" s="662" t="s">
        <v>1119</v>
      </c>
      <c r="P198" s="672" t="s">
        <v>1119</v>
      </c>
      <c r="Q198" s="670"/>
      <c r="R198" s="665" t="s">
        <v>1119</v>
      </c>
      <c r="S198" s="671" t="s">
        <v>1119</v>
      </c>
      <c r="T198" s="671" t="s">
        <v>1119</v>
      </c>
      <c r="U198" s="661" t="s">
        <v>1119</v>
      </c>
      <c r="V198" s="662" t="s">
        <v>1119</v>
      </c>
      <c r="W198" s="672" t="s">
        <v>1119</v>
      </c>
    </row>
    <row r="199" spans="1:23" x14ac:dyDescent="0.25">
      <c r="A199" s="667">
        <f t="shared" si="2"/>
        <v>-156</v>
      </c>
      <c r="B199" s="657" t="s">
        <v>1119</v>
      </c>
      <c r="C199" s="669"/>
      <c r="D199" s="665" t="s">
        <v>1119</v>
      </c>
      <c r="E199" s="671" t="s">
        <v>1119</v>
      </c>
      <c r="F199" s="671" t="s">
        <v>1119</v>
      </c>
      <c r="G199" s="661" t="s">
        <v>1119</v>
      </c>
      <c r="H199" s="662" t="s">
        <v>1119</v>
      </c>
      <c r="I199" s="672" t="s">
        <v>1119</v>
      </c>
      <c r="J199" s="670"/>
      <c r="K199" s="665" t="s">
        <v>1119</v>
      </c>
      <c r="L199" s="671" t="s">
        <v>1119</v>
      </c>
      <c r="M199" s="671" t="s">
        <v>1119</v>
      </c>
      <c r="N199" s="661" t="s">
        <v>1119</v>
      </c>
      <c r="O199" s="662" t="s">
        <v>1119</v>
      </c>
      <c r="P199" s="672" t="s">
        <v>1119</v>
      </c>
      <c r="Q199" s="670"/>
      <c r="R199" s="665" t="s">
        <v>1119</v>
      </c>
      <c r="S199" s="671" t="s">
        <v>1119</v>
      </c>
      <c r="T199" s="671" t="s">
        <v>1119</v>
      </c>
      <c r="U199" s="661" t="s">
        <v>1119</v>
      </c>
      <c r="V199" s="662" t="s">
        <v>1119</v>
      </c>
      <c r="W199" s="672" t="s">
        <v>1119</v>
      </c>
    </row>
    <row r="200" spans="1:23" x14ac:dyDescent="0.25">
      <c r="A200" s="667">
        <f t="shared" si="2"/>
        <v>-157</v>
      </c>
      <c r="B200" s="657" t="s">
        <v>1119</v>
      </c>
      <c r="C200" s="669"/>
      <c r="D200" s="665" t="s">
        <v>1119</v>
      </c>
      <c r="E200" s="671" t="s">
        <v>1119</v>
      </c>
      <c r="F200" s="671" t="s">
        <v>1119</v>
      </c>
      <c r="G200" s="661" t="s">
        <v>1119</v>
      </c>
      <c r="H200" s="662" t="s">
        <v>1119</v>
      </c>
      <c r="I200" s="672" t="s">
        <v>1119</v>
      </c>
      <c r="J200" s="670"/>
      <c r="K200" s="665" t="s">
        <v>1119</v>
      </c>
      <c r="L200" s="671" t="s">
        <v>1119</v>
      </c>
      <c r="M200" s="671" t="s">
        <v>1119</v>
      </c>
      <c r="N200" s="661" t="s">
        <v>1119</v>
      </c>
      <c r="O200" s="662" t="s">
        <v>1119</v>
      </c>
      <c r="P200" s="672" t="s">
        <v>1119</v>
      </c>
      <c r="Q200" s="670"/>
      <c r="R200" s="665" t="s">
        <v>1119</v>
      </c>
      <c r="S200" s="671" t="s">
        <v>1119</v>
      </c>
      <c r="T200" s="671" t="s">
        <v>1119</v>
      </c>
      <c r="U200" s="661" t="s">
        <v>1119</v>
      </c>
      <c r="V200" s="662" t="s">
        <v>1119</v>
      </c>
      <c r="W200" s="672" t="s">
        <v>1119</v>
      </c>
    </row>
    <row r="201" spans="1:23" x14ac:dyDescent="0.25">
      <c r="A201" s="667">
        <f t="shared" si="2"/>
        <v>-158</v>
      </c>
      <c r="B201" s="657" t="s">
        <v>1119</v>
      </c>
      <c r="C201" s="669"/>
      <c r="D201" s="665" t="s">
        <v>1119</v>
      </c>
      <c r="E201" s="671" t="s">
        <v>1119</v>
      </c>
      <c r="F201" s="671" t="s">
        <v>1119</v>
      </c>
      <c r="G201" s="661" t="s">
        <v>1119</v>
      </c>
      <c r="H201" s="662" t="s">
        <v>1119</v>
      </c>
      <c r="I201" s="672" t="s">
        <v>1119</v>
      </c>
      <c r="J201" s="670"/>
      <c r="K201" s="665" t="s">
        <v>1119</v>
      </c>
      <c r="L201" s="671" t="s">
        <v>1119</v>
      </c>
      <c r="M201" s="671" t="s">
        <v>1119</v>
      </c>
      <c r="N201" s="661" t="s">
        <v>1119</v>
      </c>
      <c r="O201" s="662" t="s">
        <v>1119</v>
      </c>
      <c r="P201" s="672" t="s">
        <v>1119</v>
      </c>
      <c r="Q201" s="670"/>
      <c r="R201" s="665" t="s">
        <v>1119</v>
      </c>
      <c r="S201" s="671" t="s">
        <v>1119</v>
      </c>
      <c r="T201" s="671" t="s">
        <v>1119</v>
      </c>
      <c r="U201" s="661" t="s">
        <v>1119</v>
      </c>
      <c r="V201" s="662" t="s">
        <v>1119</v>
      </c>
      <c r="W201" s="672" t="s">
        <v>1119</v>
      </c>
    </row>
    <row r="202" spans="1:23" x14ac:dyDescent="0.25">
      <c r="A202" s="667">
        <f t="shared" si="2"/>
        <v>-159</v>
      </c>
      <c r="B202" s="657" t="s">
        <v>1119</v>
      </c>
      <c r="C202" s="669"/>
      <c r="D202" s="665" t="s">
        <v>1119</v>
      </c>
      <c r="E202" s="671" t="s">
        <v>1119</v>
      </c>
      <c r="F202" s="671" t="s">
        <v>1119</v>
      </c>
      <c r="G202" s="661" t="s">
        <v>1119</v>
      </c>
      <c r="H202" s="662" t="s">
        <v>1119</v>
      </c>
      <c r="I202" s="672" t="s">
        <v>1119</v>
      </c>
      <c r="J202" s="670"/>
      <c r="K202" s="665" t="s">
        <v>1119</v>
      </c>
      <c r="L202" s="671" t="s">
        <v>1119</v>
      </c>
      <c r="M202" s="671" t="s">
        <v>1119</v>
      </c>
      <c r="N202" s="661" t="s">
        <v>1119</v>
      </c>
      <c r="O202" s="662" t="s">
        <v>1119</v>
      </c>
      <c r="P202" s="672" t="s">
        <v>1119</v>
      </c>
      <c r="Q202" s="670"/>
      <c r="R202" s="665" t="s">
        <v>1119</v>
      </c>
      <c r="S202" s="671" t="s">
        <v>1119</v>
      </c>
      <c r="T202" s="671" t="s">
        <v>1119</v>
      </c>
      <c r="U202" s="661" t="s">
        <v>1119</v>
      </c>
      <c r="V202" s="662" t="s">
        <v>1119</v>
      </c>
      <c r="W202" s="672" t="s">
        <v>1119</v>
      </c>
    </row>
    <row r="203" spans="1:23" x14ac:dyDescent="0.25">
      <c r="A203" s="667">
        <f t="shared" si="2"/>
        <v>-160</v>
      </c>
      <c r="B203" s="657" t="s">
        <v>1119</v>
      </c>
      <c r="C203" s="669"/>
      <c r="D203" s="665" t="s">
        <v>1119</v>
      </c>
      <c r="E203" s="671" t="s">
        <v>1119</v>
      </c>
      <c r="F203" s="671" t="s">
        <v>1119</v>
      </c>
      <c r="G203" s="661" t="s">
        <v>1119</v>
      </c>
      <c r="H203" s="662" t="s">
        <v>1119</v>
      </c>
      <c r="I203" s="672" t="s">
        <v>1119</v>
      </c>
      <c r="J203" s="670"/>
      <c r="K203" s="665" t="s">
        <v>1119</v>
      </c>
      <c r="L203" s="671" t="s">
        <v>1119</v>
      </c>
      <c r="M203" s="671" t="s">
        <v>1119</v>
      </c>
      <c r="N203" s="661" t="s">
        <v>1119</v>
      </c>
      <c r="O203" s="662" t="s">
        <v>1119</v>
      </c>
      <c r="P203" s="672" t="s">
        <v>1119</v>
      </c>
      <c r="Q203" s="670"/>
      <c r="R203" s="665" t="s">
        <v>1119</v>
      </c>
      <c r="S203" s="671" t="s">
        <v>1119</v>
      </c>
      <c r="T203" s="671" t="s">
        <v>1119</v>
      </c>
      <c r="U203" s="661" t="s">
        <v>1119</v>
      </c>
      <c r="V203" s="662" t="s">
        <v>1119</v>
      </c>
      <c r="W203" s="672" t="s">
        <v>1119</v>
      </c>
    </row>
    <row r="204" spans="1:23" x14ac:dyDescent="0.25">
      <c r="A204" s="667">
        <f t="shared" si="2"/>
        <v>-161</v>
      </c>
      <c r="B204" s="657" t="s">
        <v>1119</v>
      </c>
      <c r="C204" s="669"/>
      <c r="D204" s="665" t="s">
        <v>1119</v>
      </c>
      <c r="E204" s="671" t="s">
        <v>1119</v>
      </c>
      <c r="F204" s="671" t="s">
        <v>1119</v>
      </c>
      <c r="G204" s="661" t="s">
        <v>1119</v>
      </c>
      <c r="H204" s="662" t="s">
        <v>1119</v>
      </c>
      <c r="I204" s="672" t="s">
        <v>1119</v>
      </c>
      <c r="J204" s="670"/>
      <c r="K204" s="665" t="s">
        <v>1119</v>
      </c>
      <c r="L204" s="671" t="s">
        <v>1119</v>
      </c>
      <c r="M204" s="671" t="s">
        <v>1119</v>
      </c>
      <c r="N204" s="661" t="s">
        <v>1119</v>
      </c>
      <c r="O204" s="662" t="s">
        <v>1119</v>
      </c>
      <c r="P204" s="672" t="s">
        <v>1119</v>
      </c>
      <c r="Q204" s="670"/>
      <c r="R204" s="665" t="s">
        <v>1119</v>
      </c>
      <c r="S204" s="671" t="s">
        <v>1119</v>
      </c>
      <c r="T204" s="671" t="s">
        <v>1119</v>
      </c>
      <c r="U204" s="661" t="s">
        <v>1119</v>
      </c>
      <c r="V204" s="662" t="s">
        <v>1119</v>
      </c>
      <c r="W204" s="672" t="s">
        <v>1119</v>
      </c>
    </row>
    <row r="205" spans="1:23" x14ac:dyDescent="0.25">
      <c r="A205" s="667">
        <f t="shared" si="2"/>
        <v>-162</v>
      </c>
      <c r="B205" s="657" t="s">
        <v>1119</v>
      </c>
      <c r="C205" s="669"/>
      <c r="D205" s="665" t="s">
        <v>1119</v>
      </c>
      <c r="E205" s="671" t="s">
        <v>1119</v>
      </c>
      <c r="F205" s="671" t="s">
        <v>1119</v>
      </c>
      <c r="G205" s="661" t="s">
        <v>1119</v>
      </c>
      <c r="H205" s="662" t="s">
        <v>1119</v>
      </c>
      <c r="I205" s="672" t="s">
        <v>1119</v>
      </c>
      <c r="J205" s="670"/>
      <c r="K205" s="665" t="s">
        <v>1119</v>
      </c>
      <c r="L205" s="671" t="s">
        <v>1119</v>
      </c>
      <c r="M205" s="671" t="s">
        <v>1119</v>
      </c>
      <c r="N205" s="661" t="s">
        <v>1119</v>
      </c>
      <c r="O205" s="662" t="s">
        <v>1119</v>
      </c>
      <c r="P205" s="672" t="s">
        <v>1119</v>
      </c>
      <c r="Q205" s="670"/>
      <c r="R205" s="665" t="s">
        <v>1119</v>
      </c>
      <c r="S205" s="671" t="s">
        <v>1119</v>
      </c>
      <c r="T205" s="671" t="s">
        <v>1119</v>
      </c>
      <c r="U205" s="661" t="s">
        <v>1119</v>
      </c>
      <c r="V205" s="662" t="s">
        <v>1119</v>
      </c>
      <c r="W205" s="672" t="s">
        <v>1119</v>
      </c>
    </row>
    <row r="206" spans="1:23" x14ac:dyDescent="0.25">
      <c r="A206" s="667">
        <f t="shared" si="2"/>
        <v>-163</v>
      </c>
      <c r="B206" s="657" t="s">
        <v>1119</v>
      </c>
      <c r="C206" s="669"/>
      <c r="D206" s="665" t="s">
        <v>1119</v>
      </c>
      <c r="E206" s="671" t="s">
        <v>1119</v>
      </c>
      <c r="F206" s="671" t="s">
        <v>1119</v>
      </c>
      <c r="G206" s="661" t="s">
        <v>1119</v>
      </c>
      <c r="H206" s="662" t="s">
        <v>1119</v>
      </c>
      <c r="I206" s="672" t="s">
        <v>1119</v>
      </c>
      <c r="J206" s="670"/>
      <c r="K206" s="665" t="s">
        <v>1119</v>
      </c>
      <c r="L206" s="671" t="s">
        <v>1119</v>
      </c>
      <c r="M206" s="671" t="s">
        <v>1119</v>
      </c>
      <c r="N206" s="661" t="s">
        <v>1119</v>
      </c>
      <c r="O206" s="662" t="s">
        <v>1119</v>
      </c>
      <c r="P206" s="672" t="s">
        <v>1119</v>
      </c>
      <c r="Q206" s="670"/>
      <c r="R206" s="665" t="s">
        <v>1119</v>
      </c>
      <c r="S206" s="671" t="s">
        <v>1119</v>
      </c>
      <c r="T206" s="671" t="s">
        <v>1119</v>
      </c>
      <c r="U206" s="661" t="s">
        <v>1119</v>
      </c>
      <c r="V206" s="662" t="s">
        <v>1119</v>
      </c>
      <c r="W206" s="672" t="s">
        <v>1119</v>
      </c>
    </row>
    <row r="207" spans="1:23" x14ac:dyDescent="0.25">
      <c r="A207" s="667">
        <f t="shared" si="2"/>
        <v>-164</v>
      </c>
      <c r="B207" s="657" t="s">
        <v>1119</v>
      </c>
      <c r="C207" s="669"/>
      <c r="D207" s="665" t="s">
        <v>1119</v>
      </c>
      <c r="E207" s="671" t="s">
        <v>1119</v>
      </c>
      <c r="F207" s="671" t="s">
        <v>1119</v>
      </c>
      <c r="G207" s="661" t="s">
        <v>1119</v>
      </c>
      <c r="H207" s="662" t="s">
        <v>1119</v>
      </c>
      <c r="I207" s="672" t="s">
        <v>1119</v>
      </c>
      <c r="J207" s="670"/>
      <c r="K207" s="665" t="s">
        <v>1119</v>
      </c>
      <c r="L207" s="671" t="s">
        <v>1119</v>
      </c>
      <c r="M207" s="671" t="s">
        <v>1119</v>
      </c>
      <c r="N207" s="661" t="s">
        <v>1119</v>
      </c>
      <c r="O207" s="662" t="s">
        <v>1119</v>
      </c>
      <c r="P207" s="672" t="s">
        <v>1119</v>
      </c>
      <c r="Q207" s="670"/>
      <c r="R207" s="665" t="s">
        <v>1119</v>
      </c>
      <c r="S207" s="671" t="s">
        <v>1119</v>
      </c>
      <c r="T207" s="671" t="s">
        <v>1119</v>
      </c>
      <c r="U207" s="661" t="s">
        <v>1119</v>
      </c>
      <c r="V207" s="662" t="s">
        <v>1119</v>
      </c>
      <c r="W207" s="672" t="s">
        <v>1119</v>
      </c>
    </row>
    <row r="208" spans="1:23" x14ac:dyDescent="0.25">
      <c r="A208" s="667">
        <f t="shared" si="2"/>
        <v>-165</v>
      </c>
      <c r="B208" s="657" t="s">
        <v>1119</v>
      </c>
      <c r="C208" s="669"/>
      <c r="D208" s="665" t="s">
        <v>1119</v>
      </c>
      <c r="E208" s="671" t="s">
        <v>1119</v>
      </c>
      <c r="F208" s="671" t="s">
        <v>1119</v>
      </c>
      <c r="G208" s="661" t="s">
        <v>1119</v>
      </c>
      <c r="H208" s="662" t="s">
        <v>1119</v>
      </c>
      <c r="I208" s="672" t="s">
        <v>1119</v>
      </c>
      <c r="J208" s="670"/>
      <c r="K208" s="665" t="s">
        <v>1119</v>
      </c>
      <c r="L208" s="671" t="s">
        <v>1119</v>
      </c>
      <c r="M208" s="671" t="s">
        <v>1119</v>
      </c>
      <c r="N208" s="661" t="s">
        <v>1119</v>
      </c>
      <c r="O208" s="662" t="s">
        <v>1119</v>
      </c>
      <c r="P208" s="672" t="s">
        <v>1119</v>
      </c>
      <c r="Q208" s="670"/>
      <c r="R208" s="665" t="s">
        <v>1119</v>
      </c>
      <c r="S208" s="671" t="s">
        <v>1119</v>
      </c>
      <c r="T208" s="671" t="s">
        <v>1119</v>
      </c>
      <c r="U208" s="661" t="s">
        <v>1119</v>
      </c>
      <c r="V208" s="662" t="s">
        <v>1119</v>
      </c>
      <c r="W208" s="672" t="s">
        <v>1119</v>
      </c>
    </row>
    <row r="209" spans="1:23" x14ac:dyDescent="0.25">
      <c r="A209" s="667">
        <f t="shared" si="2"/>
        <v>-166</v>
      </c>
      <c r="B209" s="657" t="s">
        <v>1119</v>
      </c>
      <c r="C209" s="669"/>
      <c r="D209" s="665" t="s">
        <v>1119</v>
      </c>
      <c r="E209" s="671" t="s">
        <v>1119</v>
      </c>
      <c r="F209" s="671" t="s">
        <v>1119</v>
      </c>
      <c r="G209" s="661" t="s">
        <v>1119</v>
      </c>
      <c r="H209" s="662" t="s">
        <v>1119</v>
      </c>
      <c r="I209" s="672" t="s">
        <v>1119</v>
      </c>
      <c r="J209" s="670"/>
      <c r="K209" s="665" t="s">
        <v>1119</v>
      </c>
      <c r="L209" s="671" t="s">
        <v>1119</v>
      </c>
      <c r="M209" s="671" t="s">
        <v>1119</v>
      </c>
      <c r="N209" s="661" t="s">
        <v>1119</v>
      </c>
      <c r="O209" s="662" t="s">
        <v>1119</v>
      </c>
      <c r="P209" s="672" t="s">
        <v>1119</v>
      </c>
      <c r="Q209" s="670"/>
      <c r="R209" s="665" t="s">
        <v>1119</v>
      </c>
      <c r="S209" s="671" t="s">
        <v>1119</v>
      </c>
      <c r="T209" s="671" t="s">
        <v>1119</v>
      </c>
      <c r="U209" s="661" t="s">
        <v>1119</v>
      </c>
      <c r="V209" s="662" t="s">
        <v>1119</v>
      </c>
      <c r="W209" s="672" t="s">
        <v>1119</v>
      </c>
    </row>
    <row r="210" spans="1:23" x14ac:dyDescent="0.25">
      <c r="A210" s="667">
        <f t="shared" si="2"/>
        <v>-167</v>
      </c>
      <c r="B210" s="657" t="s">
        <v>1119</v>
      </c>
      <c r="C210" s="669"/>
      <c r="D210" s="665" t="s">
        <v>1119</v>
      </c>
      <c r="E210" s="671" t="s">
        <v>1119</v>
      </c>
      <c r="F210" s="671" t="s">
        <v>1119</v>
      </c>
      <c r="G210" s="661" t="s">
        <v>1119</v>
      </c>
      <c r="H210" s="662" t="s">
        <v>1119</v>
      </c>
      <c r="I210" s="672" t="s">
        <v>1119</v>
      </c>
      <c r="J210" s="670"/>
      <c r="K210" s="665" t="s">
        <v>1119</v>
      </c>
      <c r="L210" s="671" t="s">
        <v>1119</v>
      </c>
      <c r="M210" s="671" t="s">
        <v>1119</v>
      </c>
      <c r="N210" s="661" t="s">
        <v>1119</v>
      </c>
      <c r="O210" s="662" t="s">
        <v>1119</v>
      </c>
      <c r="P210" s="672" t="s">
        <v>1119</v>
      </c>
      <c r="Q210" s="670"/>
      <c r="R210" s="665" t="s">
        <v>1119</v>
      </c>
      <c r="S210" s="671" t="s">
        <v>1119</v>
      </c>
      <c r="T210" s="671" t="s">
        <v>1119</v>
      </c>
      <c r="U210" s="661" t="s">
        <v>1119</v>
      </c>
      <c r="V210" s="662" t="s">
        <v>1119</v>
      </c>
      <c r="W210" s="672" t="s">
        <v>1119</v>
      </c>
    </row>
    <row r="211" spans="1:23" x14ac:dyDescent="0.25">
      <c r="A211" s="667">
        <f t="shared" si="2"/>
        <v>-168</v>
      </c>
      <c r="B211" s="657" t="s">
        <v>1119</v>
      </c>
      <c r="C211" s="669"/>
      <c r="D211" s="665" t="s">
        <v>1119</v>
      </c>
      <c r="E211" s="671" t="s">
        <v>1119</v>
      </c>
      <c r="F211" s="671" t="s">
        <v>1119</v>
      </c>
      <c r="G211" s="661" t="s">
        <v>1119</v>
      </c>
      <c r="H211" s="662" t="s">
        <v>1119</v>
      </c>
      <c r="I211" s="672" t="s">
        <v>1119</v>
      </c>
      <c r="J211" s="670"/>
      <c r="K211" s="665" t="s">
        <v>1119</v>
      </c>
      <c r="L211" s="671" t="s">
        <v>1119</v>
      </c>
      <c r="M211" s="671" t="s">
        <v>1119</v>
      </c>
      <c r="N211" s="661" t="s">
        <v>1119</v>
      </c>
      <c r="O211" s="662" t="s">
        <v>1119</v>
      </c>
      <c r="P211" s="672" t="s">
        <v>1119</v>
      </c>
      <c r="Q211" s="670"/>
      <c r="R211" s="665" t="s">
        <v>1119</v>
      </c>
      <c r="S211" s="671" t="s">
        <v>1119</v>
      </c>
      <c r="T211" s="671" t="s">
        <v>1119</v>
      </c>
      <c r="U211" s="661" t="s">
        <v>1119</v>
      </c>
      <c r="V211" s="662" t="s">
        <v>1119</v>
      </c>
      <c r="W211" s="672" t="s">
        <v>1119</v>
      </c>
    </row>
    <row r="212" spans="1:23" x14ac:dyDescent="0.25">
      <c r="A212" s="667">
        <f t="shared" si="2"/>
        <v>-169</v>
      </c>
      <c r="B212" s="657" t="s">
        <v>1119</v>
      </c>
      <c r="C212" s="669"/>
      <c r="D212" s="665" t="s">
        <v>1119</v>
      </c>
      <c r="E212" s="671" t="s">
        <v>1119</v>
      </c>
      <c r="F212" s="671" t="s">
        <v>1119</v>
      </c>
      <c r="G212" s="661" t="s">
        <v>1119</v>
      </c>
      <c r="H212" s="662" t="s">
        <v>1119</v>
      </c>
      <c r="I212" s="672" t="s">
        <v>1119</v>
      </c>
      <c r="J212" s="670"/>
      <c r="K212" s="665" t="s">
        <v>1119</v>
      </c>
      <c r="L212" s="671" t="s">
        <v>1119</v>
      </c>
      <c r="M212" s="671" t="s">
        <v>1119</v>
      </c>
      <c r="N212" s="661" t="s">
        <v>1119</v>
      </c>
      <c r="O212" s="662" t="s">
        <v>1119</v>
      </c>
      <c r="P212" s="672" t="s">
        <v>1119</v>
      </c>
      <c r="Q212" s="670"/>
      <c r="R212" s="665" t="s">
        <v>1119</v>
      </c>
      <c r="S212" s="671" t="s">
        <v>1119</v>
      </c>
      <c r="T212" s="671" t="s">
        <v>1119</v>
      </c>
      <c r="U212" s="661" t="s">
        <v>1119</v>
      </c>
      <c r="V212" s="662" t="s">
        <v>1119</v>
      </c>
      <c r="W212" s="672" t="s">
        <v>1119</v>
      </c>
    </row>
    <row r="213" spans="1:23" x14ac:dyDescent="0.25">
      <c r="A213" s="667">
        <f t="shared" si="2"/>
        <v>-170</v>
      </c>
      <c r="B213" s="657" t="s">
        <v>1119</v>
      </c>
      <c r="C213" s="669"/>
      <c r="D213" s="665" t="s">
        <v>1119</v>
      </c>
      <c r="E213" s="671" t="s">
        <v>1119</v>
      </c>
      <c r="F213" s="671" t="s">
        <v>1119</v>
      </c>
      <c r="G213" s="661" t="s">
        <v>1119</v>
      </c>
      <c r="H213" s="662" t="s">
        <v>1119</v>
      </c>
      <c r="I213" s="672" t="s">
        <v>1119</v>
      </c>
      <c r="J213" s="670"/>
      <c r="K213" s="665" t="s">
        <v>1119</v>
      </c>
      <c r="L213" s="671" t="s">
        <v>1119</v>
      </c>
      <c r="M213" s="671" t="s">
        <v>1119</v>
      </c>
      <c r="N213" s="661" t="s">
        <v>1119</v>
      </c>
      <c r="O213" s="662" t="s">
        <v>1119</v>
      </c>
      <c r="P213" s="672" t="s">
        <v>1119</v>
      </c>
      <c r="Q213" s="670"/>
      <c r="R213" s="665" t="s">
        <v>1119</v>
      </c>
      <c r="S213" s="671" t="s">
        <v>1119</v>
      </c>
      <c r="T213" s="671" t="s">
        <v>1119</v>
      </c>
      <c r="U213" s="661" t="s">
        <v>1119</v>
      </c>
      <c r="V213" s="662" t="s">
        <v>1119</v>
      </c>
      <c r="W213" s="672" t="s">
        <v>1119</v>
      </c>
    </row>
    <row r="214" spans="1:23" x14ac:dyDescent="0.25">
      <c r="A214" s="667">
        <f t="shared" si="2"/>
        <v>-171</v>
      </c>
      <c r="B214" s="657" t="s">
        <v>1119</v>
      </c>
      <c r="C214" s="669"/>
      <c r="D214" s="665" t="s">
        <v>1119</v>
      </c>
      <c r="E214" s="671" t="s">
        <v>1119</v>
      </c>
      <c r="F214" s="671" t="s">
        <v>1119</v>
      </c>
      <c r="G214" s="661" t="s">
        <v>1119</v>
      </c>
      <c r="H214" s="662" t="s">
        <v>1119</v>
      </c>
      <c r="I214" s="672" t="s">
        <v>1119</v>
      </c>
      <c r="J214" s="670"/>
      <c r="K214" s="665" t="s">
        <v>1119</v>
      </c>
      <c r="L214" s="671" t="s">
        <v>1119</v>
      </c>
      <c r="M214" s="671" t="s">
        <v>1119</v>
      </c>
      <c r="N214" s="661" t="s">
        <v>1119</v>
      </c>
      <c r="O214" s="662" t="s">
        <v>1119</v>
      </c>
      <c r="P214" s="672" t="s">
        <v>1119</v>
      </c>
      <c r="Q214" s="670"/>
      <c r="R214" s="665" t="s">
        <v>1119</v>
      </c>
      <c r="S214" s="671" t="s">
        <v>1119</v>
      </c>
      <c r="T214" s="671" t="s">
        <v>1119</v>
      </c>
      <c r="U214" s="661" t="s">
        <v>1119</v>
      </c>
      <c r="V214" s="662" t="s">
        <v>1119</v>
      </c>
      <c r="W214" s="672" t="s">
        <v>1119</v>
      </c>
    </row>
    <row r="215" spans="1:23" x14ac:dyDescent="0.25">
      <c r="A215" s="667">
        <f t="shared" si="2"/>
        <v>-172</v>
      </c>
      <c r="B215" s="657" t="s">
        <v>1119</v>
      </c>
      <c r="C215" s="669"/>
      <c r="D215" s="665" t="s">
        <v>1119</v>
      </c>
      <c r="E215" s="671" t="s">
        <v>1119</v>
      </c>
      <c r="F215" s="671" t="s">
        <v>1119</v>
      </c>
      <c r="G215" s="661" t="s">
        <v>1119</v>
      </c>
      <c r="H215" s="662" t="s">
        <v>1119</v>
      </c>
      <c r="I215" s="672" t="s">
        <v>1119</v>
      </c>
      <c r="J215" s="670"/>
      <c r="K215" s="665" t="s">
        <v>1119</v>
      </c>
      <c r="L215" s="671" t="s">
        <v>1119</v>
      </c>
      <c r="M215" s="671" t="s">
        <v>1119</v>
      </c>
      <c r="N215" s="661" t="s">
        <v>1119</v>
      </c>
      <c r="O215" s="662" t="s">
        <v>1119</v>
      </c>
      <c r="P215" s="672" t="s">
        <v>1119</v>
      </c>
      <c r="Q215" s="670"/>
      <c r="R215" s="665" t="s">
        <v>1119</v>
      </c>
      <c r="S215" s="671" t="s">
        <v>1119</v>
      </c>
      <c r="T215" s="671" t="s">
        <v>1119</v>
      </c>
      <c r="U215" s="661" t="s">
        <v>1119</v>
      </c>
      <c r="V215" s="662" t="s">
        <v>1119</v>
      </c>
      <c r="W215" s="672" t="s">
        <v>1119</v>
      </c>
    </row>
    <row r="216" spans="1:23" x14ac:dyDescent="0.25">
      <c r="A216" s="667">
        <f t="shared" ref="A216:A217" si="3">A215-1</f>
        <v>-173</v>
      </c>
      <c r="B216" s="657" t="s">
        <v>1119</v>
      </c>
      <c r="C216" s="669"/>
      <c r="D216" s="665" t="s">
        <v>1119</v>
      </c>
      <c r="E216" s="671" t="s">
        <v>1119</v>
      </c>
      <c r="F216" s="671" t="s">
        <v>1119</v>
      </c>
      <c r="G216" s="661" t="s">
        <v>1119</v>
      </c>
      <c r="H216" s="662" t="s">
        <v>1119</v>
      </c>
      <c r="I216" s="672" t="s">
        <v>1119</v>
      </c>
      <c r="J216" s="670"/>
      <c r="K216" s="665" t="s">
        <v>1119</v>
      </c>
      <c r="L216" s="671" t="s">
        <v>1119</v>
      </c>
      <c r="M216" s="671" t="s">
        <v>1119</v>
      </c>
      <c r="N216" s="661" t="s">
        <v>1119</v>
      </c>
      <c r="O216" s="662" t="s">
        <v>1119</v>
      </c>
      <c r="P216" s="672" t="s">
        <v>1119</v>
      </c>
      <c r="Q216" s="670"/>
      <c r="R216" s="665" t="s">
        <v>1119</v>
      </c>
      <c r="S216" s="671" t="s">
        <v>1119</v>
      </c>
      <c r="T216" s="671" t="s">
        <v>1119</v>
      </c>
      <c r="U216" s="661" t="s">
        <v>1119</v>
      </c>
      <c r="V216" s="662" t="s">
        <v>1119</v>
      </c>
      <c r="W216" s="672" t="s">
        <v>1119</v>
      </c>
    </row>
    <row r="217" spans="1:23" x14ac:dyDescent="0.25">
      <c r="A217" s="667">
        <f t="shared" si="3"/>
        <v>-174</v>
      </c>
      <c r="B217" s="674" t="s">
        <v>1119</v>
      </c>
      <c r="C217" s="669"/>
      <c r="D217" s="675" t="s">
        <v>1119</v>
      </c>
      <c r="E217" s="676" t="s">
        <v>1119</v>
      </c>
      <c r="F217" s="676" t="s">
        <v>1119</v>
      </c>
      <c r="G217" s="677" t="s">
        <v>1119</v>
      </c>
      <c r="H217" s="678" t="s">
        <v>1119</v>
      </c>
      <c r="I217" s="679" t="s">
        <v>1119</v>
      </c>
      <c r="J217" s="670"/>
      <c r="K217" s="675" t="s">
        <v>1119</v>
      </c>
      <c r="L217" s="676" t="s">
        <v>1119</v>
      </c>
      <c r="M217" s="676" t="s">
        <v>1119</v>
      </c>
      <c r="N217" s="677" t="s">
        <v>1119</v>
      </c>
      <c r="O217" s="678" t="s">
        <v>1119</v>
      </c>
      <c r="P217" s="679" t="s">
        <v>1119</v>
      </c>
      <c r="Q217" s="670"/>
      <c r="R217" s="675" t="s">
        <v>1119</v>
      </c>
      <c r="S217" s="676" t="s">
        <v>1119</v>
      </c>
      <c r="T217" s="676" t="s">
        <v>1119</v>
      </c>
      <c r="U217" s="677" t="s">
        <v>1119</v>
      </c>
      <c r="V217" s="678" t="s">
        <v>1119</v>
      </c>
      <c r="W217" s="679" t="s">
        <v>1119</v>
      </c>
    </row>
  </sheetData>
  <mergeCells count="23">
    <mergeCell ref="B10:W10"/>
    <mergeCell ref="R18:W18"/>
    <mergeCell ref="R19:R20"/>
    <mergeCell ref="S19:S20"/>
    <mergeCell ref="T19:T20"/>
    <mergeCell ref="U19:U20"/>
    <mergeCell ref="V19:V20"/>
    <mergeCell ref="W19:W20"/>
    <mergeCell ref="B18:B20"/>
    <mergeCell ref="D18:I18"/>
    <mergeCell ref="K18:P18"/>
    <mergeCell ref="D19:D20"/>
    <mergeCell ref="E19:E20"/>
    <mergeCell ref="F19:F20"/>
    <mergeCell ref="G19:G20"/>
    <mergeCell ref="O19:O20"/>
    <mergeCell ref="P19:P20"/>
    <mergeCell ref="H19:H20"/>
    <mergeCell ref="I19:I20"/>
    <mergeCell ref="K19:K20"/>
    <mergeCell ref="L19:L20"/>
    <mergeCell ref="M19:M20"/>
    <mergeCell ref="N19:N20"/>
  </mergeCells>
  <conditionalFormatting sqref="B22:B217">
    <cfRule type="cellIs" dxfId="45" priority="1" operator="lessThanOrEqual">
      <formula>0</formula>
    </cfRule>
  </conditionalFormatting>
  <pageMargins left="0.7" right="0.7" top="0.75" bottom="0.75" header="0.3" footer="0.3"/>
  <pageSetup paperSize="9" scale="15"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15</vt:i4>
      </vt:variant>
    </vt:vector>
  </HeadingPairs>
  <TitlesOfParts>
    <vt:vector size="37" baseType="lpstr">
      <vt:lpstr>00 - Cover</vt:lpstr>
      <vt:lpstr>Controle</vt:lpstr>
      <vt:lpstr>Summary</vt:lpstr>
      <vt:lpstr>Eligibility Criteria</vt:lpstr>
      <vt:lpstr>Asset Follow up</vt:lpstr>
      <vt:lpstr>Collection</vt:lpstr>
      <vt:lpstr>Prepayment Rate</vt:lpstr>
      <vt:lpstr>Asset Amortisation Profile</vt:lpstr>
      <vt:lpstr>Notes Follow-up</vt:lpstr>
      <vt:lpstr> Notes Interest</vt:lpstr>
      <vt:lpstr>Issuer Account</vt:lpstr>
      <vt:lpstr>Fees</vt:lpstr>
      <vt:lpstr>Priority of Payments</vt:lpstr>
      <vt:lpstr>Breakdown Statistics</vt:lpstr>
      <vt:lpstr>Default &amp; Recovery Stat</vt:lpstr>
      <vt:lpstr>Principal Deficiency Ledger</vt:lpstr>
      <vt:lpstr>Delinquent Home Loans Stat</vt:lpstr>
      <vt:lpstr>Simplified Balance Sheet</vt:lpstr>
      <vt:lpstr>Calendar</vt:lpstr>
      <vt:lpstr>Event</vt:lpstr>
      <vt:lpstr>INPUT_DATA</vt:lpstr>
      <vt:lpstr>Instructions</vt:lpstr>
      <vt:lpstr>' Notes Interest'!Print_Area</vt:lpstr>
      <vt:lpstr>'00 - Cover'!Print_Area</vt:lpstr>
      <vt:lpstr>'15 - OD'!Print_Area</vt:lpstr>
      <vt:lpstr>'Asset Amortisation Profile'!Print_Area</vt:lpstr>
      <vt:lpstr>'Default &amp; Recovery Stat'!Print_Area</vt:lpstr>
      <vt:lpstr>'Delinquent Home Loans Stat'!Print_Area</vt:lpstr>
      <vt:lpstr>'Eligibility Criteria'!Print_Area</vt:lpstr>
      <vt:lpstr>Fees!Print_Area</vt:lpstr>
      <vt:lpstr>'Issuer Account'!Print_Area</vt:lpstr>
      <vt:lpstr>'Notes Follow-up'!Print_Area</vt:lpstr>
      <vt:lpstr>'Prepayment Rate'!Print_Area</vt:lpstr>
      <vt:lpstr>'Priority of Payments'!Print_Area</vt:lpstr>
      <vt:lpstr>'Simplified Balance Sheet'!Print_Area</vt:lpstr>
      <vt:lpstr>Summary!Print_Area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Ronan Jeusselin</cp:lastModifiedBy>
  <cp:lastPrinted>2021-10-06T07:00:20Z</cp:lastPrinted>
  <dcterms:created xsi:type="dcterms:W3CDTF">2009-08-06T14:40:37Z</dcterms:created>
  <dcterms:modified xsi:type="dcterms:W3CDTF">2023-12-06T16:52:17Z</dcterms:modified>
</cp:coreProperties>
</file>